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9.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32.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0" yWindow="360" windowWidth="12120" windowHeight="6015" tabRatio="953" activeTab="7"/>
  </bookViews>
  <sheets>
    <sheet name="Budget Summary" sheetId="42" r:id="rId1"/>
    <sheet name="Budget Summary by Category" sheetId="43" r:id="rId2"/>
    <sheet name="Fund Balance History" sheetId="45" r:id="rId3"/>
    <sheet name="Fund Balance Summary" sheetId="44" r:id="rId4"/>
    <sheet name="Gen Fd Cover Sheets" sheetId="40" r:id="rId5"/>
    <sheet name="Veh &amp; Equip Cover Sheet" sheetId="51" r:id="rId6"/>
    <sheet name="Fund Cover Sheets" sheetId="39" r:id="rId7"/>
    <sheet name="Budget Detail FY 2012-19" sheetId="36" r:id="rId8"/>
  </sheets>
  <definedNames>
    <definedName name="_xlnm.Print_Area" localSheetId="7">'Budget Detail FY 2012-19'!$A$4:$V$1159</definedName>
    <definedName name="_xlnm.Print_Area" localSheetId="0">'Budget Summary'!$A$1:$K$38,'Budget Summary'!$A$41:$K$78</definedName>
    <definedName name="_xlnm.Print_Area" localSheetId="1">'Budget Summary by Category'!$A$1:$M$38,'Budget Summary by Category'!$A$41:$J$78</definedName>
    <definedName name="_xlnm.Print_Area" localSheetId="2">'Fund Balance History'!$A$1:$K$51</definedName>
    <definedName name="_xlnm.Print_Area" localSheetId="3">'Fund Balance Summary'!$A$1:$L$38</definedName>
    <definedName name="_xlnm.Print_Area" localSheetId="6">'Fund Cover Sheets'!$A$1:$K$971</definedName>
    <definedName name="_xlnm.Print_Area" localSheetId="4">'Gen Fd Cover Sheets'!$A$1:$K$233</definedName>
    <definedName name="_xlnm.Print_Area" localSheetId="5">'Veh &amp; Equip Cover Sheet'!$A$1:$K$83</definedName>
    <definedName name="_xlnm.Print_Titles" localSheetId="7">'Budget Detail FY 2012-19'!$3:$6</definedName>
  </definedNames>
  <calcPr calcId="125725"/>
</workbook>
</file>

<file path=xl/calcChain.xml><?xml version="1.0" encoding="utf-8"?>
<calcChain xmlns="http://schemas.openxmlformats.org/spreadsheetml/2006/main">
  <c r="V545" i="36"/>
  <c r="U545"/>
  <c r="T545"/>
  <c r="S545"/>
  <c r="V415" l="1"/>
  <c r="R803" l="1"/>
  <c r="R414" l="1"/>
  <c r="R422"/>
  <c r="D893" i="39"/>
  <c r="E893"/>
  <c r="F893"/>
  <c r="G893"/>
  <c r="H893"/>
  <c r="I893"/>
  <c r="J893"/>
  <c r="K893"/>
  <c r="C893"/>
  <c r="O1081" i="36"/>
  <c r="P1081"/>
  <c r="Q1081"/>
  <c r="R1081"/>
  <c r="R1090" s="1"/>
  <c r="S1081"/>
  <c r="T1081"/>
  <c r="U1081"/>
  <c r="V1081"/>
  <c r="N1081"/>
  <c r="R1077"/>
  <c r="V1005" l="1"/>
  <c r="T1005"/>
  <c r="S1005"/>
  <c r="O1295"/>
  <c r="P1295"/>
  <c r="Q1295"/>
  <c r="U1295"/>
  <c r="V1295"/>
  <c r="N1295"/>
  <c r="O1294"/>
  <c r="P1294"/>
  <c r="R1294"/>
  <c r="S1294"/>
  <c r="T1294"/>
  <c r="U1294"/>
  <c r="V1294"/>
  <c r="N1294"/>
  <c r="O1293"/>
  <c r="P1293"/>
  <c r="Q1293"/>
  <c r="R1293"/>
  <c r="S1293"/>
  <c r="T1293"/>
  <c r="U1293"/>
  <c r="V1293"/>
  <c r="N1293"/>
  <c r="O1214"/>
  <c r="P1214"/>
  <c r="Q1214"/>
  <c r="R1214"/>
  <c r="S1214"/>
  <c r="T1214"/>
  <c r="U1214"/>
  <c r="V1214"/>
  <c r="O1213"/>
  <c r="P1213"/>
  <c r="Q1213"/>
  <c r="R1213"/>
  <c r="S1213"/>
  <c r="T1213"/>
  <c r="U1213"/>
  <c r="V1213"/>
  <c r="O1212"/>
  <c r="P1212"/>
  <c r="Q1212"/>
  <c r="R1212"/>
  <c r="S1212"/>
  <c r="T1212"/>
  <c r="U1212"/>
  <c r="V1212"/>
  <c r="N1214"/>
  <c r="N1213"/>
  <c r="N1212"/>
  <c r="N1174"/>
  <c r="N1147"/>
  <c r="O1250"/>
  <c r="P1250"/>
  <c r="Q1250"/>
  <c r="R1250"/>
  <c r="S1250"/>
  <c r="T1250"/>
  <c r="U1250"/>
  <c r="V1250"/>
  <c r="N1249"/>
  <c r="N1211"/>
  <c r="N1248"/>
  <c r="N1217"/>
  <c r="N1208"/>
  <c r="N1209" s="1"/>
  <c r="N1205"/>
  <c r="N1206" s="1"/>
  <c r="U1292" l="1"/>
  <c r="N1292"/>
  <c r="O1292"/>
  <c r="V1292"/>
  <c r="P1292"/>
  <c r="N1215"/>
  <c r="S803"/>
  <c r="R477"/>
  <c r="E70" i="51"/>
  <c r="E71" s="1"/>
  <c r="D70"/>
  <c r="D71" s="1"/>
  <c r="E66"/>
  <c r="D66"/>
  <c r="D67" s="1"/>
  <c r="C66"/>
  <c r="E65"/>
  <c r="C65"/>
  <c r="E62"/>
  <c r="D62"/>
  <c r="D63" s="1"/>
  <c r="C62"/>
  <c r="E61"/>
  <c r="C61"/>
  <c r="E58"/>
  <c r="D58"/>
  <c r="D59" s="1"/>
  <c r="C58"/>
  <c r="E57"/>
  <c r="C57"/>
  <c r="E44"/>
  <c r="D44"/>
  <c r="C44"/>
  <c r="E43"/>
  <c r="D43"/>
  <c r="C43"/>
  <c r="K42"/>
  <c r="J42"/>
  <c r="I42"/>
  <c r="F42"/>
  <c r="E42"/>
  <c r="D42"/>
  <c r="C42"/>
  <c r="K41"/>
  <c r="J41"/>
  <c r="I41"/>
  <c r="H41"/>
  <c r="G41"/>
  <c r="F41"/>
  <c r="E41"/>
  <c r="D41"/>
  <c r="C41"/>
  <c r="E35"/>
  <c r="D35"/>
  <c r="C35"/>
  <c r="K34"/>
  <c r="J34"/>
  <c r="G34"/>
  <c r="F34"/>
  <c r="E34"/>
  <c r="D34"/>
  <c r="C34"/>
  <c r="K33"/>
  <c r="J33"/>
  <c r="I33"/>
  <c r="H33"/>
  <c r="G33"/>
  <c r="F33"/>
  <c r="E33"/>
  <c r="D33"/>
  <c r="C33"/>
  <c r="K32"/>
  <c r="J32"/>
  <c r="I32"/>
  <c r="H32"/>
  <c r="G32"/>
  <c r="F32"/>
  <c r="E32"/>
  <c r="D32"/>
  <c r="C32"/>
  <c r="F26"/>
  <c r="E26"/>
  <c r="D26"/>
  <c r="C26"/>
  <c r="E25"/>
  <c r="D25"/>
  <c r="C25"/>
  <c r="K19"/>
  <c r="J19"/>
  <c r="F19"/>
  <c r="E19"/>
  <c r="D19"/>
  <c r="C19"/>
  <c r="K18"/>
  <c r="J18"/>
  <c r="I18"/>
  <c r="H18"/>
  <c r="G18"/>
  <c r="F18"/>
  <c r="E18"/>
  <c r="D18"/>
  <c r="C18"/>
  <c r="K17"/>
  <c r="J17"/>
  <c r="I17"/>
  <c r="H17"/>
  <c r="G17"/>
  <c r="F17"/>
  <c r="E17"/>
  <c r="D17"/>
  <c r="C17"/>
  <c r="K16"/>
  <c r="J16"/>
  <c r="I16"/>
  <c r="H16"/>
  <c r="G16"/>
  <c r="F16"/>
  <c r="E16"/>
  <c r="D16"/>
  <c r="C16"/>
  <c r="F15"/>
  <c r="E15"/>
  <c r="D15"/>
  <c r="C15"/>
  <c r="K14"/>
  <c r="J14"/>
  <c r="I14"/>
  <c r="H14"/>
  <c r="G14"/>
  <c r="F14"/>
  <c r="E14"/>
  <c r="D14"/>
  <c r="C14"/>
  <c r="K13"/>
  <c r="J13"/>
  <c r="I13"/>
  <c r="H13"/>
  <c r="G13"/>
  <c r="F13"/>
  <c r="E13"/>
  <c r="D13"/>
  <c r="C13"/>
  <c r="V803" i="36"/>
  <c r="U803"/>
  <c r="T803"/>
  <c r="O1290"/>
  <c r="P1290"/>
  <c r="Q1290"/>
  <c r="R1290"/>
  <c r="S1290"/>
  <c r="T1290"/>
  <c r="U1290"/>
  <c r="V1290"/>
  <c r="N1290"/>
  <c r="O1289"/>
  <c r="P1289"/>
  <c r="Q1289"/>
  <c r="R1289"/>
  <c r="S1289"/>
  <c r="T1289"/>
  <c r="U1289"/>
  <c r="V1289"/>
  <c r="N1289"/>
  <c r="O1286"/>
  <c r="P1286"/>
  <c r="V1286"/>
  <c r="N1286"/>
  <c r="O1285"/>
  <c r="P1285"/>
  <c r="V1285"/>
  <c r="N1285"/>
  <c r="O1284"/>
  <c r="P1284"/>
  <c r="Q1284"/>
  <c r="S1284"/>
  <c r="V1284"/>
  <c r="N1284"/>
  <c r="O536"/>
  <c r="O1288" l="1"/>
  <c r="E63" i="51"/>
  <c r="U1288" i="36"/>
  <c r="Q1288"/>
  <c r="C67" i="51"/>
  <c r="C63"/>
  <c r="N1288" i="36"/>
  <c r="D20" i="51"/>
  <c r="C27"/>
  <c r="C59"/>
  <c r="E27"/>
  <c r="D45"/>
  <c r="E59"/>
  <c r="E67"/>
  <c r="D36"/>
  <c r="F20"/>
  <c r="C20"/>
  <c r="E45"/>
  <c r="C45"/>
  <c r="C36"/>
  <c r="E20"/>
  <c r="E36"/>
  <c r="D27"/>
  <c r="S1288" i="36"/>
  <c r="R1288"/>
  <c r="V1288"/>
  <c r="V1283"/>
  <c r="P1283"/>
  <c r="P1288"/>
  <c r="T1288"/>
  <c r="N1283"/>
  <c r="O1283"/>
  <c r="C49" i="51" l="1"/>
  <c r="C53" s="1"/>
  <c r="D49"/>
  <c r="E49"/>
  <c r="X1288" i="36"/>
  <c r="D53" i="51" l="1"/>
  <c r="E53"/>
  <c r="T437" i="36"/>
  <c r="T1295" s="1"/>
  <c r="T1292" s="1"/>
  <c r="O1281" l="1"/>
  <c r="P1281"/>
  <c r="Q1281"/>
  <c r="R1281"/>
  <c r="S1281"/>
  <c r="T1281"/>
  <c r="U1281"/>
  <c r="V1281"/>
  <c r="N1281"/>
  <c r="O1280"/>
  <c r="P1280"/>
  <c r="Q1280"/>
  <c r="R1280"/>
  <c r="S1280"/>
  <c r="T1280"/>
  <c r="U1280"/>
  <c r="V1280"/>
  <c r="N1280"/>
  <c r="O1279"/>
  <c r="P1279"/>
  <c r="Q1279"/>
  <c r="R1279"/>
  <c r="S1279"/>
  <c r="T1279"/>
  <c r="U1279"/>
  <c r="V1279"/>
  <c r="N1279"/>
  <c r="O1278"/>
  <c r="P1278"/>
  <c r="Q1278"/>
  <c r="U1278"/>
  <c r="V1278"/>
  <c r="N1278"/>
  <c r="V1277" l="1"/>
  <c r="P1277"/>
  <c r="N1277"/>
  <c r="Q1277"/>
  <c r="U1277"/>
  <c r="O1277"/>
  <c r="R358" l="1"/>
  <c r="S358" s="1"/>
  <c r="T358" s="1"/>
  <c r="U358" s="1"/>
  <c r="V358" s="1"/>
  <c r="R993"/>
  <c r="S993"/>
  <c r="T993"/>
  <c r="U993"/>
  <c r="V993"/>
  <c r="Q993"/>
  <c r="R437"/>
  <c r="R1295" s="1"/>
  <c r="R1292" s="1"/>
  <c r="S437"/>
  <c r="S1295" s="1"/>
  <c r="S1292" s="1"/>
  <c r="X1292" l="1"/>
  <c r="R297"/>
  <c r="O1275" l="1"/>
  <c r="P1275"/>
  <c r="Q1275"/>
  <c r="R1275"/>
  <c r="T1275"/>
  <c r="U1275"/>
  <c r="V1275"/>
  <c r="N1275"/>
  <c r="O1274"/>
  <c r="P1274"/>
  <c r="Q1274"/>
  <c r="T1274"/>
  <c r="U1274"/>
  <c r="V1274"/>
  <c r="O1273"/>
  <c r="P1273"/>
  <c r="Q1273"/>
  <c r="R1273"/>
  <c r="S1273"/>
  <c r="T1273"/>
  <c r="U1273"/>
  <c r="V1273"/>
  <c r="N1274"/>
  <c r="N1273"/>
  <c r="U1272" l="1"/>
  <c r="Q1272"/>
  <c r="P1272"/>
  <c r="T1272"/>
  <c r="O1272"/>
  <c r="N1272"/>
  <c r="V1272"/>
  <c r="S1110"/>
  <c r="S1275" s="1"/>
  <c r="R476" l="1"/>
  <c r="R475"/>
  <c r="G15" i="51" l="1"/>
  <c r="U440" i="36"/>
  <c r="U1284" s="1"/>
  <c r="T440"/>
  <c r="T1284" s="1"/>
  <c r="U401"/>
  <c r="U1285" s="1"/>
  <c r="T401"/>
  <c r="T1285" s="1"/>
  <c r="S401"/>
  <c r="R401"/>
  <c r="R1285" s="1"/>
  <c r="Q401"/>
  <c r="S398"/>
  <c r="S1274" s="1"/>
  <c r="S1272" s="1"/>
  <c r="R398"/>
  <c r="R1274" s="1"/>
  <c r="R1272" s="1"/>
  <c r="S411" l="1"/>
  <c r="S1286" s="1"/>
  <c r="S1285"/>
  <c r="Q411"/>
  <c r="Q1286" s="1"/>
  <c r="Q1285"/>
  <c r="X1272"/>
  <c r="T411"/>
  <c r="T1286" s="1"/>
  <c r="T1283" s="1"/>
  <c r="U411"/>
  <c r="U1286" s="1"/>
  <c r="U1283" s="1"/>
  <c r="R1040"/>
  <c r="V475"/>
  <c r="U475"/>
  <c r="T475"/>
  <c r="S475"/>
  <c r="N497"/>
  <c r="O320"/>
  <c r="R285"/>
  <c r="R269"/>
  <c r="R218"/>
  <c r="R188"/>
  <c r="S188" s="1"/>
  <c r="T188" s="1"/>
  <c r="U188" s="1"/>
  <c r="V188" s="1"/>
  <c r="R41"/>
  <c r="R13"/>
  <c r="R12"/>
  <c r="C28" i="51" l="1"/>
  <c r="C29" s="1"/>
  <c r="Q1283" i="36"/>
  <c r="S1283"/>
  <c r="Q290" l="1"/>
  <c r="R694"/>
  <c r="R599"/>
  <c r="S599" s="1"/>
  <c r="T599" s="1"/>
  <c r="U599" s="1"/>
  <c r="V599" s="1"/>
  <c r="S694" l="1"/>
  <c r="T694" s="1"/>
  <c r="U694" s="1"/>
  <c r="V694" s="1"/>
  <c r="D546" i="39"/>
  <c r="E546"/>
  <c r="F546"/>
  <c r="G546"/>
  <c r="H546"/>
  <c r="I546"/>
  <c r="J546"/>
  <c r="K546"/>
  <c r="C546"/>
  <c r="D545"/>
  <c r="E545"/>
  <c r="F545"/>
  <c r="G545"/>
  <c r="H545"/>
  <c r="I545"/>
  <c r="J545"/>
  <c r="K545"/>
  <c r="C545"/>
  <c r="V476" i="36"/>
  <c r="U476"/>
  <c r="T476"/>
  <c r="S476"/>
  <c r="S233"/>
  <c r="T233"/>
  <c r="U233"/>
  <c r="V233"/>
  <c r="R233"/>
  <c r="J15" i="51" l="1"/>
  <c r="J20" s="1"/>
  <c r="O1108" i="36"/>
  <c r="D945" i="39" s="1"/>
  <c r="P1108" i="36"/>
  <c r="E945" i="39" s="1"/>
  <c r="Q1108" i="36"/>
  <c r="F945" i="39" s="1"/>
  <c r="R1108" i="36"/>
  <c r="G945" i="39" s="1"/>
  <c r="S1108" i="36"/>
  <c r="H945" i="39" s="1"/>
  <c r="T1108" i="36"/>
  <c r="I945" i="39" s="1"/>
  <c r="U1108" i="36"/>
  <c r="J945" i="39" s="1"/>
  <c r="V1108" i="36"/>
  <c r="K945" i="39" s="1"/>
  <c r="N1108" i="36"/>
  <c r="C945" i="39" s="1"/>
  <c r="Q416" i="36"/>
  <c r="Q399" l="1"/>
  <c r="Q438" l="1"/>
  <c r="F255" i="39" s="1"/>
  <c r="Q349" i="36"/>
  <c r="Q1294" s="1"/>
  <c r="Q1292" s="1"/>
  <c r="R99"/>
  <c r="S99" s="1"/>
  <c r="T99" s="1"/>
  <c r="U99" s="1"/>
  <c r="V99" s="1"/>
  <c r="R975"/>
  <c r="S975" s="1"/>
  <c r="T975" s="1"/>
  <c r="U975" s="1"/>
  <c r="V975" s="1"/>
  <c r="R869"/>
  <c r="S869" s="1"/>
  <c r="T869" s="1"/>
  <c r="U869" s="1"/>
  <c r="V869" s="1"/>
  <c r="R831"/>
  <c r="S831" s="1"/>
  <c r="T831" s="1"/>
  <c r="U831" s="1"/>
  <c r="V831" s="1"/>
  <c r="S285"/>
  <c r="T285" s="1"/>
  <c r="U285" s="1"/>
  <c r="V285" s="1"/>
  <c r="R276"/>
  <c r="S276" s="1"/>
  <c r="T276" s="1"/>
  <c r="U276" s="1"/>
  <c r="V276" s="1"/>
  <c r="D255" i="39"/>
  <c r="E255"/>
  <c r="H255"/>
  <c r="K255"/>
  <c r="C255"/>
  <c r="D153"/>
  <c r="E153"/>
  <c r="G153"/>
  <c r="H153"/>
  <c r="I153"/>
  <c r="J153"/>
  <c r="K153"/>
  <c r="C153"/>
  <c r="F153" l="1"/>
  <c r="S272" i="36"/>
  <c r="S271"/>
  <c r="S270"/>
  <c r="O418" l="1"/>
  <c r="N418"/>
  <c r="V414"/>
  <c r="U414"/>
  <c r="U292" s="1"/>
  <c r="T414"/>
  <c r="T292" s="1"/>
  <c r="S414"/>
  <c r="S292" s="1"/>
  <c r="V292"/>
  <c r="Q292"/>
  <c r="R292" l="1"/>
  <c r="Q418" l="1"/>
  <c r="P408"/>
  <c r="P418" s="1"/>
  <c r="S477"/>
  <c r="H15" i="51" l="1"/>
  <c r="R855" i="36"/>
  <c r="S855" s="1"/>
  <c r="T855" s="1"/>
  <c r="U855" s="1"/>
  <c r="V855" s="1"/>
  <c r="R703"/>
  <c r="S703" s="1"/>
  <c r="T703" s="1"/>
  <c r="U703" s="1"/>
  <c r="V703" s="1"/>
  <c r="R614"/>
  <c r="S614" s="1"/>
  <c r="T614" s="1"/>
  <c r="U614" s="1"/>
  <c r="V614" s="1"/>
  <c r="T293"/>
  <c r="U293"/>
  <c r="V293"/>
  <c r="D553" i="39" l="1"/>
  <c r="E553"/>
  <c r="F553"/>
  <c r="G553"/>
  <c r="H553"/>
  <c r="I553"/>
  <c r="J553"/>
  <c r="K553"/>
  <c r="C553"/>
  <c r="D387"/>
  <c r="E387"/>
  <c r="F387"/>
  <c r="G387"/>
  <c r="H387"/>
  <c r="I387"/>
  <c r="J387"/>
  <c r="K387"/>
  <c r="C387"/>
  <c r="V519" i="36" l="1"/>
  <c r="V518"/>
  <c r="V508"/>
  <c r="V507"/>
  <c r="U519"/>
  <c r="U518"/>
  <c r="U508"/>
  <c r="U507"/>
  <c r="T519"/>
  <c r="T518"/>
  <c r="T508"/>
  <c r="T507"/>
  <c r="S519"/>
  <c r="S518"/>
  <c r="S508"/>
  <c r="S507"/>
  <c r="R519"/>
  <c r="R518"/>
  <c r="Q519"/>
  <c r="Q518"/>
  <c r="Q508"/>
  <c r="Q507"/>
  <c r="R508"/>
  <c r="R507"/>
  <c r="G35" i="51" l="1"/>
  <c r="G36" s="1"/>
  <c r="F43"/>
  <c r="H35"/>
  <c r="I35"/>
  <c r="J35"/>
  <c r="J36" s="1"/>
  <c r="K35"/>
  <c r="K36" s="1"/>
  <c r="F35"/>
  <c r="F36" s="1"/>
  <c r="G43"/>
  <c r="H43"/>
  <c r="I43"/>
  <c r="J43"/>
  <c r="K43"/>
  <c r="Q537" i="36"/>
  <c r="S537"/>
  <c r="R537"/>
  <c r="T537"/>
  <c r="U537"/>
  <c r="V537"/>
  <c r="D544" i="39"/>
  <c r="E544"/>
  <c r="F544"/>
  <c r="G544"/>
  <c r="H544"/>
  <c r="I544"/>
  <c r="J544"/>
  <c r="K544"/>
  <c r="C544"/>
  <c r="D395"/>
  <c r="E395"/>
  <c r="F395"/>
  <c r="G395"/>
  <c r="H395"/>
  <c r="I395"/>
  <c r="J395"/>
  <c r="K395"/>
  <c r="C395"/>
  <c r="O562" i="36"/>
  <c r="P562"/>
  <c r="Q562"/>
  <c r="R562"/>
  <c r="S562"/>
  <c r="T562"/>
  <c r="U562"/>
  <c r="V562"/>
  <c r="N562"/>
  <c r="D332" i="39"/>
  <c r="E332"/>
  <c r="F332"/>
  <c r="G332"/>
  <c r="H332"/>
  <c r="I332"/>
  <c r="J332"/>
  <c r="K332"/>
  <c r="C332"/>
  <c r="D316"/>
  <c r="E316"/>
  <c r="C316"/>
  <c r="O522" i="36"/>
  <c r="P522"/>
  <c r="N522"/>
  <c r="O497"/>
  <c r="P497"/>
  <c r="D253" i="39"/>
  <c r="E253"/>
  <c r="C253"/>
  <c r="O425" i="36"/>
  <c r="P425"/>
  <c r="N425"/>
  <c r="Q263"/>
  <c r="S159"/>
  <c r="E46" i="51" l="1"/>
  <c r="E47" s="1"/>
  <c r="P1165" i="36"/>
  <c r="C46" i="51"/>
  <c r="C47" s="1"/>
  <c r="N1165" i="36"/>
  <c r="E28" i="51"/>
  <c r="E29" s="1"/>
  <c r="D46"/>
  <c r="D47" s="1"/>
  <c r="O1165" i="36"/>
  <c r="D28" i="51"/>
  <c r="D29" s="1"/>
  <c r="D937" i="39" l="1"/>
  <c r="E937"/>
  <c r="F937"/>
  <c r="G937"/>
  <c r="H937"/>
  <c r="I937"/>
  <c r="J937"/>
  <c r="K937"/>
  <c r="C937"/>
  <c r="Q286" i="36"/>
  <c r="S13" l="1"/>
  <c r="S12" l="1"/>
  <c r="R9" l="1"/>
  <c r="J255" i="39" l="1"/>
  <c r="I255"/>
  <c r="S632" i="36"/>
  <c r="T632"/>
  <c r="U632"/>
  <c r="V632"/>
  <c r="R632"/>
  <c r="V477"/>
  <c r="T477"/>
  <c r="S516"/>
  <c r="H42" i="51" s="1"/>
  <c r="R514" i="36"/>
  <c r="G42" i="51" s="1"/>
  <c r="T505" i="36"/>
  <c r="I34" i="51" s="1"/>
  <c r="I36" s="1"/>
  <c r="S505" i="36"/>
  <c r="H34" i="51" s="1"/>
  <c r="H36" s="1"/>
  <c r="T485" i="36"/>
  <c r="S485"/>
  <c r="V496"/>
  <c r="K26" i="51" s="1"/>
  <c r="U496" i="36"/>
  <c r="J26" i="51" s="1"/>
  <c r="T496" i="36"/>
  <c r="I26" i="51" s="1"/>
  <c r="S496" i="36"/>
  <c r="R496"/>
  <c r="S495"/>
  <c r="R495"/>
  <c r="K15" i="51" l="1"/>
  <c r="K20" s="1"/>
  <c r="I19"/>
  <c r="I15"/>
  <c r="H19"/>
  <c r="H20" s="1"/>
  <c r="H26"/>
  <c r="G26"/>
  <c r="I20" l="1"/>
  <c r="D1133" i="39" l="1"/>
  <c r="E1133"/>
  <c r="C1133"/>
  <c r="D1077"/>
  <c r="E1077"/>
  <c r="C1077"/>
  <c r="C1016"/>
  <c r="D703"/>
  <c r="C703"/>
  <c r="D554"/>
  <c r="E554"/>
  <c r="F554"/>
  <c r="G554"/>
  <c r="H554"/>
  <c r="I554"/>
  <c r="J554"/>
  <c r="K554"/>
  <c r="C554"/>
  <c r="O297" i="36" l="1"/>
  <c r="P297"/>
  <c r="P298" s="1"/>
  <c r="Q297"/>
  <c r="Q298" s="1"/>
  <c r="S297"/>
  <c r="T297"/>
  <c r="U297"/>
  <c r="V297"/>
  <c r="N297"/>
  <c r="R952"/>
  <c r="G703" i="39" s="1"/>
  <c r="Q952" i="36"/>
  <c r="F703" i="39" s="1"/>
  <c r="P952" i="36"/>
  <c r="S160"/>
  <c r="E703" i="39" l="1"/>
  <c r="S960" i="36"/>
  <c r="T960" s="1"/>
  <c r="U960" s="1"/>
  <c r="V960" s="1"/>
  <c r="S843"/>
  <c r="T843" s="1"/>
  <c r="U843" s="1"/>
  <c r="V843" s="1"/>
  <c r="S813"/>
  <c r="T813" s="1"/>
  <c r="U813" s="1"/>
  <c r="V813" s="1"/>
  <c r="S689"/>
  <c r="S594"/>
  <c r="T270"/>
  <c r="U270" s="1"/>
  <c r="V270" s="1"/>
  <c r="S227"/>
  <c r="T227" s="1"/>
  <c r="U227" s="1"/>
  <c r="V227" s="1"/>
  <c r="S197"/>
  <c r="T197" s="1"/>
  <c r="U197" s="1"/>
  <c r="V197" s="1"/>
  <c r="T159"/>
  <c r="U159" s="1"/>
  <c r="V159" s="1"/>
  <c r="S111"/>
  <c r="T111" s="1"/>
  <c r="U111" s="1"/>
  <c r="V111" s="1"/>
  <c r="S83"/>
  <c r="T83" s="1"/>
  <c r="U83" s="1"/>
  <c r="V83" s="1"/>
  <c r="S79"/>
  <c r="T79" s="1"/>
  <c r="U79" s="1"/>
  <c r="V79" s="1"/>
  <c r="T689" l="1"/>
  <c r="U689" s="1"/>
  <c r="V689" s="1"/>
  <c r="T594"/>
  <c r="U594" s="1"/>
  <c r="V594" s="1"/>
  <c r="S1113"/>
  <c r="C846" i="39"/>
  <c r="D654" l="1"/>
  <c r="E654"/>
  <c r="F654"/>
  <c r="G654"/>
  <c r="H654"/>
  <c r="I654"/>
  <c r="J654"/>
  <c r="K654"/>
  <c r="C654"/>
  <c r="D306"/>
  <c r="E306"/>
  <c r="F306"/>
  <c r="C306"/>
  <c r="O1248" i="36"/>
  <c r="P1248"/>
  <c r="Q1248"/>
  <c r="R1248"/>
  <c r="Q1040"/>
  <c r="S819" l="1"/>
  <c r="T819"/>
  <c r="U819"/>
  <c r="V819"/>
  <c r="R819"/>
  <c r="Q819"/>
  <c r="Q157" l="1"/>
  <c r="D491" i="39"/>
  <c r="E491"/>
  <c r="C491"/>
  <c r="D333"/>
  <c r="E333"/>
  <c r="F333"/>
  <c r="G333"/>
  <c r="H333"/>
  <c r="I333"/>
  <c r="J333"/>
  <c r="K333"/>
  <c r="C333"/>
  <c r="D309"/>
  <c r="E309"/>
  <c r="F309"/>
  <c r="G309"/>
  <c r="H309"/>
  <c r="I309"/>
  <c r="J309"/>
  <c r="K309"/>
  <c r="C309"/>
  <c r="D310"/>
  <c r="E310"/>
  <c r="F310"/>
  <c r="J310"/>
  <c r="K310"/>
  <c r="C310"/>
  <c r="S521" i="36"/>
  <c r="R521"/>
  <c r="N509"/>
  <c r="N1127" s="1"/>
  <c r="O681"/>
  <c r="P681"/>
  <c r="N681"/>
  <c r="S522" l="1"/>
  <c r="H44" i="51"/>
  <c r="H45" s="1"/>
  <c r="R522" i="36"/>
  <c r="G44" i="51"/>
  <c r="G45" s="1"/>
  <c r="N524" i="36"/>
  <c r="C50" i="51" s="1"/>
  <c r="C51" s="1"/>
  <c r="C37"/>
  <c r="C38" s="1"/>
  <c r="T521" i="36"/>
  <c r="U521"/>
  <c r="V521"/>
  <c r="I310" i="39"/>
  <c r="H310"/>
  <c r="R485" i="36"/>
  <c r="R701"/>
  <c r="S701" s="1"/>
  <c r="T701" s="1"/>
  <c r="U701" s="1"/>
  <c r="V701" s="1"/>
  <c r="H46" i="51" l="1"/>
  <c r="H47" s="1"/>
  <c r="S1165" i="36"/>
  <c r="G46" i="51"/>
  <c r="G47" s="1"/>
  <c r="R1165" i="36"/>
  <c r="T522"/>
  <c r="I44" i="51"/>
  <c r="I45" s="1"/>
  <c r="G310" i="39"/>
  <c r="G19" i="51"/>
  <c r="G20" s="1"/>
  <c r="U522" i="36"/>
  <c r="J44" i="51"/>
  <c r="J45" s="1"/>
  <c r="V522" i="36"/>
  <c r="K44" i="51"/>
  <c r="K45" s="1"/>
  <c r="G306" i="39"/>
  <c r="S275" i="36"/>
  <c r="R22"/>
  <c r="R286" s="1"/>
  <c r="S88"/>
  <c r="T88"/>
  <c r="U88"/>
  <c r="V88"/>
  <c r="R88"/>
  <c r="S87"/>
  <c r="T87"/>
  <c r="U87"/>
  <c r="V87"/>
  <c r="R87"/>
  <c r="K46" i="51" l="1"/>
  <c r="K47" s="1"/>
  <c r="V1165" i="36"/>
  <c r="J46" i="51"/>
  <c r="J47" s="1"/>
  <c r="U1165" i="36"/>
  <c r="I46" i="51"/>
  <c r="I47" s="1"/>
  <c r="T1165" i="36"/>
  <c r="S237"/>
  <c r="T237" s="1"/>
  <c r="U237" s="1"/>
  <c r="V237" s="1"/>
  <c r="S245"/>
  <c r="T245" s="1"/>
  <c r="U245" s="1"/>
  <c r="V245" s="1"/>
  <c r="V360"/>
  <c r="U360"/>
  <c r="N249"/>
  <c r="N243"/>
  <c r="N239"/>
  <c r="Q232"/>
  <c r="R167"/>
  <c r="Q696"/>
  <c r="R630"/>
  <c r="S630" s="1"/>
  <c r="T630" s="1"/>
  <c r="U630" s="1"/>
  <c r="V630" s="1"/>
  <c r="Q601"/>
  <c r="S167" l="1"/>
  <c r="H306" i="39"/>
  <c r="V167" i="36"/>
  <c r="K306" i="39"/>
  <c r="U167" i="36"/>
  <c r="J306" i="39"/>
  <c r="T167" i="36"/>
  <c r="I306" i="39"/>
  <c r="Q509" i="36"/>
  <c r="F37" i="51" s="1"/>
  <c r="F38" s="1"/>
  <c r="Q428" i="36" l="1"/>
  <c r="F253" i="39" s="1"/>
  <c r="Q388" i="36"/>
  <c r="D254" i="39" l="1"/>
  <c r="E254"/>
  <c r="F254"/>
  <c r="G254"/>
  <c r="F66" i="43" s="1"/>
  <c r="H254" i="39"/>
  <c r="I254"/>
  <c r="J254"/>
  <c r="K254"/>
  <c r="C254"/>
  <c r="R717" i="36"/>
  <c r="S717" s="1"/>
  <c r="T717" s="1"/>
  <c r="U717" s="1"/>
  <c r="V717" s="1"/>
  <c r="V295"/>
  <c r="Q283"/>
  <c r="S218"/>
  <c r="T218" s="1"/>
  <c r="R582"/>
  <c r="R424"/>
  <c r="R425" s="1"/>
  <c r="R455" s="1"/>
  <c r="Q424"/>
  <c r="Q425" s="1"/>
  <c r="R364"/>
  <c r="S364" s="1"/>
  <c r="T364" s="1"/>
  <c r="R363"/>
  <c r="S363" s="1"/>
  <c r="T363" s="1"/>
  <c r="R251"/>
  <c r="S251" s="1"/>
  <c r="T251" s="1"/>
  <c r="U251" s="1"/>
  <c r="V251" s="1"/>
  <c r="Q219"/>
  <c r="R212"/>
  <c r="S582" l="1"/>
  <c r="O618"/>
  <c r="O617" s="1"/>
  <c r="N242"/>
  <c r="S367"/>
  <c r="S1278" s="1"/>
  <c r="S1277" s="1"/>
  <c r="T367"/>
  <c r="T1278" s="1"/>
  <c r="T1277" s="1"/>
  <c r="R1278"/>
  <c r="R1277" s="1"/>
  <c r="X1277" l="1"/>
  <c r="T582"/>
  <c r="R1021"/>
  <c r="R493"/>
  <c r="G25" i="51" s="1"/>
  <c r="G27" s="1"/>
  <c r="S493" i="36"/>
  <c r="H25" i="51" s="1"/>
  <c r="H27" s="1"/>
  <c r="T493" i="36"/>
  <c r="I25" i="51" s="1"/>
  <c r="I27" s="1"/>
  <c r="U493" i="36"/>
  <c r="J25" i="51" s="1"/>
  <c r="J27" s="1"/>
  <c r="V493" i="36"/>
  <c r="K25" i="51" s="1"/>
  <c r="K27" s="1"/>
  <c r="Q493" i="36"/>
  <c r="F25" i="51" s="1"/>
  <c r="F27" s="1"/>
  <c r="U364" i="36"/>
  <c r="V364" s="1"/>
  <c r="U363"/>
  <c r="V363" s="1"/>
  <c r="K49" i="51" l="1"/>
  <c r="G49"/>
  <c r="G53" s="1"/>
  <c r="I49"/>
  <c r="J49"/>
  <c r="H49"/>
  <c r="I316" i="39"/>
  <c r="T497" i="36"/>
  <c r="U497"/>
  <c r="J316" i="39"/>
  <c r="K316"/>
  <c r="V497" i="36"/>
  <c r="G316" i="39"/>
  <c r="R497" i="36"/>
  <c r="Q497"/>
  <c r="F316" i="39"/>
  <c r="H316"/>
  <c r="S497" i="36"/>
  <c r="U582"/>
  <c r="D177" i="40"/>
  <c r="E177"/>
  <c r="C177"/>
  <c r="S41" i="36"/>
  <c r="R283"/>
  <c r="S283"/>
  <c r="T283"/>
  <c r="U283"/>
  <c r="V283"/>
  <c r="S269"/>
  <c r="T269" s="1"/>
  <c r="U269" s="1"/>
  <c r="V269" s="1"/>
  <c r="S963"/>
  <c r="T963" s="1"/>
  <c r="U963" s="1"/>
  <c r="V963" s="1"/>
  <c r="S962"/>
  <c r="T962" s="1"/>
  <c r="U962" s="1"/>
  <c r="V962" s="1"/>
  <c r="S961"/>
  <c r="T961" s="1"/>
  <c r="U961" s="1"/>
  <c r="V961" s="1"/>
  <c r="S846"/>
  <c r="T846" s="1"/>
  <c r="U846" s="1"/>
  <c r="V846" s="1"/>
  <c r="S845"/>
  <c r="T845" s="1"/>
  <c r="U845" s="1"/>
  <c r="V845" s="1"/>
  <c r="S844"/>
  <c r="T844" s="1"/>
  <c r="U844" s="1"/>
  <c r="V844" s="1"/>
  <c r="S816"/>
  <c r="T816" s="1"/>
  <c r="U816" s="1"/>
  <c r="V816" s="1"/>
  <c r="S815"/>
  <c r="T815" s="1"/>
  <c r="U815" s="1"/>
  <c r="V815" s="1"/>
  <c r="S814"/>
  <c r="T814" s="1"/>
  <c r="U814" s="1"/>
  <c r="V814" s="1"/>
  <c r="S692"/>
  <c r="T692" s="1"/>
  <c r="U692" s="1"/>
  <c r="V692" s="1"/>
  <c r="S691"/>
  <c r="T691" s="1"/>
  <c r="U691" s="1"/>
  <c r="V691" s="1"/>
  <c r="S690"/>
  <c r="S597"/>
  <c r="T597" s="1"/>
  <c r="S596"/>
  <c r="T596" s="1"/>
  <c r="S595"/>
  <c r="T595" s="1"/>
  <c r="Q63"/>
  <c r="Q291"/>
  <c r="S212"/>
  <c r="T212" s="1"/>
  <c r="U212" s="1"/>
  <c r="V212" s="1"/>
  <c r="U218"/>
  <c r="V218" s="1"/>
  <c r="V275"/>
  <c r="U275"/>
  <c r="T275"/>
  <c r="T271"/>
  <c r="T690" l="1"/>
  <c r="U690" s="1"/>
  <c r="V690" s="1"/>
  <c r="H28" i="51"/>
  <c r="H29" s="1"/>
  <c r="F28"/>
  <c r="F29" s="1"/>
  <c r="Q1127" i="36"/>
  <c r="K28" i="51"/>
  <c r="K29" s="1"/>
  <c r="I28"/>
  <c r="I29" s="1"/>
  <c r="G28"/>
  <c r="G29" s="1"/>
  <c r="J28"/>
  <c r="J29" s="1"/>
  <c r="K53"/>
  <c r="H53"/>
  <c r="I53"/>
  <c r="J53"/>
  <c r="T41" i="36"/>
  <c r="U41" s="1"/>
  <c r="V41" s="1"/>
  <c r="S256"/>
  <c r="V582"/>
  <c r="U595"/>
  <c r="V595" s="1"/>
  <c r="U597"/>
  <c r="V597" s="1"/>
  <c r="U596"/>
  <c r="V596" s="1"/>
  <c r="Q256"/>
  <c r="F177" i="40" s="1"/>
  <c r="R275" i="36"/>
  <c r="S230"/>
  <c r="T230" s="1"/>
  <c r="U230" s="1"/>
  <c r="V230" s="1"/>
  <c r="S229"/>
  <c r="T229" s="1"/>
  <c r="U229" s="1"/>
  <c r="V229" s="1"/>
  <c r="S228"/>
  <c r="T228" s="1"/>
  <c r="U228" s="1"/>
  <c r="V228" s="1"/>
  <c r="S200"/>
  <c r="T200" s="1"/>
  <c r="U200" s="1"/>
  <c r="V200" s="1"/>
  <c r="S199"/>
  <c r="T199" s="1"/>
  <c r="U199" s="1"/>
  <c r="V199" s="1"/>
  <c r="S198"/>
  <c r="T198" s="1"/>
  <c r="U198" s="1"/>
  <c r="V198" s="1"/>
  <c r="S162"/>
  <c r="T162" s="1"/>
  <c r="U162" s="1"/>
  <c r="V162" s="1"/>
  <c r="S161"/>
  <c r="T161" s="1"/>
  <c r="U161" s="1"/>
  <c r="V161" s="1"/>
  <c r="T160"/>
  <c r="U160" s="1"/>
  <c r="V160" s="1"/>
  <c r="S114"/>
  <c r="T114" s="1"/>
  <c r="U114" s="1"/>
  <c r="V114" s="1"/>
  <c r="S113"/>
  <c r="T113" s="1"/>
  <c r="U113" s="1"/>
  <c r="V113" s="1"/>
  <c r="S112"/>
  <c r="T112" s="1"/>
  <c r="U112" s="1"/>
  <c r="V112" s="1"/>
  <c r="S86"/>
  <c r="T86" s="1"/>
  <c r="U86" s="1"/>
  <c r="V86" s="1"/>
  <c r="S85"/>
  <c r="T85" s="1"/>
  <c r="U85" s="1"/>
  <c r="V85" s="1"/>
  <c r="S84"/>
  <c r="T84" s="1"/>
  <c r="U84" s="1"/>
  <c r="V84" s="1"/>
  <c r="S82"/>
  <c r="T82" s="1"/>
  <c r="U82" s="1"/>
  <c r="V82" s="1"/>
  <c r="S81"/>
  <c r="T81" s="1"/>
  <c r="U81" s="1"/>
  <c r="V81" s="1"/>
  <c r="S80"/>
  <c r="T80" s="1"/>
  <c r="U80" s="1"/>
  <c r="V80" s="1"/>
  <c r="R157" l="1"/>
  <c r="S9"/>
  <c r="T9" s="1"/>
  <c r="U9" s="1"/>
  <c r="V9" s="1"/>
  <c r="S22"/>
  <c r="T13"/>
  <c r="U13" s="1"/>
  <c r="V13" s="1"/>
  <c r="T12"/>
  <c r="U12" s="1"/>
  <c r="V12" s="1"/>
  <c r="T22" l="1"/>
  <c r="S286"/>
  <c r="R1005"/>
  <c r="U1090"/>
  <c r="Q1090"/>
  <c r="U22" l="1"/>
  <c r="T286"/>
  <c r="S1248"/>
  <c r="R870"/>
  <c r="S870"/>
  <c r="T870"/>
  <c r="U870"/>
  <c r="V870"/>
  <c r="Q870"/>
  <c r="U744"/>
  <c r="R744"/>
  <c r="S744"/>
  <c r="T744"/>
  <c r="V744"/>
  <c r="Q744"/>
  <c r="Q678"/>
  <c r="Q521"/>
  <c r="Q295"/>
  <c r="R295"/>
  <c r="Q522" l="1"/>
  <c r="F44" i="51"/>
  <c r="F45" s="1"/>
  <c r="V22" i="36"/>
  <c r="V286" s="1"/>
  <c r="U286"/>
  <c r="R584"/>
  <c r="V584"/>
  <c r="Q584"/>
  <c r="F491" i="39"/>
  <c r="Q681" i="36"/>
  <c r="T1248"/>
  <c r="R384"/>
  <c r="S384"/>
  <c r="T384"/>
  <c r="U384"/>
  <c r="V384"/>
  <c r="R287"/>
  <c r="S287"/>
  <c r="T287"/>
  <c r="U287"/>
  <c r="V287"/>
  <c r="Q287"/>
  <c r="F46" i="51" l="1"/>
  <c r="F47" s="1"/>
  <c r="Q1165" i="36"/>
  <c r="F49" i="51"/>
  <c r="Q586" i="36"/>
  <c r="U1248"/>
  <c r="R263"/>
  <c r="S263"/>
  <c r="T263"/>
  <c r="U263"/>
  <c r="V263"/>
  <c r="F53" i="51" l="1"/>
  <c r="V1248" i="36"/>
  <c r="O1249"/>
  <c r="P1249"/>
  <c r="Q1249"/>
  <c r="F69" i="51" l="1"/>
  <c r="O1229" i="36"/>
  <c r="P1229"/>
  <c r="Q1229"/>
  <c r="R1229"/>
  <c r="S1229"/>
  <c r="T1229"/>
  <c r="U1229"/>
  <c r="V1229"/>
  <c r="O1227"/>
  <c r="P1227"/>
  <c r="Q1227"/>
  <c r="R1227"/>
  <c r="S1227"/>
  <c r="T1227"/>
  <c r="U1227"/>
  <c r="V1227"/>
  <c r="N1229"/>
  <c r="N1227"/>
  <c r="Q1219"/>
  <c r="R1219"/>
  <c r="S1219"/>
  <c r="T1219"/>
  <c r="U1219"/>
  <c r="V1219"/>
  <c r="P1219"/>
  <c r="O1219"/>
  <c r="N1219"/>
  <c r="N1221" s="1"/>
  <c r="D938" i="39"/>
  <c r="E938"/>
  <c r="F938"/>
  <c r="G938"/>
  <c r="H938"/>
  <c r="I938"/>
  <c r="J938"/>
  <c r="K938"/>
  <c r="C938"/>
  <c r="N1103" i="36"/>
  <c r="D939" i="39"/>
  <c r="E939"/>
  <c r="F939"/>
  <c r="G939"/>
  <c r="H939"/>
  <c r="I939"/>
  <c r="J939"/>
  <c r="K939"/>
  <c r="C939"/>
  <c r="C514"/>
  <c r="N89" i="36"/>
  <c r="G69" i="51" l="1"/>
  <c r="H69" s="1"/>
  <c r="I69" s="1"/>
  <c r="J69" s="1"/>
  <c r="K69" s="1"/>
  <c r="R1103" i="36"/>
  <c r="N460"/>
  <c r="O270"/>
  <c r="D247" i="39" l="1"/>
  <c r="E247"/>
  <c r="F247"/>
  <c r="D246"/>
  <c r="E246"/>
  <c r="F246"/>
  <c r="H246"/>
  <c r="I246"/>
  <c r="J246"/>
  <c r="K246"/>
  <c r="D245"/>
  <c r="E245"/>
  <c r="F245"/>
  <c r="G245"/>
  <c r="H26" i="43" s="1"/>
  <c r="H245" i="39"/>
  <c r="I245"/>
  <c r="J245"/>
  <c r="K245"/>
  <c r="D244"/>
  <c r="E244"/>
  <c r="F244"/>
  <c r="G244"/>
  <c r="H244"/>
  <c r="I244"/>
  <c r="J244"/>
  <c r="K244"/>
  <c r="D243"/>
  <c r="E243"/>
  <c r="F243"/>
  <c r="G243"/>
  <c r="H243"/>
  <c r="I243"/>
  <c r="J243"/>
  <c r="K243"/>
  <c r="D242"/>
  <c r="E242"/>
  <c r="F242"/>
  <c r="G242"/>
  <c r="H242"/>
  <c r="I242"/>
  <c r="J242"/>
  <c r="K242"/>
  <c r="C246"/>
  <c r="C242"/>
  <c r="N992" i="36"/>
  <c r="N572"/>
  <c r="O1217" l="1"/>
  <c r="P1217"/>
  <c r="Q1217"/>
  <c r="R1217"/>
  <c r="S1217"/>
  <c r="T1217"/>
  <c r="U1217"/>
  <c r="V1217"/>
  <c r="O1211"/>
  <c r="O1215" s="1"/>
  <c r="O1221" s="1"/>
  <c r="P1211"/>
  <c r="P1215" s="1"/>
  <c r="P1221" s="1"/>
  <c r="Q1211"/>
  <c r="Q1215" s="1"/>
  <c r="Q1221" s="1"/>
  <c r="S1211"/>
  <c r="S1215" s="1"/>
  <c r="U1211"/>
  <c r="U1215" s="1"/>
  <c r="V1211"/>
  <c r="V1215" s="1"/>
  <c r="Q991"/>
  <c r="Q871"/>
  <c r="Q832"/>
  <c r="Q805"/>
  <c r="N154"/>
  <c r="U1113"/>
  <c r="T1113"/>
  <c r="R1113"/>
  <c r="U1103"/>
  <c r="T1103"/>
  <c r="S1103"/>
  <c r="T1090"/>
  <c r="S1090"/>
  <c r="U1077"/>
  <c r="U1092" s="1"/>
  <c r="T1077"/>
  <c r="S1077"/>
  <c r="U1065"/>
  <c r="T1065"/>
  <c r="S1065"/>
  <c r="R1065"/>
  <c r="U1055"/>
  <c r="T1055"/>
  <c r="S1055"/>
  <c r="R1055"/>
  <c r="U1044"/>
  <c r="T1044"/>
  <c r="S1044"/>
  <c r="R1044"/>
  <c r="U1033"/>
  <c r="T1033"/>
  <c r="S1033"/>
  <c r="R1033"/>
  <c r="U1021"/>
  <c r="T1021"/>
  <c r="S1021"/>
  <c r="U1005"/>
  <c r="U1009" s="1"/>
  <c r="T1009"/>
  <c r="S1009"/>
  <c r="R1009"/>
  <c r="U991"/>
  <c r="T991"/>
  <c r="S991"/>
  <c r="R991"/>
  <c r="U982"/>
  <c r="T982"/>
  <c r="S982"/>
  <c r="R982"/>
  <c r="R996" s="1"/>
  <c r="U952"/>
  <c r="J703" i="39" s="1"/>
  <c r="T952" i="36"/>
  <c r="I703" i="39" s="1"/>
  <c r="S952" i="36"/>
  <c r="H703" i="39" s="1"/>
  <c r="R298" i="36"/>
  <c r="U926"/>
  <c r="T926"/>
  <c r="S926"/>
  <c r="R926"/>
  <c r="U896"/>
  <c r="T896"/>
  <c r="S896"/>
  <c r="R896"/>
  <c r="U867"/>
  <c r="U871" s="1"/>
  <c r="T867"/>
  <c r="T871" s="1"/>
  <c r="S867"/>
  <c r="S871" s="1"/>
  <c r="R867"/>
  <c r="R871" s="1"/>
  <c r="U830"/>
  <c r="T830"/>
  <c r="S830"/>
  <c r="R830"/>
  <c r="U828"/>
  <c r="T828"/>
  <c r="S828"/>
  <c r="U827"/>
  <c r="T827"/>
  <c r="S827"/>
  <c r="R827"/>
  <c r="U296"/>
  <c r="T805"/>
  <c r="S805"/>
  <c r="R805"/>
  <c r="U801"/>
  <c r="U782"/>
  <c r="T782"/>
  <c r="S782"/>
  <c r="R782"/>
  <c r="U769"/>
  <c r="T769"/>
  <c r="S769"/>
  <c r="R769"/>
  <c r="U714"/>
  <c r="T714"/>
  <c r="S714"/>
  <c r="R714"/>
  <c r="U712"/>
  <c r="T712"/>
  <c r="S712"/>
  <c r="R712"/>
  <c r="U696"/>
  <c r="T696"/>
  <c r="S696"/>
  <c r="S747" s="1"/>
  <c r="R696"/>
  <c r="R747" s="1"/>
  <c r="U678"/>
  <c r="T678"/>
  <c r="S678"/>
  <c r="R678"/>
  <c r="U628"/>
  <c r="T628"/>
  <c r="S628"/>
  <c r="R628"/>
  <c r="U627"/>
  <c r="T627"/>
  <c r="S627"/>
  <c r="R627"/>
  <c r="U624"/>
  <c r="T624"/>
  <c r="S624"/>
  <c r="R624"/>
  <c r="U611"/>
  <c r="T611"/>
  <c r="S611"/>
  <c r="R611"/>
  <c r="U607"/>
  <c r="T607"/>
  <c r="S607"/>
  <c r="R607"/>
  <c r="U601"/>
  <c r="T601"/>
  <c r="S601"/>
  <c r="R601"/>
  <c r="U584"/>
  <c r="T584"/>
  <c r="S584"/>
  <c r="R586"/>
  <c r="S548"/>
  <c r="R548"/>
  <c r="U548"/>
  <c r="T548"/>
  <c r="U509"/>
  <c r="T509"/>
  <c r="S509"/>
  <c r="R509"/>
  <c r="U232"/>
  <c r="T232"/>
  <c r="S232"/>
  <c r="R232"/>
  <c r="R489"/>
  <c r="R440"/>
  <c r="U428"/>
  <c r="J253" i="39" s="1"/>
  <c r="T428" i="36"/>
  <c r="I253" i="39" s="1"/>
  <c r="S428" i="36"/>
  <c r="H253" i="39" s="1"/>
  <c r="R428" i="36"/>
  <c r="G253" i="39" s="1"/>
  <c r="U424" i="36"/>
  <c r="U425" s="1"/>
  <c r="T424"/>
  <c r="T425" s="1"/>
  <c r="S424"/>
  <c r="S425" s="1"/>
  <c r="S455" s="1"/>
  <c r="U416"/>
  <c r="U418" s="1"/>
  <c r="T416"/>
  <c r="T418" s="1"/>
  <c r="S416"/>
  <c r="S418" s="1"/>
  <c r="R416"/>
  <c r="U388"/>
  <c r="U390" s="1"/>
  <c r="T388"/>
  <c r="T390" s="1"/>
  <c r="S388"/>
  <c r="S390" s="1"/>
  <c r="R388"/>
  <c r="R390" s="1"/>
  <c r="U386"/>
  <c r="T386"/>
  <c r="S386"/>
  <c r="R386"/>
  <c r="S374"/>
  <c r="R374"/>
  <c r="T374"/>
  <c r="U355"/>
  <c r="T355"/>
  <c r="S355"/>
  <c r="R355"/>
  <c r="U337"/>
  <c r="T337"/>
  <c r="S337"/>
  <c r="R337"/>
  <c r="U332"/>
  <c r="T332"/>
  <c r="S332"/>
  <c r="R332"/>
  <c r="U320"/>
  <c r="T320"/>
  <c r="S320"/>
  <c r="R320"/>
  <c r="U314"/>
  <c r="T314"/>
  <c r="S314"/>
  <c r="R314"/>
  <c r="U295"/>
  <c r="T295"/>
  <c r="S295"/>
  <c r="S294"/>
  <c r="R294"/>
  <c r="S293"/>
  <c r="R293"/>
  <c r="U289"/>
  <c r="T289"/>
  <c r="S289"/>
  <c r="R289"/>
  <c r="U273"/>
  <c r="T1211"/>
  <c r="T1215" s="1"/>
  <c r="R264"/>
  <c r="R1211" s="1"/>
  <c r="R1215" s="1"/>
  <c r="U1249"/>
  <c r="T1249"/>
  <c r="S1249"/>
  <c r="R1249"/>
  <c r="U256"/>
  <c r="T256"/>
  <c r="R256"/>
  <c r="U239"/>
  <c r="T239"/>
  <c r="S239"/>
  <c r="R239"/>
  <c r="U204"/>
  <c r="U219" s="1"/>
  <c r="T204"/>
  <c r="T219" s="1"/>
  <c r="S204"/>
  <c r="S219" s="1"/>
  <c r="R204"/>
  <c r="R219" s="1"/>
  <c r="U185"/>
  <c r="T185"/>
  <c r="S185"/>
  <c r="R185"/>
  <c r="U172"/>
  <c r="T172"/>
  <c r="S172"/>
  <c r="R172"/>
  <c r="U170"/>
  <c r="T170"/>
  <c r="S170"/>
  <c r="R170"/>
  <c r="U146"/>
  <c r="T146"/>
  <c r="S146"/>
  <c r="R146"/>
  <c r="T116"/>
  <c r="S116"/>
  <c r="R116"/>
  <c r="U105"/>
  <c r="T105"/>
  <c r="S105"/>
  <c r="R105"/>
  <c r="U20"/>
  <c r="T20"/>
  <c r="S20"/>
  <c r="R20"/>
  <c r="P1113"/>
  <c r="P1103"/>
  <c r="P1090"/>
  <c r="P1077"/>
  <c r="P1065"/>
  <c r="P1055"/>
  <c r="P1044"/>
  <c r="P1033"/>
  <c r="P1021"/>
  <c r="P1009"/>
  <c r="P993"/>
  <c r="P991"/>
  <c r="P982"/>
  <c r="P926"/>
  <c r="P896"/>
  <c r="P805"/>
  <c r="P782"/>
  <c r="P769"/>
  <c r="P586"/>
  <c r="P548"/>
  <c r="P509"/>
  <c r="P390"/>
  <c r="P386"/>
  <c r="P374"/>
  <c r="P355"/>
  <c r="P337"/>
  <c r="P332"/>
  <c r="P320"/>
  <c r="P314"/>
  <c r="P258"/>
  <c r="P219"/>
  <c r="P146"/>
  <c r="P105"/>
  <c r="N1113"/>
  <c r="N1090"/>
  <c r="N1077"/>
  <c r="N1065"/>
  <c r="N1055"/>
  <c r="N1044"/>
  <c r="N1033"/>
  <c r="N1021"/>
  <c r="N1009"/>
  <c r="N996"/>
  <c r="N1001" s="1"/>
  <c r="N954"/>
  <c r="N926"/>
  <c r="N931" s="1"/>
  <c r="N896"/>
  <c r="N871"/>
  <c r="N832"/>
  <c r="N805"/>
  <c r="N782"/>
  <c r="N769"/>
  <c r="N747"/>
  <c r="N655"/>
  <c r="N586"/>
  <c r="N548"/>
  <c r="N534"/>
  <c r="C70" i="51" s="1"/>
  <c r="C71" s="1"/>
  <c r="N489" i="36"/>
  <c r="C21" i="51" s="1"/>
  <c r="C22" s="1"/>
  <c r="N449" i="36"/>
  <c r="N390"/>
  <c r="N386"/>
  <c r="N374"/>
  <c r="N355"/>
  <c r="N337"/>
  <c r="N342" s="1"/>
  <c r="N332"/>
  <c r="N320"/>
  <c r="N325" s="1"/>
  <c r="N314"/>
  <c r="N258"/>
  <c r="N219"/>
  <c r="N146"/>
  <c r="N128"/>
  <c r="N105"/>
  <c r="N66"/>
  <c r="S1221" l="1"/>
  <c r="T1221"/>
  <c r="U1221"/>
  <c r="N190"/>
  <c r="N1250"/>
  <c r="E37" i="51"/>
  <c r="E38" s="1"/>
  <c r="P1127" i="36"/>
  <c r="G21" i="51"/>
  <c r="G22" s="1"/>
  <c r="H37"/>
  <c r="H38" s="1"/>
  <c r="S1127" i="36"/>
  <c r="G37" i="51"/>
  <c r="G38" s="1"/>
  <c r="R524" i="36"/>
  <c r="R526" s="1"/>
  <c r="R1127"/>
  <c r="J37" i="51"/>
  <c r="J38" s="1"/>
  <c r="U1127" i="36"/>
  <c r="I37" i="51"/>
  <c r="I38" s="1"/>
  <c r="T1127" i="36"/>
  <c r="R1221"/>
  <c r="V1221"/>
  <c r="R411"/>
  <c r="R1286" s="1"/>
  <c r="R1284"/>
  <c r="N536"/>
  <c r="G255" i="39"/>
  <c r="S339" i="36"/>
  <c r="T392"/>
  <c r="U322"/>
  <c r="N322"/>
  <c r="J247" i="39"/>
  <c r="T996" i="36"/>
  <c r="S996"/>
  <c r="R1046"/>
  <c r="R1067"/>
  <c r="I247" i="39"/>
  <c r="T455" i="36"/>
  <c r="U455" s="1"/>
  <c r="E1112" i="39"/>
  <c r="C994"/>
  <c r="I1112"/>
  <c r="H1112"/>
  <c r="S586" i="36"/>
  <c r="C1112" i="39"/>
  <c r="G1112"/>
  <c r="U586" i="36"/>
  <c r="U747"/>
  <c r="N752"/>
  <c r="T586"/>
  <c r="H491" i="39"/>
  <c r="S681" i="36"/>
  <c r="G491" i="39"/>
  <c r="R681" i="36"/>
  <c r="J491" i="39"/>
  <c r="U681" i="36"/>
  <c r="T681"/>
  <c r="I491" i="39"/>
  <c r="S832" i="36"/>
  <c r="S873" s="1"/>
  <c r="S880" s="1"/>
  <c r="R832"/>
  <c r="R873" s="1"/>
  <c r="R880" s="1"/>
  <c r="T832"/>
  <c r="T873" s="1"/>
  <c r="T880" s="1"/>
  <c r="S322"/>
  <c r="S449"/>
  <c r="R449"/>
  <c r="R451" s="1"/>
  <c r="T322"/>
  <c r="U449"/>
  <c r="U451" s="1"/>
  <c r="T655"/>
  <c r="T784"/>
  <c r="S1023"/>
  <c r="T1067"/>
  <c r="T1092"/>
  <c r="S655"/>
  <c r="U489"/>
  <c r="J21" i="51" s="1"/>
  <c r="J22" s="1"/>
  <c r="U655" i="36"/>
  <c r="U784"/>
  <c r="T928"/>
  <c r="U128"/>
  <c r="S784"/>
  <c r="U1115"/>
  <c r="R339"/>
  <c r="S63"/>
  <c r="U1023"/>
  <c r="R258"/>
  <c r="G177" i="40"/>
  <c r="U258" i="36"/>
  <c r="J177" i="40"/>
  <c r="T258" i="36"/>
  <c r="I177" i="40"/>
  <c r="S258" i="36"/>
  <c r="H177" i="40"/>
  <c r="R784" i="36"/>
  <c r="U1046"/>
  <c r="U928"/>
  <c r="T339"/>
  <c r="T449"/>
  <c r="H247" i="39"/>
  <c r="G247"/>
  <c r="U954" i="36"/>
  <c r="S954"/>
  <c r="U1067"/>
  <c r="U805"/>
  <c r="J1112" i="39" s="1"/>
  <c r="T1046" i="36"/>
  <c r="R928"/>
  <c r="S1115"/>
  <c r="R1115"/>
  <c r="S1046"/>
  <c r="R1092"/>
  <c r="S1067"/>
  <c r="S298"/>
  <c r="N1067"/>
  <c r="R296"/>
  <c r="Q299"/>
  <c r="U832"/>
  <c r="U873" s="1"/>
  <c r="U880" s="1"/>
  <c r="Q252"/>
  <c r="T1115"/>
  <c r="S1092"/>
  <c r="S928"/>
  <c r="P376"/>
  <c r="P1092"/>
  <c r="P322"/>
  <c r="P325" s="1"/>
  <c r="P1046"/>
  <c r="R376"/>
  <c r="T564"/>
  <c r="N784"/>
  <c r="R63"/>
  <c r="P449"/>
  <c r="P451" s="1"/>
  <c r="P784"/>
  <c r="S376"/>
  <c r="S252"/>
  <c r="R190"/>
  <c r="P954"/>
  <c r="U294"/>
  <c r="U996"/>
  <c r="R252"/>
  <c r="N1046"/>
  <c r="N1092"/>
  <c r="P996"/>
  <c r="P1067"/>
  <c r="P1069" s="1"/>
  <c r="T376"/>
  <c r="S524"/>
  <c r="H50" i="51" s="1"/>
  <c r="H51" s="1"/>
  <c r="T1023" i="36"/>
  <c r="N376"/>
  <c r="N526"/>
  <c r="P524"/>
  <c r="E50" i="51" s="1"/>
  <c r="E51" s="1"/>
  <c r="P655" i="36"/>
  <c r="U374"/>
  <c r="U376" s="1"/>
  <c r="N657"/>
  <c r="P832"/>
  <c r="T294"/>
  <c r="U298"/>
  <c r="U252"/>
  <c r="U564"/>
  <c r="R1023"/>
  <c r="S392"/>
  <c r="T747"/>
  <c r="N873"/>
  <c r="N878" s="1"/>
  <c r="N998"/>
  <c r="P190"/>
  <c r="P392"/>
  <c r="P252"/>
  <c r="P260" s="1"/>
  <c r="P1023"/>
  <c r="R392"/>
  <c r="N299"/>
  <c r="N392"/>
  <c r="N749"/>
  <c r="N1023"/>
  <c r="N1115"/>
  <c r="P339"/>
  <c r="P342" s="1"/>
  <c r="T296"/>
  <c r="U392"/>
  <c r="U524"/>
  <c r="J50" i="51" s="1"/>
  <c r="J51" s="1"/>
  <c r="R954" i="36"/>
  <c r="R998" s="1"/>
  <c r="N252"/>
  <c r="N260" s="1"/>
  <c r="N339"/>
  <c r="N451"/>
  <c r="N453" s="1"/>
  <c r="N564"/>
  <c r="N928"/>
  <c r="P66"/>
  <c r="E994" i="39" s="1"/>
  <c r="P128" i="36"/>
  <c r="P564"/>
  <c r="P747"/>
  <c r="P1115"/>
  <c r="T128"/>
  <c r="S296"/>
  <c r="T252"/>
  <c r="T524"/>
  <c r="I50" i="51" s="1"/>
  <c r="I51" s="1"/>
  <c r="S564" i="36"/>
  <c r="P928"/>
  <c r="T63"/>
  <c r="U63"/>
  <c r="U339"/>
  <c r="R564"/>
  <c r="R655"/>
  <c r="T954"/>
  <c r="T298"/>
  <c r="R128"/>
  <c r="S128"/>
  <c r="S10"/>
  <c r="S157" s="1"/>
  <c r="S489"/>
  <c r="H21" i="51" s="1"/>
  <c r="H22" s="1"/>
  <c r="R322" i="36"/>
  <c r="T489"/>
  <c r="I21" i="51" s="1"/>
  <c r="I22" s="1"/>
  <c r="P455" i="36"/>
  <c r="P460" s="1"/>
  <c r="P489"/>
  <c r="E21" i="51" s="1"/>
  <c r="E22" s="1"/>
  <c r="P871" i="36"/>
  <c r="N660"/>
  <c r="D807" i="39"/>
  <c r="E807"/>
  <c r="F807"/>
  <c r="G807"/>
  <c r="H807"/>
  <c r="I807"/>
  <c r="J807"/>
  <c r="K807"/>
  <c r="C807"/>
  <c r="R657" i="36" l="1"/>
  <c r="C54" i="51"/>
  <c r="C55" s="1"/>
  <c r="G50"/>
  <c r="G51" s="1"/>
  <c r="G246" i="39"/>
  <c r="R1283" i="36"/>
  <c r="X1283" s="1"/>
  <c r="R418"/>
  <c r="R453" s="1"/>
  <c r="T998"/>
  <c r="S998"/>
  <c r="S657"/>
  <c r="P749"/>
  <c r="P657"/>
  <c r="T657"/>
  <c r="U657"/>
  <c r="R749"/>
  <c r="S749"/>
  <c r="U749"/>
  <c r="T749"/>
  <c r="S260"/>
  <c r="S451"/>
  <c r="S453" s="1"/>
  <c r="R260"/>
  <c r="U526"/>
  <c r="U260"/>
  <c r="T260"/>
  <c r="T875"/>
  <c r="T451"/>
  <c r="T453" s="1"/>
  <c r="N302"/>
  <c r="R299"/>
  <c r="U998"/>
  <c r="R66"/>
  <c r="S299"/>
  <c r="U875"/>
  <c r="S526"/>
  <c r="P998"/>
  <c r="P1001" s="1"/>
  <c r="P873"/>
  <c r="P875" s="1"/>
  <c r="P1170" s="1"/>
  <c r="U299"/>
  <c r="S875"/>
  <c r="P299"/>
  <c r="P302" s="1"/>
  <c r="T299"/>
  <c r="N875"/>
  <c r="R875"/>
  <c r="U453"/>
  <c r="P453"/>
  <c r="T526"/>
  <c r="T10"/>
  <c r="S66"/>
  <c r="H994" i="39" s="1"/>
  <c r="S190" i="36"/>
  <c r="P526"/>
  <c r="E1008" i="39" l="1"/>
  <c r="J1128"/>
  <c r="U1170" i="36"/>
  <c r="G1128" i="39"/>
  <c r="R1166" i="36"/>
  <c r="R1170"/>
  <c r="I1128" i="39"/>
  <c r="T1170" i="36"/>
  <c r="C1128" i="39"/>
  <c r="N1170" i="36"/>
  <c r="N1166"/>
  <c r="H1128" i="39"/>
  <c r="S1170" i="36"/>
  <c r="J54" i="51"/>
  <c r="J55" s="1"/>
  <c r="E54"/>
  <c r="E55" s="1"/>
  <c r="I54"/>
  <c r="I55" s="1"/>
  <c r="H54"/>
  <c r="H55" s="1"/>
  <c r="G54"/>
  <c r="G55" s="1"/>
  <c r="G994" i="39"/>
  <c r="R302" i="36"/>
  <c r="N304"/>
  <c r="C1008" i="39"/>
  <c r="P752" i="36"/>
  <c r="P878"/>
  <c r="E1128" i="39"/>
  <c r="P660" i="36"/>
  <c r="S302"/>
  <c r="P304"/>
  <c r="P1138" s="1"/>
  <c r="N307"/>
  <c r="U10"/>
  <c r="T157"/>
  <c r="T190" s="1"/>
  <c r="T66"/>
  <c r="I994" i="39" s="1"/>
  <c r="G1008" l="1"/>
  <c r="H1008"/>
  <c r="C1012"/>
  <c r="N1138" i="36"/>
  <c r="R304"/>
  <c r="P307"/>
  <c r="E1012" i="39"/>
  <c r="T302" i="36"/>
  <c r="S304"/>
  <c r="U157"/>
  <c r="U190" s="1"/>
  <c r="U66"/>
  <c r="J994" i="39" s="1"/>
  <c r="D501"/>
  <c r="E501"/>
  <c r="F501"/>
  <c r="G501"/>
  <c r="H501"/>
  <c r="I501"/>
  <c r="J501"/>
  <c r="K501"/>
  <c r="C501"/>
  <c r="D447"/>
  <c r="E447"/>
  <c r="F447"/>
  <c r="G447"/>
  <c r="H447"/>
  <c r="I447"/>
  <c r="J447"/>
  <c r="K447"/>
  <c r="C447"/>
  <c r="H1012" l="1"/>
  <c r="S1138" i="36"/>
  <c r="G1012" i="39"/>
  <c r="R1138" i="36"/>
  <c r="T304"/>
  <c r="I1008" i="39"/>
  <c r="U302" i="36"/>
  <c r="E1016" i="39"/>
  <c r="E1018" s="1"/>
  <c r="E911"/>
  <c r="E912" s="1"/>
  <c r="C911"/>
  <c r="C912" s="1"/>
  <c r="E956"/>
  <c r="E957" s="1"/>
  <c r="C956"/>
  <c r="C957" s="1"/>
  <c r="D866"/>
  <c r="D867" s="1"/>
  <c r="E866"/>
  <c r="E867" s="1"/>
  <c r="C866"/>
  <c r="C867" s="1"/>
  <c r="I1012" l="1"/>
  <c r="T1138" i="36"/>
  <c r="U304"/>
  <c r="J1008" i="39"/>
  <c r="J1012" l="1"/>
  <c r="U1138" i="36"/>
  <c r="E819" i="39"/>
  <c r="E820" s="1"/>
  <c r="C819"/>
  <c r="C820" s="1"/>
  <c r="E770"/>
  <c r="E771" s="1"/>
  <c r="C770"/>
  <c r="C771" s="1"/>
  <c r="E723"/>
  <c r="E724" s="1"/>
  <c r="C723"/>
  <c r="C724" s="1"/>
  <c r="M1234" i="36"/>
  <c r="N1234"/>
  <c r="O1234"/>
  <c r="P1234"/>
  <c r="Q1234"/>
  <c r="R1234"/>
  <c r="M1233"/>
  <c r="N1233"/>
  <c r="O1233"/>
  <c r="P1233"/>
  <c r="Q1233"/>
  <c r="R1233"/>
  <c r="L1234"/>
  <c r="L1233"/>
  <c r="E666" i="39"/>
  <c r="E667" s="1"/>
  <c r="C666"/>
  <c r="C667" s="1"/>
  <c r="E616"/>
  <c r="E617" s="1"/>
  <c r="C616"/>
  <c r="C617" s="1"/>
  <c r="L1236" i="36" l="1"/>
  <c r="L1240" s="1"/>
  <c r="R1236"/>
  <c r="N1236"/>
  <c r="P1236"/>
  <c r="Q1236"/>
  <c r="M1236"/>
  <c r="M1240" s="1"/>
  <c r="O1236"/>
  <c r="E564" i="39"/>
  <c r="E565" s="1"/>
  <c r="C564"/>
  <c r="C565" s="1"/>
  <c r="E514"/>
  <c r="E515" s="1"/>
  <c r="C515"/>
  <c r="E459"/>
  <c r="E460" s="1"/>
  <c r="E406"/>
  <c r="E407" s="1"/>
  <c r="C406"/>
  <c r="C407" s="1"/>
  <c r="H762"/>
  <c r="O1021" i="36"/>
  <c r="D762" i="39" s="1"/>
  <c r="E762"/>
  <c r="Q1021" i="36"/>
  <c r="F762" i="39" s="1"/>
  <c r="I762"/>
  <c r="J762"/>
  <c r="V1021" i="36"/>
  <c r="K762" i="39" s="1"/>
  <c r="C762"/>
  <c r="E357" l="1"/>
  <c r="C357"/>
  <c r="E353"/>
  <c r="C353"/>
  <c r="E349"/>
  <c r="C349"/>
  <c r="E275"/>
  <c r="E276" s="1"/>
  <c r="C275"/>
  <c r="C276" s="1"/>
  <c r="E271"/>
  <c r="C271"/>
  <c r="D267"/>
  <c r="E267"/>
  <c r="F267"/>
  <c r="C267"/>
  <c r="E216"/>
  <c r="E217" s="1"/>
  <c r="C216"/>
  <c r="C217" s="1"/>
  <c r="E173"/>
  <c r="E174" s="1"/>
  <c r="C173"/>
  <c r="C174" s="1"/>
  <c r="E127"/>
  <c r="E128" s="1"/>
  <c r="C127"/>
  <c r="C128" s="1"/>
  <c r="E83"/>
  <c r="E84" s="1"/>
  <c r="C83"/>
  <c r="C84" s="1"/>
  <c r="G762"/>
  <c r="D760"/>
  <c r="D1064" s="1"/>
  <c r="E760"/>
  <c r="E1064" s="1"/>
  <c r="F760"/>
  <c r="F1064" s="1"/>
  <c r="H760"/>
  <c r="H1064" s="1"/>
  <c r="I760"/>
  <c r="I1064" s="1"/>
  <c r="J760"/>
  <c r="J1064" s="1"/>
  <c r="K760"/>
  <c r="K1064" s="1"/>
  <c r="C760"/>
  <c r="C1064" s="1"/>
  <c r="E40"/>
  <c r="E41" s="1"/>
  <c r="C40"/>
  <c r="C41" s="1"/>
  <c r="G760" l="1"/>
  <c r="G1064" s="1"/>
  <c r="D808" l="1"/>
  <c r="E808"/>
  <c r="F808"/>
  <c r="G808"/>
  <c r="G76" i="43" s="1"/>
  <c r="H808" i="39"/>
  <c r="I808"/>
  <c r="J808"/>
  <c r="K808"/>
  <c r="C808"/>
  <c r="G705" l="1"/>
  <c r="V696" i="36" l="1"/>
  <c r="V601"/>
  <c r="V428"/>
  <c r="K253" i="39" s="1"/>
  <c r="V388" i="36"/>
  <c r="V982" l="1"/>
  <c r="D901" i="39" l="1"/>
  <c r="E901"/>
  <c r="F901"/>
  <c r="G901"/>
  <c r="H901"/>
  <c r="I901"/>
  <c r="J901"/>
  <c r="K901"/>
  <c r="C901"/>
  <c r="C244"/>
  <c r="V256" i="36" l="1"/>
  <c r="G26" i="43" l="1"/>
  <c r="J903" i="39"/>
  <c r="C903"/>
  <c r="G903"/>
  <c r="R1205" i="36" l="1"/>
  <c r="R1206" s="1"/>
  <c r="D257" i="39" l="1"/>
  <c r="E257"/>
  <c r="F257"/>
  <c r="C257"/>
  <c r="H257"/>
  <c r="I257"/>
  <c r="V424" i="36"/>
  <c r="V425" s="1"/>
  <c r="V455" s="1"/>
  <c r="V63" l="1"/>
  <c r="G19" i="39"/>
  <c r="D19"/>
  <c r="F19"/>
  <c r="C19"/>
  <c r="E19"/>
  <c r="G267"/>
  <c r="G257"/>
  <c r="I66" i="43" s="1"/>
  <c r="J257" i="39"/>
  <c r="K257"/>
  <c r="E211" i="40"/>
  <c r="C211"/>
  <c r="D175"/>
  <c r="E175"/>
  <c r="F175"/>
  <c r="G175"/>
  <c r="H175"/>
  <c r="I175"/>
  <c r="J175"/>
  <c r="K175"/>
  <c r="C175"/>
  <c r="D144"/>
  <c r="E144"/>
  <c r="F144"/>
  <c r="G144"/>
  <c r="H144"/>
  <c r="I144"/>
  <c r="J144"/>
  <c r="K144"/>
  <c r="C144"/>
  <c r="D77"/>
  <c r="E77"/>
  <c r="F77"/>
  <c r="G77"/>
  <c r="H77"/>
  <c r="I77"/>
  <c r="J77"/>
  <c r="K77"/>
  <c r="C77"/>
  <c r="E946" i="39"/>
  <c r="D946"/>
  <c r="C946"/>
  <c r="D900"/>
  <c r="E900"/>
  <c r="F900"/>
  <c r="G900"/>
  <c r="H900"/>
  <c r="I900"/>
  <c r="J900"/>
  <c r="K900"/>
  <c r="C900"/>
  <c r="D855"/>
  <c r="E855"/>
  <c r="F855"/>
  <c r="G855"/>
  <c r="H855"/>
  <c r="I855"/>
  <c r="J855"/>
  <c r="K855"/>
  <c r="C855"/>
  <c r="D853"/>
  <c r="E853"/>
  <c r="F853"/>
  <c r="G853"/>
  <c r="H853"/>
  <c r="I853"/>
  <c r="J853"/>
  <c r="K853"/>
  <c r="C853"/>
  <c r="D806"/>
  <c r="E806"/>
  <c r="F806"/>
  <c r="G806"/>
  <c r="E76" i="43" s="1"/>
  <c r="H806" i="39"/>
  <c r="I806"/>
  <c r="J806"/>
  <c r="K806"/>
  <c r="C806"/>
  <c r="D713"/>
  <c r="E713"/>
  <c r="C713"/>
  <c r="D709"/>
  <c r="D1060" s="1"/>
  <c r="E709"/>
  <c r="E1060" s="1"/>
  <c r="F709"/>
  <c r="F1060" s="1"/>
  <c r="G709"/>
  <c r="G1060" s="1"/>
  <c r="H709"/>
  <c r="H1060" s="1"/>
  <c r="I709"/>
  <c r="I1060" s="1"/>
  <c r="J709"/>
  <c r="J1060" s="1"/>
  <c r="K709"/>
  <c r="K1060" s="1"/>
  <c r="C709"/>
  <c r="C1060" s="1"/>
  <c r="D699"/>
  <c r="D1050" s="1"/>
  <c r="E699"/>
  <c r="E1050" s="1"/>
  <c r="F699"/>
  <c r="F1050" s="1"/>
  <c r="G699"/>
  <c r="G1050" s="1"/>
  <c r="H699"/>
  <c r="H1050" s="1"/>
  <c r="I699"/>
  <c r="I1050" s="1"/>
  <c r="J699"/>
  <c r="J1050" s="1"/>
  <c r="K699"/>
  <c r="K1050" s="1"/>
  <c r="C699"/>
  <c r="C1050" s="1"/>
  <c r="D697"/>
  <c r="E697"/>
  <c r="F697"/>
  <c r="G697"/>
  <c r="H697"/>
  <c r="I697"/>
  <c r="J697"/>
  <c r="K697"/>
  <c r="C697"/>
  <c r="D696"/>
  <c r="D1047" s="1"/>
  <c r="E696"/>
  <c r="E1047" s="1"/>
  <c r="G696"/>
  <c r="G1047" s="1"/>
  <c r="H696"/>
  <c r="H1047" s="1"/>
  <c r="I696"/>
  <c r="I1047" s="1"/>
  <c r="J696"/>
  <c r="J1047" s="1"/>
  <c r="K696"/>
  <c r="K1047" s="1"/>
  <c r="C696"/>
  <c r="C1047" s="1"/>
  <c r="D695"/>
  <c r="E695"/>
  <c r="F695"/>
  <c r="G695"/>
  <c r="C695"/>
  <c r="D647"/>
  <c r="E647"/>
  <c r="F647"/>
  <c r="H647"/>
  <c r="I647"/>
  <c r="J647"/>
  <c r="K647"/>
  <c r="C647"/>
  <c r="D606"/>
  <c r="E606"/>
  <c r="F606"/>
  <c r="H606"/>
  <c r="I606"/>
  <c r="J606"/>
  <c r="K606"/>
  <c r="C606"/>
  <c r="D604"/>
  <c r="E604"/>
  <c r="C604"/>
  <c r="D990"/>
  <c r="E990"/>
  <c r="F990"/>
  <c r="G990"/>
  <c r="H990"/>
  <c r="I990"/>
  <c r="J990"/>
  <c r="K990"/>
  <c r="C990"/>
  <c r="D504"/>
  <c r="E504"/>
  <c r="C504"/>
  <c r="D502"/>
  <c r="E502"/>
  <c r="F502"/>
  <c r="G502"/>
  <c r="H502"/>
  <c r="I502"/>
  <c r="J502"/>
  <c r="K502"/>
  <c r="C502"/>
  <c r="D497"/>
  <c r="E497"/>
  <c r="F497"/>
  <c r="G497"/>
  <c r="H497"/>
  <c r="I497"/>
  <c r="J497"/>
  <c r="K497"/>
  <c r="C497"/>
  <c r="D486"/>
  <c r="E486"/>
  <c r="F486"/>
  <c r="G486"/>
  <c r="H486"/>
  <c r="I486"/>
  <c r="J486"/>
  <c r="K486"/>
  <c r="C486"/>
  <c r="D335"/>
  <c r="E335"/>
  <c r="F335"/>
  <c r="G335"/>
  <c r="H335"/>
  <c r="I335"/>
  <c r="J335"/>
  <c r="K335"/>
  <c r="C335"/>
  <c r="D334"/>
  <c r="E334"/>
  <c r="F334"/>
  <c r="C334"/>
  <c r="D1120"/>
  <c r="E1120"/>
  <c r="F1120"/>
  <c r="G1120"/>
  <c r="H1120"/>
  <c r="I1120"/>
  <c r="J1120"/>
  <c r="K1120"/>
  <c r="C1120"/>
  <c r="D326"/>
  <c r="E326"/>
  <c r="F326"/>
  <c r="C326"/>
  <c r="D325"/>
  <c r="E325"/>
  <c r="F325"/>
  <c r="G325"/>
  <c r="H325"/>
  <c r="I325"/>
  <c r="J325"/>
  <c r="K325"/>
  <c r="C325"/>
  <c r="D323"/>
  <c r="E323"/>
  <c r="F323"/>
  <c r="G323"/>
  <c r="H323"/>
  <c r="I323"/>
  <c r="J323"/>
  <c r="K323"/>
  <c r="C323"/>
  <c r="D317"/>
  <c r="E317"/>
  <c r="F317"/>
  <c r="C317"/>
  <c r="D256"/>
  <c r="E256"/>
  <c r="F256"/>
  <c r="C256"/>
  <c r="C247"/>
  <c r="D199"/>
  <c r="E199"/>
  <c r="F199"/>
  <c r="G199"/>
  <c r="H199"/>
  <c r="I199"/>
  <c r="J199"/>
  <c r="K199"/>
  <c r="C199"/>
  <c r="D161"/>
  <c r="E161"/>
  <c r="F161"/>
  <c r="G161"/>
  <c r="E53" i="43" s="1"/>
  <c r="H161" i="39"/>
  <c r="I161"/>
  <c r="J161"/>
  <c r="K161"/>
  <c r="C161"/>
  <c r="D117"/>
  <c r="E117"/>
  <c r="F117"/>
  <c r="G117"/>
  <c r="O59" i="43" s="1"/>
  <c r="H117" i="39"/>
  <c r="I117"/>
  <c r="J117"/>
  <c r="K117"/>
  <c r="C117"/>
  <c r="D73"/>
  <c r="E73"/>
  <c r="F73"/>
  <c r="G73"/>
  <c r="O58" i="43" s="1"/>
  <c r="H73" i="39"/>
  <c r="I73"/>
  <c r="J73"/>
  <c r="K73"/>
  <c r="C73"/>
  <c r="D155"/>
  <c r="E155"/>
  <c r="F155"/>
  <c r="G155"/>
  <c r="I13" i="43" s="1"/>
  <c r="H155" i="39"/>
  <c r="I155"/>
  <c r="J155"/>
  <c r="K155"/>
  <c r="C155"/>
  <c r="D307"/>
  <c r="E307"/>
  <c r="F307"/>
  <c r="G307"/>
  <c r="H307"/>
  <c r="I307"/>
  <c r="J307"/>
  <c r="K307"/>
  <c r="C307"/>
  <c r="D305"/>
  <c r="E305"/>
  <c r="F305"/>
  <c r="G305"/>
  <c r="H305"/>
  <c r="I305"/>
  <c r="J305"/>
  <c r="K305"/>
  <c r="C305"/>
  <c r="D304"/>
  <c r="E304"/>
  <c r="C304"/>
  <c r="C162"/>
  <c r="D163"/>
  <c r="E163"/>
  <c r="C163"/>
  <c r="L1190" i="36"/>
  <c r="L1127"/>
  <c r="L1137" s="1"/>
  <c r="L1169"/>
  <c r="L1158"/>
  <c r="L1199"/>
  <c r="L1178"/>
  <c r="L1147"/>
  <c r="L1157" s="1"/>
  <c r="M1158"/>
  <c r="M1199"/>
  <c r="M1178"/>
  <c r="M1147"/>
  <c r="M1157" s="1"/>
  <c r="M1127"/>
  <c r="M1137" s="1"/>
  <c r="G647" i="39"/>
  <c r="L31" i="43" s="1"/>
  <c r="H163" i="39"/>
  <c r="J163"/>
  <c r="K163"/>
  <c r="G163"/>
  <c r="F163"/>
  <c r="H946"/>
  <c r="I946"/>
  <c r="J946"/>
  <c r="K946"/>
  <c r="G946"/>
  <c r="F946"/>
  <c r="K19" l="1"/>
  <c r="D1121"/>
  <c r="D336"/>
  <c r="C1121"/>
  <c r="C336"/>
  <c r="E1121"/>
  <c r="E336"/>
  <c r="F1121"/>
  <c r="F336"/>
  <c r="F1002"/>
  <c r="C1002"/>
  <c r="D1002"/>
  <c r="F258"/>
  <c r="E1002"/>
  <c r="L10" i="43"/>
  <c r="E258" i="39"/>
  <c r="J19"/>
  <c r="H19"/>
  <c r="I19"/>
  <c r="E21"/>
  <c r="D258"/>
  <c r="D1122"/>
  <c r="I1122"/>
  <c r="C1122"/>
  <c r="H1122"/>
  <c r="F1122"/>
  <c r="K1122"/>
  <c r="E1122"/>
  <c r="J1122"/>
  <c r="C258"/>
  <c r="M1159" i="36"/>
  <c r="L1159"/>
  <c r="G713" i="39"/>
  <c r="H713"/>
  <c r="I713"/>
  <c r="J713"/>
  <c r="K713"/>
  <c r="M1169" i="36" l="1"/>
  <c r="M1190"/>
  <c r="V273" l="1"/>
  <c r="V20"/>
  <c r="H256" i="39" l="1"/>
  <c r="I256"/>
  <c r="J256"/>
  <c r="K256"/>
  <c r="G256"/>
  <c r="V416" i="36"/>
  <c r="V418" s="1"/>
  <c r="K247" i="39" l="1"/>
  <c r="K258"/>
  <c r="H258"/>
  <c r="I258"/>
  <c r="J258"/>
  <c r="V449" i="36"/>
  <c r="Q449"/>
  <c r="V232"/>
  <c r="R1243"/>
  <c r="K249" i="39" l="1"/>
  <c r="G258"/>
  <c r="F249"/>
  <c r="H317"/>
  <c r="H1002" s="1"/>
  <c r="I317"/>
  <c r="J317"/>
  <c r="J1002" s="1"/>
  <c r="K317"/>
  <c r="K1002" s="1"/>
  <c r="G317"/>
  <c r="G1002" s="1"/>
  <c r="X332" i="36"/>
  <c r="X337"/>
  <c r="AC337"/>
  <c r="AB337"/>
  <c r="AA337"/>
  <c r="Z337"/>
  <c r="Y337"/>
  <c r="AC332"/>
  <c r="Z332"/>
  <c r="Y332"/>
  <c r="AB332"/>
  <c r="AA332"/>
  <c r="O66" i="43" l="1"/>
  <c r="N66" i="42"/>
  <c r="X339" i="36"/>
  <c r="Y339"/>
  <c r="AA339"/>
  <c r="AC339"/>
  <c r="AB339"/>
  <c r="Z339"/>
  <c r="D75" i="39" l="1"/>
  <c r="E75"/>
  <c r="Q320" i="36"/>
  <c r="F75" i="39" s="1"/>
  <c r="G75"/>
  <c r="H75"/>
  <c r="I75"/>
  <c r="J75"/>
  <c r="V320" i="36"/>
  <c r="K75" i="39" s="1"/>
  <c r="C75"/>
  <c r="O337" i="36"/>
  <c r="D119" i="39" s="1"/>
  <c r="E119"/>
  <c r="Q337" i="36"/>
  <c r="F119" i="39" s="1"/>
  <c r="G119"/>
  <c r="H119"/>
  <c r="I119"/>
  <c r="J119"/>
  <c r="V337" i="36"/>
  <c r="K119" i="39" s="1"/>
  <c r="C119"/>
  <c r="I163"/>
  <c r="I1002" s="1"/>
  <c r="G606" l="1"/>
  <c r="O871" i="36"/>
  <c r="C649" i="39"/>
  <c r="G1122" l="1"/>
  <c r="I54" i="43"/>
  <c r="F696" i="39"/>
  <c r="F1047" s="1"/>
  <c r="S1233" i="36" l="1"/>
  <c r="O1044" l="1"/>
  <c r="D811" i="39" s="1"/>
  <c r="E811" l="1"/>
  <c r="G811"/>
  <c r="H811"/>
  <c r="I811"/>
  <c r="J811"/>
  <c r="V1044" i="36"/>
  <c r="K811" i="39" s="1"/>
  <c r="C811"/>
  <c r="O374" i="36"/>
  <c r="D165" i="39" s="1"/>
  <c r="E165"/>
  <c r="C165"/>
  <c r="C208"/>
  <c r="O390" i="36"/>
  <c r="D208" i="39" s="1"/>
  <c r="E208"/>
  <c r="Q390" i="36"/>
  <c r="F208" i="39" s="1"/>
  <c r="G208"/>
  <c r="H208"/>
  <c r="I208"/>
  <c r="J208"/>
  <c r="V390" i="36"/>
  <c r="K208" i="39" s="1"/>
  <c r="M62" i="36" l="1"/>
  <c r="D211" i="40"/>
  <c r="D856" i="39"/>
  <c r="E856"/>
  <c r="F856"/>
  <c r="G856"/>
  <c r="H856"/>
  <c r="I856"/>
  <c r="J856"/>
  <c r="K856"/>
  <c r="C856"/>
  <c r="D592"/>
  <c r="E592"/>
  <c r="F592"/>
  <c r="G592"/>
  <c r="H592"/>
  <c r="I592"/>
  <c r="J592"/>
  <c r="K592"/>
  <c r="C592"/>
  <c r="D499"/>
  <c r="E499"/>
  <c r="D449"/>
  <c r="E449"/>
  <c r="F449"/>
  <c r="G449"/>
  <c r="H449"/>
  <c r="I449"/>
  <c r="J449"/>
  <c r="K449"/>
  <c r="D448"/>
  <c r="D1004" s="1"/>
  <c r="E448"/>
  <c r="E1004" s="1"/>
  <c r="F448"/>
  <c r="F1004" s="1"/>
  <c r="G448"/>
  <c r="G1004" s="1"/>
  <c r="H448"/>
  <c r="H1004" s="1"/>
  <c r="I448"/>
  <c r="I1004" s="1"/>
  <c r="J448"/>
  <c r="J1004" s="1"/>
  <c r="K448"/>
  <c r="K1004" s="1"/>
  <c r="E446"/>
  <c r="D445"/>
  <c r="D444"/>
  <c r="E444"/>
  <c r="F444"/>
  <c r="D443"/>
  <c r="E443"/>
  <c r="F443"/>
  <c r="G443"/>
  <c r="H443"/>
  <c r="I443"/>
  <c r="J443"/>
  <c r="K443"/>
  <c r="C446"/>
  <c r="C445"/>
  <c r="C444"/>
  <c r="C443"/>
  <c r="E270"/>
  <c r="E272" s="1"/>
  <c r="D266"/>
  <c r="D268" s="1"/>
  <c r="E266"/>
  <c r="E268" s="1"/>
  <c r="F266"/>
  <c r="F268" s="1"/>
  <c r="C270"/>
  <c r="C272" s="1"/>
  <c r="C266"/>
  <c r="C268" s="1"/>
  <c r="C243"/>
  <c r="D214" i="40"/>
  <c r="E214"/>
  <c r="C214"/>
  <c r="D78"/>
  <c r="E78"/>
  <c r="F78"/>
  <c r="G78"/>
  <c r="H78"/>
  <c r="I78"/>
  <c r="J78"/>
  <c r="K78"/>
  <c r="C78"/>
  <c r="L25" i="43"/>
  <c r="J25"/>
  <c r="D308" i="39"/>
  <c r="E308"/>
  <c r="F308"/>
  <c r="G308"/>
  <c r="I25" i="43" s="1"/>
  <c r="H308" i="39"/>
  <c r="I308"/>
  <c r="J308"/>
  <c r="K308"/>
  <c r="H25" i="43"/>
  <c r="G25"/>
  <c r="F25"/>
  <c r="C308" i="39"/>
  <c r="E356"/>
  <c r="E358" s="1"/>
  <c r="E352"/>
  <c r="E354" s="1"/>
  <c r="E348"/>
  <c r="E350" s="1"/>
  <c r="C356"/>
  <c r="C358" s="1"/>
  <c r="C352"/>
  <c r="C354" s="1"/>
  <c r="C348"/>
  <c r="C350" s="1"/>
  <c r="O449" i="36"/>
  <c r="I65" i="43"/>
  <c r="D324" i="39"/>
  <c r="E324"/>
  <c r="F324"/>
  <c r="G324"/>
  <c r="F65" i="43" s="1"/>
  <c r="H324" i="39"/>
  <c r="I324"/>
  <c r="J324"/>
  <c r="K324"/>
  <c r="C324"/>
  <c r="P1179" i="36"/>
  <c r="N1179"/>
  <c r="P1174"/>
  <c r="P1158"/>
  <c r="P1147"/>
  <c r="D200" i="39"/>
  <c r="E200"/>
  <c r="F200"/>
  <c r="G200"/>
  <c r="H200"/>
  <c r="I200"/>
  <c r="J200"/>
  <c r="K200"/>
  <c r="C200"/>
  <c r="L24" i="43" l="1"/>
  <c r="C259" i="39"/>
  <c r="C260" s="1"/>
  <c r="M873" i="36"/>
  <c r="D31" i="45"/>
  <c r="E31"/>
  <c r="E65" i="43"/>
  <c r="C31" i="45"/>
  <c r="G65" i="43"/>
  <c r="C318" i="39"/>
  <c r="C327"/>
  <c r="C311"/>
  <c r="Q451" i="36"/>
  <c r="F259" i="39" s="1"/>
  <c r="F260" s="1"/>
  <c r="O451" i="36"/>
  <c r="D259" i="39" s="1"/>
  <c r="D260" s="1"/>
  <c r="E259"/>
  <c r="E260" s="1"/>
  <c r="K318"/>
  <c r="G318"/>
  <c r="H318"/>
  <c r="D318"/>
  <c r="F327"/>
  <c r="E327"/>
  <c r="J318"/>
  <c r="D327"/>
  <c r="F318"/>
  <c r="E311"/>
  <c r="I318"/>
  <c r="E318"/>
  <c r="D311"/>
  <c r="O509" i="36"/>
  <c r="O1127" s="1"/>
  <c r="C328" i="39"/>
  <c r="F328"/>
  <c r="E328"/>
  <c r="K319"/>
  <c r="J319"/>
  <c r="I319"/>
  <c r="H319"/>
  <c r="G319"/>
  <c r="F319"/>
  <c r="E319"/>
  <c r="D319"/>
  <c r="C319"/>
  <c r="C361"/>
  <c r="C362" s="1"/>
  <c r="O489" i="36"/>
  <c r="D21" i="51" s="1"/>
  <c r="D22" s="1"/>
  <c r="D328" i="39" l="1"/>
  <c r="D329" s="1"/>
  <c r="D37" i="51"/>
  <c r="D38" s="1"/>
  <c r="Q524" i="36"/>
  <c r="F50" i="51" s="1"/>
  <c r="F51" s="1"/>
  <c r="E361" i="39"/>
  <c r="E362" s="1"/>
  <c r="F337"/>
  <c r="F338" s="1"/>
  <c r="E329"/>
  <c r="H320"/>
  <c r="I320"/>
  <c r="D320"/>
  <c r="E25" i="42"/>
  <c r="E312" i="39"/>
  <c r="E313" s="1"/>
  <c r="E337"/>
  <c r="E338" s="1"/>
  <c r="D25" i="42"/>
  <c r="D312" i="39"/>
  <c r="D313" s="1"/>
  <c r="D337"/>
  <c r="D338" s="1"/>
  <c r="C25" i="42"/>
  <c r="C312" i="39"/>
  <c r="C313" s="1"/>
  <c r="C337"/>
  <c r="C338" s="1"/>
  <c r="J320"/>
  <c r="E320"/>
  <c r="F329"/>
  <c r="K320"/>
  <c r="C320"/>
  <c r="F320"/>
  <c r="G320"/>
  <c r="C329"/>
  <c r="J334"/>
  <c r="J336" s="1"/>
  <c r="H304"/>
  <c r="H311" s="1"/>
  <c r="I334"/>
  <c r="I336" s="1"/>
  <c r="G334"/>
  <c r="K334"/>
  <c r="K336" s="1"/>
  <c r="H334"/>
  <c r="H336" s="1"/>
  <c r="G304"/>
  <c r="E25" i="43" s="1"/>
  <c r="K304" i="39"/>
  <c r="K311" s="1"/>
  <c r="F304"/>
  <c r="F311" s="1"/>
  <c r="I304"/>
  <c r="I311" s="1"/>
  <c r="J304"/>
  <c r="J311" s="1"/>
  <c r="G266"/>
  <c r="G268" s="1"/>
  <c r="E340"/>
  <c r="C340"/>
  <c r="D340"/>
  <c r="F340"/>
  <c r="G312"/>
  <c r="V489" i="36"/>
  <c r="K21" i="51" s="1"/>
  <c r="K22" s="1"/>
  <c r="H326" i="39"/>
  <c r="G326"/>
  <c r="O524" i="36"/>
  <c r="Q489"/>
  <c r="E341" i="39"/>
  <c r="C341"/>
  <c r="Q530" i="36" l="1"/>
  <c r="Q532"/>
  <c r="R532" s="1"/>
  <c r="Q528"/>
  <c r="F21" i="51"/>
  <c r="F22" s="1"/>
  <c r="D341" i="39"/>
  <c r="D342" s="1"/>
  <c r="D50" i="51"/>
  <c r="D51" s="1"/>
  <c r="G1121" i="39"/>
  <c r="G336"/>
  <c r="D349"/>
  <c r="O1147" i="36"/>
  <c r="D357" i="39"/>
  <c r="O1174" i="36"/>
  <c r="D353" i="39"/>
  <c r="F312"/>
  <c r="F313" s="1"/>
  <c r="I25" i="42"/>
  <c r="I312" i="39"/>
  <c r="I313" s="1"/>
  <c r="J25" i="42"/>
  <c r="J312" i="39"/>
  <c r="J313" s="1"/>
  <c r="H25" i="42"/>
  <c r="H312" i="39"/>
  <c r="H313" s="1"/>
  <c r="I337"/>
  <c r="H337"/>
  <c r="F65" i="42"/>
  <c r="F341" i="39"/>
  <c r="F342" s="1"/>
  <c r="K25" i="42"/>
  <c r="K312" i="39"/>
  <c r="K313" s="1"/>
  <c r="G337"/>
  <c r="J337"/>
  <c r="K337"/>
  <c r="H266"/>
  <c r="H267"/>
  <c r="C342"/>
  <c r="D344"/>
  <c r="E344"/>
  <c r="E342"/>
  <c r="C344"/>
  <c r="I1121"/>
  <c r="K1121"/>
  <c r="J1121"/>
  <c r="H1121"/>
  <c r="I326"/>
  <c r="K326"/>
  <c r="J326"/>
  <c r="G25" i="42"/>
  <c r="F25"/>
  <c r="G311" i="39"/>
  <c r="G313" s="1"/>
  <c r="E345"/>
  <c r="E65" i="42"/>
  <c r="C345" i="39"/>
  <c r="C65" i="42"/>
  <c r="O526" i="36"/>
  <c r="D54" i="51" s="1"/>
  <c r="D55" s="1"/>
  <c r="D65" i="42"/>
  <c r="F344" i="39"/>
  <c r="F360" s="1"/>
  <c r="H327"/>
  <c r="V509" i="36"/>
  <c r="Q526"/>
  <c r="K37" i="51" l="1"/>
  <c r="K38" s="1"/>
  <c r="V1127" i="36"/>
  <c r="F54" i="51"/>
  <c r="F55" s="1"/>
  <c r="F66"/>
  <c r="F65"/>
  <c r="R530" i="36"/>
  <c r="G61" i="51" s="1"/>
  <c r="F62"/>
  <c r="F61"/>
  <c r="R528" i="36"/>
  <c r="G58" i="51" s="1"/>
  <c r="F58"/>
  <c r="F57"/>
  <c r="G66"/>
  <c r="G65"/>
  <c r="S532" i="36"/>
  <c r="G338" i="39"/>
  <c r="D361"/>
  <c r="D362" s="1"/>
  <c r="D345"/>
  <c r="D346" s="1"/>
  <c r="D350"/>
  <c r="Q534" i="36"/>
  <c r="D358" i="39"/>
  <c r="D354"/>
  <c r="F353"/>
  <c r="I338"/>
  <c r="K338"/>
  <c r="H338"/>
  <c r="C346"/>
  <c r="H268"/>
  <c r="I328"/>
  <c r="K328"/>
  <c r="G328"/>
  <c r="F357"/>
  <c r="F345"/>
  <c r="F346" s="1"/>
  <c r="H328"/>
  <c r="H329" s="1"/>
  <c r="J328"/>
  <c r="F349"/>
  <c r="J267"/>
  <c r="I267"/>
  <c r="J338"/>
  <c r="E346"/>
  <c r="M25" i="42"/>
  <c r="F23" i="44"/>
  <c r="O25" i="43"/>
  <c r="N25" i="42"/>
  <c r="H340" i="39"/>
  <c r="J327"/>
  <c r="I327"/>
  <c r="K327"/>
  <c r="I266"/>
  <c r="F348"/>
  <c r="F356"/>
  <c r="F352"/>
  <c r="G327"/>
  <c r="H65" i="43"/>
  <c r="Q1147" i="36"/>
  <c r="Q1174"/>
  <c r="H341" i="39"/>
  <c r="V524" i="36"/>
  <c r="I341" i="39"/>
  <c r="G341"/>
  <c r="G62" i="51" l="1"/>
  <c r="G63" s="1"/>
  <c r="S530" i="36"/>
  <c r="H62" i="51" s="1"/>
  <c r="G57"/>
  <c r="G59" s="1"/>
  <c r="S528" i="36"/>
  <c r="T528" s="1"/>
  <c r="F70" i="51"/>
  <c r="F71" s="1"/>
  <c r="F59"/>
  <c r="K341" i="39"/>
  <c r="K50" i="51"/>
  <c r="K51" s="1"/>
  <c r="F63"/>
  <c r="F67"/>
  <c r="G67"/>
  <c r="T532" i="36"/>
  <c r="H65" i="51"/>
  <c r="H66"/>
  <c r="Q536" i="36"/>
  <c r="F354" i="39"/>
  <c r="F361"/>
  <c r="F362" s="1"/>
  <c r="R534" i="36"/>
  <c r="G329" i="39"/>
  <c r="F350"/>
  <c r="F358"/>
  <c r="J65" i="42"/>
  <c r="J341" i="39"/>
  <c r="G353"/>
  <c r="G349"/>
  <c r="G357"/>
  <c r="J266"/>
  <c r="J268" s="1"/>
  <c r="I268"/>
  <c r="D23" i="44"/>
  <c r="F31" i="45"/>
  <c r="H344" i="39"/>
  <c r="H342"/>
  <c r="J340"/>
  <c r="J329"/>
  <c r="I340"/>
  <c r="I329"/>
  <c r="K340"/>
  <c r="K329"/>
  <c r="O25" i="42"/>
  <c r="G348" i="39"/>
  <c r="J345"/>
  <c r="H345"/>
  <c r="H65" i="42"/>
  <c r="G356" i="39"/>
  <c r="G65" i="42"/>
  <c r="V526" i="36"/>
  <c r="K65" i="42"/>
  <c r="I345" i="39"/>
  <c r="I65" i="42"/>
  <c r="G352" i="39"/>
  <c r="G340"/>
  <c r="G342" s="1"/>
  <c r="R1174" i="36"/>
  <c r="R1147"/>
  <c r="H57" i="51" l="1"/>
  <c r="H61"/>
  <c r="H63" s="1"/>
  <c r="T530" i="36"/>
  <c r="I61" i="51" s="1"/>
  <c r="H58"/>
  <c r="K54"/>
  <c r="K55" s="1"/>
  <c r="G70"/>
  <c r="G71" s="1"/>
  <c r="H67"/>
  <c r="U528" i="36"/>
  <c r="I58" i="51"/>
  <c r="I57"/>
  <c r="U532" i="36"/>
  <c r="I66" i="51"/>
  <c r="I65"/>
  <c r="R536" i="36"/>
  <c r="K345" i="39"/>
  <c r="S534" i="36"/>
  <c r="S1174"/>
  <c r="G358" i="39"/>
  <c r="G354"/>
  <c r="G350"/>
  <c r="H349"/>
  <c r="K266"/>
  <c r="K267"/>
  <c r="G345"/>
  <c r="H357"/>
  <c r="H353"/>
  <c r="H348"/>
  <c r="H346"/>
  <c r="I344"/>
  <c r="I346" s="1"/>
  <c r="I342"/>
  <c r="K344"/>
  <c r="K342"/>
  <c r="J344"/>
  <c r="J346" s="1"/>
  <c r="J342"/>
  <c r="M65" i="42"/>
  <c r="O65" i="43"/>
  <c r="N65" i="42"/>
  <c r="S1147" i="36"/>
  <c r="H352" i="39"/>
  <c r="H356"/>
  <c r="G344"/>
  <c r="G360" s="1"/>
  <c r="H360" s="1"/>
  <c r="H23" i="44"/>
  <c r="H59" i="51" l="1"/>
  <c r="I62"/>
  <c r="I63" s="1"/>
  <c r="U530" i="36"/>
  <c r="J62" i="51" s="1"/>
  <c r="V528" i="36"/>
  <c r="J57" i="51"/>
  <c r="J58"/>
  <c r="I59"/>
  <c r="V532" i="36"/>
  <c r="J65" i="51"/>
  <c r="J66"/>
  <c r="H70"/>
  <c r="H71" s="1"/>
  <c r="I67"/>
  <c r="K346" i="39"/>
  <c r="T534" i="36"/>
  <c r="S536"/>
  <c r="T1174"/>
  <c r="H358" i="39"/>
  <c r="K268"/>
  <c r="I353"/>
  <c r="G361"/>
  <c r="I349"/>
  <c r="J348"/>
  <c r="I357"/>
  <c r="H350"/>
  <c r="H354"/>
  <c r="I360"/>
  <c r="J360" s="1"/>
  <c r="K360" s="1"/>
  <c r="G346"/>
  <c r="O65" i="42"/>
  <c r="T1147" i="36"/>
  <c r="I348" i="39"/>
  <c r="I352"/>
  <c r="I356"/>
  <c r="J61" i="51" l="1"/>
  <c r="J63" s="1"/>
  <c r="V530" i="36"/>
  <c r="K61" i="51" s="1"/>
  <c r="J67"/>
  <c r="J59"/>
  <c r="K58"/>
  <c r="K57"/>
  <c r="K66"/>
  <c r="K65"/>
  <c r="I70"/>
  <c r="I71" s="1"/>
  <c r="U534" i="36"/>
  <c r="T536"/>
  <c r="I358" i="39"/>
  <c r="H361"/>
  <c r="H362" s="1"/>
  <c r="J353"/>
  <c r="K349"/>
  <c r="J349"/>
  <c r="J350" s="1"/>
  <c r="J357"/>
  <c r="I350"/>
  <c r="I354"/>
  <c r="G362"/>
  <c r="G31" i="45"/>
  <c r="J356" i="39"/>
  <c r="J352"/>
  <c r="U1174" i="36"/>
  <c r="U1147"/>
  <c r="K62" i="51" l="1"/>
  <c r="K63" s="1"/>
  <c r="K353" i="39"/>
  <c r="J70" i="51"/>
  <c r="J71" s="1"/>
  <c r="K59"/>
  <c r="K67"/>
  <c r="U536" i="36"/>
  <c r="K357" i="39"/>
  <c r="J358"/>
  <c r="K348"/>
  <c r="K350" s="1"/>
  <c r="K352"/>
  <c r="J354"/>
  <c r="I361"/>
  <c r="I362" s="1"/>
  <c r="K356"/>
  <c r="H31" i="45"/>
  <c r="V1174" i="36"/>
  <c r="V1147"/>
  <c r="K354" i="39" l="1"/>
  <c r="K358"/>
  <c r="V534" i="36"/>
  <c r="J361" i="39"/>
  <c r="J362" s="1"/>
  <c r="I31" i="45"/>
  <c r="O386" i="36"/>
  <c r="Q386"/>
  <c r="Q392" s="1"/>
  <c r="Q394" s="1"/>
  <c r="V386"/>
  <c r="C202" i="39"/>
  <c r="O782" i="36"/>
  <c r="D556" i="39" s="1"/>
  <c r="E556"/>
  <c r="Q782" i="36"/>
  <c r="F556" i="39" s="1"/>
  <c r="G556"/>
  <c r="H556"/>
  <c r="I556"/>
  <c r="J556"/>
  <c r="V782" i="36"/>
  <c r="K556" i="39" s="1"/>
  <c r="C556"/>
  <c r="O1065" i="36"/>
  <c r="D858" i="39" s="1"/>
  <c r="E858"/>
  <c r="Q1065" i="36"/>
  <c r="F858" i="39" s="1"/>
  <c r="G858"/>
  <c r="H858"/>
  <c r="I858"/>
  <c r="J858"/>
  <c r="V1065" i="36"/>
  <c r="K858" i="39" s="1"/>
  <c r="C858"/>
  <c r="O586" i="36"/>
  <c r="O252"/>
  <c r="D446" i="39"/>
  <c r="K70" i="51" l="1"/>
  <c r="K71" s="1"/>
  <c r="D439" i="39"/>
  <c r="C459"/>
  <c r="C460" s="1"/>
  <c r="C1018"/>
  <c r="H24" i="42"/>
  <c r="H202" i="39"/>
  <c r="I24" i="42"/>
  <c r="I202" i="39"/>
  <c r="E24" i="42"/>
  <c r="E202" i="39"/>
  <c r="K24" i="42"/>
  <c r="K202" i="39"/>
  <c r="G24" i="42"/>
  <c r="G202" i="39"/>
  <c r="K361"/>
  <c r="V536" i="36"/>
  <c r="D24" i="42"/>
  <c r="D202" i="39"/>
  <c r="J24" i="42"/>
  <c r="J202" i="39"/>
  <c r="F24" i="42"/>
  <c r="F202" i="39"/>
  <c r="J31" i="45"/>
  <c r="N1158" i="36"/>
  <c r="C24" i="42"/>
  <c r="C212" i="39"/>
  <c r="G212"/>
  <c r="M24" i="42" l="1"/>
  <c r="K31" i="45"/>
  <c r="K362" i="39"/>
  <c r="V294" i="36"/>
  <c r="E715" i="39" l="1"/>
  <c r="E1068"/>
  <c r="Q548" i="36"/>
  <c r="F76" i="43"/>
  <c r="D605" i="39"/>
  <c r="C605"/>
  <c r="G14" i="43"/>
  <c r="D547" i="39"/>
  <c r="E547"/>
  <c r="F547"/>
  <c r="H547"/>
  <c r="I547"/>
  <c r="J547"/>
  <c r="K547"/>
  <c r="C547"/>
  <c r="D436"/>
  <c r="E436"/>
  <c r="F436"/>
  <c r="G436"/>
  <c r="J29" i="43" s="1"/>
  <c r="H436" i="39"/>
  <c r="I436"/>
  <c r="J436"/>
  <c r="K436"/>
  <c r="C436"/>
  <c r="H66" i="43"/>
  <c r="E66"/>
  <c r="E26"/>
  <c r="O258" i="36"/>
  <c r="P1200"/>
  <c r="N1200"/>
  <c r="G504" i="39"/>
  <c r="V678" i="36"/>
  <c r="H212" i="40"/>
  <c r="I212"/>
  <c r="J212"/>
  <c r="V289" i="36"/>
  <c r="K212" i="40" s="1"/>
  <c r="G212"/>
  <c r="D45" i="45"/>
  <c r="D44"/>
  <c r="D39"/>
  <c r="D38"/>
  <c r="D37"/>
  <c r="D32"/>
  <c r="D30"/>
  <c r="D25"/>
  <c r="D21"/>
  <c r="D20"/>
  <c r="D19"/>
  <c r="D18"/>
  <c r="D17"/>
  <c r="D16"/>
  <c r="D15"/>
  <c r="D14"/>
  <c r="D9"/>
  <c r="D64" i="42"/>
  <c r="E64"/>
  <c r="F64"/>
  <c r="G64"/>
  <c r="H64"/>
  <c r="I64"/>
  <c r="J64"/>
  <c r="K64"/>
  <c r="G57" i="43"/>
  <c r="E57"/>
  <c r="H17"/>
  <c r="K940" i="39"/>
  <c r="J940"/>
  <c r="I940"/>
  <c r="H940"/>
  <c r="F940"/>
  <c r="E940"/>
  <c r="D940"/>
  <c r="H56" i="43"/>
  <c r="E56"/>
  <c r="K894" i="39"/>
  <c r="J894"/>
  <c r="I894"/>
  <c r="H894"/>
  <c r="G894"/>
  <c r="H16" i="43" s="1"/>
  <c r="F894" i="39"/>
  <c r="E894"/>
  <c r="D894"/>
  <c r="C16" i="43"/>
  <c r="K854" i="39"/>
  <c r="K857" s="1"/>
  <c r="K859" s="1"/>
  <c r="J854"/>
  <c r="I854"/>
  <c r="I857" s="1"/>
  <c r="I859" s="1"/>
  <c r="H854"/>
  <c r="H857" s="1"/>
  <c r="H859" s="1"/>
  <c r="G854"/>
  <c r="G857" s="1"/>
  <c r="G859" s="1"/>
  <c r="F854"/>
  <c r="E854"/>
  <c r="E857" s="1"/>
  <c r="E859" s="1"/>
  <c r="D854"/>
  <c r="D857" s="1"/>
  <c r="D859" s="1"/>
  <c r="K847"/>
  <c r="J847"/>
  <c r="I847"/>
  <c r="H847"/>
  <c r="G847"/>
  <c r="F847"/>
  <c r="E847"/>
  <c r="D847"/>
  <c r="K846"/>
  <c r="J846"/>
  <c r="I846"/>
  <c r="H846"/>
  <c r="G846"/>
  <c r="F846"/>
  <c r="E846"/>
  <c r="D846"/>
  <c r="K809"/>
  <c r="J809"/>
  <c r="I809"/>
  <c r="H809"/>
  <c r="G809"/>
  <c r="I76" i="43" s="1"/>
  <c r="F809" i="39"/>
  <c r="F810" s="1"/>
  <c r="E809"/>
  <c r="D809"/>
  <c r="K1065"/>
  <c r="J1065"/>
  <c r="I1065"/>
  <c r="H1065"/>
  <c r="G1065"/>
  <c r="F1065"/>
  <c r="E1065"/>
  <c r="D1065"/>
  <c r="K800"/>
  <c r="J800"/>
  <c r="I800"/>
  <c r="H800"/>
  <c r="G800"/>
  <c r="L36" i="43" s="1"/>
  <c r="F800" i="39"/>
  <c r="E800"/>
  <c r="D800"/>
  <c r="K799"/>
  <c r="J799"/>
  <c r="I799"/>
  <c r="H799"/>
  <c r="G799"/>
  <c r="H36" i="43" s="1"/>
  <c r="F799" i="39"/>
  <c r="E799"/>
  <c r="D799"/>
  <c r="D798"/>
  <c r="D1048" s="1"/>
  <c r="H75" i="43"/>
  <c r="K761" i="39"/>
  <c r="K763" s="1"/>
  <c r="K754"/>
  <c r="J754"/>
  <c r="I754"/>
  <c r="H754"/>
  <c r="G754"/>
  <c r="L35" i="43" s="1"/>
  <c r="F754" i="39"/>
  <c r="E754"/>
  <c r="D754"/>
  <c r="K753"/>
  <c r="J753"/>
  <c r="I753"/>
  <c r="H753"/>
  <c r="G753"/>
  <c r="H35" i="43" s="1"/>
  <c r="F753" i="39"/>
  <c r="E753"/>
  <c r="D753"/>
  <c r="K752"/>
  <c r="J752"/>
  <c r="I752"/>
  <c r="H752"/>
  <c r="G752"/>
  <c r="F752"/>
  <c r="F1046" s="1"/>
  <c r="E752"/>
  <c r="E1046" s="1"/>
  <c r="D752"/>
  <c r="D1046" s="1"/>
  <c r="I74" i="43"/>
  <c r="D712" i="39"/>
  <c r="D1063" s="1"/>
  <c r="E711"/>
  <c r="E1062" s="1"/>
  <c r="D711"/>
  <c r="D1062" s="1"/>
  <c r="F710"/>
  <c r="F1061" s="1"/>
  <c r="E710"/>
  <c r="E1061" s="1"/>
  <c r="D710"/>
  <c r="D1061" s="1"/>
  <c r="C74" i="43"/>
  <c r="K702" i="39"/>
  <c r="K1053" s="1"/>
  <c r="J702"/>
  <c r="J1053" s="1"/>
  <c r="I702"/>
  <c r="I1053" s="1"/>
  <c r="H702"/>
  <c r="H1053" s="1"/>
  <c r="G702"/>
  <c r="F702"/>
  <c r="F1053" s="1"/>
  <c r="E702"/>
  <c r="E1053" s="1"/>
  <c r="D702"/>
  <c r="D1053" s="1"/>
  <c r="F701"/>
  <c r="F1052" s="1"/>
  <c r="E701"/>
  <c r="E1052" s="1"/>
  <c r="D701"/>
  <c r="D1052" s="1"/>
  <c r="K700"/>
  <c r="J700"/>
  <c r="I700"/>
  <c r="H700"/>
  <c r="G700"/>
  <c r="F700"/>
  <c r="E700"/>
  <c r="D700"/>
  <c r="G34" i="43"/>
  <c r="K698" i="39"/>
  <c r="K1049" s="1"/>
  <c r="J698"/>
  <c r="J1049" s="1"/>
  <c r="I698"/>
  <c r="I1049" s="1"/>
  <c r="H698"/>
  <c r="H1049" s="1"/>
  <c r="G698"/>
  <c r="F698"/>
  <c r="F1049" s="1"/>
  <c r="E698"/>
  <c r="E1049" s="1"/>
  <c r="D698"/>
  <c r="D1049" s="1"/>
  <c r="E34" i="43"/>
  <c r="D34"/>
  <c r="C34"/>
  <c r="K656" i="39"/>
  <c r="J656"/>
  <c r="I656"/>
  <c r="H656"/>
  <c r="D656"/>
  <c r="K655"/>
  <c r="J655"/>
  <c r="I655"/>
  <c r="H655"/>
  <c r="D655"/>
  <c r="D1118" s="1"/>
  <c r="D71" i="43"/>
  <c r="K653" i="39"/>
  <c r="J653"/>
  <c r="I653"/>
  <c r="H653"/>
  <c r="G653"/>
  <c r="C71" i="43" s="1"/>
  <c r="F653" i="39"/>
  <c r="E653"/>
  <c r="K646"/>
  <c r="J646"/>
  <c r="I646"/>
  <c r="H646"/>
  <c r="G646"/>
  <c r="J31" i="43" s="1"/>
  <c r="F646" i="39"/>
  <c r="E646"/>
  <c r="D646"/>
  <c r="K645"/>
  <c r="K1106" s="1"/>
  <c r="J645"/>
  <c r="J1106" s="1"/>
  <c r="I645"/>
  <c r="I1106" s="1"/>
  <c r="H645"/>
  <c r="H1106" s="1"/>
  <c r="G645"/>
  <c r="G1106" s="1"/>
  <c r="D645"/>
  <c r="D1106" s="1"/>
  <c r="F603"/>
  <c r="E603"/>
  <c r="D603"/>
  <c r="K602"/>
  <c r="J602"/>
  <c r="J1116" s="1"/>
  <c r="I602"/>
  <c r="I1116" s="1"/>
  <c r="H602"/>
  <c r="H1116" s="1"/>
  <c r="G602"/>
  <c r="G1116" s="1"/>
  <c r="F602"/>
  <c r="E602"/>
  <c r="E1116" s="1"/>
  <c r="D602"/>
  <c r="D596"/>
  <c r="D1110" s="1"/>
  <c r="D595"/>
  <c r="F594"/>
  <c r="F1108" s="1"/>
  <c r="E594"/>
  <c r="E1108" s="1"/>
  <c r="D594"/>
  <c r="D1108" s="1"/>
  <c r="K593"/>
  <c r="K1107" s="1"/>
  <c r="J593"/>
  <c r="J1107" s="1"/>
  <c r="I593"/>
  <c r="I1107" s="1"/>
  <c r="H593"/>
  <c r="H1107" s="1"/>
  <c r="G593"/>
  <c r="F593"/>
  <c r="F1107" s="1"/>
  <c r="E593"/>
  <c r="E1107" s="1"/>
  <c r="D593"/>
  <c r="D1107" s="1"/>
  <c r="K15" i="43"/>
  <c r="K543" i="39"/>
  <c r="J543"/>
  <c r="I543"/>
  <c r="H543"/>
  <c r="G543"/>
  <c r="D15" i="43" s="1"/>
  <c r="F543" i="39"/>
  <c r="E543"/>
  <c r="D543"/>
  <c r="K503"/>
  <c r="D503"/>
  <c r="G70" i="43"/>
  <c r="F498" i="39"/>
  <c r="E498"/>
  <c r="C70" i="43"/>
  <c r="F490" i="39"/>
  <c r="E490"/>
  <c r="D490"/>
  <c r="K489"/>
  <c r="J489"/>
  <c r="I489"/>
  <c r="H489"/>
  <c r="G489"/>
  <c r="H30" i="43" s="1"/>
  <c r="F489" i="39"/>
  <c r="E489"/>
  <c r="D489"/>
  <c r="K488"/>
  <c r="J488"/>
  <c r="I488"/>
  <c r="H488"/>
  <c r="G488"/>
  <c r="G30" i="43" s="1"/>
  <c r="F488" i="39"/>
  <c r="E488"/>
  <c r="D488"/>
  <c r="K487"/>
  <c r="J487"/>
  <c r="I487"/>
  <c r="H487"/>
  <c r="G487"/>
  <c r="F487"/>
  <c r="E487"/>
  <c r="D487"/>
  <c r="C30" i="43"/>
  <c r="H69"/>
  <c r="G69"/>
  <c r="C69"/>
  <c r="D437" i="39"/>
  <c r="F435"/>
  <c r="E435"/>
  <c r="D435"/>
  <c r="K434"/>
  <c r="J434"/>
  <c r="I434"/>
  <c r="H434"/>
  <c r="G434"/>
  <c r="H29" i="43" s="1"/>
  <c r="F434" i="39"/>
  <c r="E434"/>
  <c r="D434"/>
  <c r="K433"/>
  <c r="J433"/>
  <c r="I433"/>
  <c r="H433"/>
  <c r="G433"/>
  <c r="G29" i="43" s="1"/>
  <c r="F433" i="39"/>
  <c r="E433"/>
  <c r="D433"/>
  <c r="K432"/>
  <c r="J432"/>
  <c r="I432"/>
  <c r="H432"/>
  <c r="G432"/>
  <c r="F432"/>
  <c r="E432"/>
  <c r="D432"/>
  <c r="K431"/>
  <c r="J431"/>
  <c r="I431"/>
  <c r="G431"/>
  <c r="C29" i="43" s="1"/>
  <c r="F431" i="39"/>
  <c r="E431"/>
  <c r="D431"/>
  <c r="K396"/>
  <c r="J396"/>
  <c r="I396"/>
  <c r="H396"/>
  <c r="G396"/>
  <c r="F396"/>
  <c r="E396"/>
  <c r="D396"/>
  <c r="E61" i="43"/>
  <c r="K389" i="39"/>
  <c r="J389"/>
  <c r="I389"/>
  <c r="H389"/>
  <c r="G389"/>
  <c r="F389"/>
  <c r="E389"/>
  <c r="D389"/>
  <c r="K388"/>
  <c r="J388"/>
  <c r="I388"/>
  <c r="H388"/>
  <c r="G388"/>
  <c r="H21" i="43" s="1"/>
  <c r="F388" i="39"/>
  <c r="E388"/>
  <c r="D388"/>
  <c r="E21" i="43"/>
  <c r="D386" i="39"/>
  <c r="E386"/>
  <c r="F386"/>
  <c r="G386"/>
  <c r="C21" i="43" s="1"/>
  <c r="H386" i="39"/>
  <c r="I26" i="43"/>
  <c r="D26"/>
  <c r="D206" i="39"/>
  <c r="E206"/>
  <c r="F206"/>
  <c r="G206"/>
  <c r="H206"/>
  <c r="I206"/>
  <c r="J206"/>
  <c r="K206"/>
  <c r="K207" s="1"/>
  <c r="K209" s="1"/>
  <c r="D201"/>
  <c r="D203" s="1"/>
  <c r="E201"/>
  <c r="E203" s="1"/>
  <c r="F201"/>
  <c r="F203" s="1"/>
  <c r="H201"/>
  <c r="H203" s="1"/>
  <c r="I201"/>
  <c r="I203" s="1"/>
  <c r="J201"/>
  <c r="J203" s="1"/>
  <c r="K201"/>
  <c r="K203" s="1"/>
  <c r="G53" i="43"/>
  <c r="D162" i="39"/>
  <c r="E162"/>
  <c r="D154"/>
  <c r="E154"/>
  <c r="F154"/>
  <c r="G154"/>
  <c r="H13" i="43" s="1"/>
  <c r="H154" i="39"/>
  <c r="I154"/>
  <c r="J154"/>
  <c r="K154"/>
  <c r="D13" i="43"/>
  <c r="E59"/>
  <c r="K118" i="39"/>
  <c r="K120" s="1"/>
  <c r="D111"/>
  <c r="E111"/>
  <c r="F111"/>
  <c r="G111"/>
  <c r="H19" i="43" s="1"/>
  <c r="H111" i="39"/>
  <c r="I111"/>
  <c r="J111"/>
  <c r="K111"/>
  <c r="D110"/>
  <c r="E110"/>
  <c r="F110"/>
  <c r="E58" i="43"/>
  <c r="K74" i="39"/>
  <c r="K76" s="1"/>
  <c r="D67"/>
  <c r="E67"/>
  <c r="F67"/>
  <c r="G67"/>
  <c r="H67"/>
  <c r="I67"/>
  <c r="J67"/>
  <c r="K67"/>
  <c r="D66"/>
  <c r="E66"/>
  <c r="F66"/>
  <c r="D30"/>
  <c r="D1006" s="1"/>
  <c r="D213" i="40"/>
  <c r="D29" i="39" s="1"/>
  <c r="D1003" s="1"/>
  <c r="E213" i="40"/>
  <c r="E29" i="39" s="1"/>
  <c r="E1003" s="1"/>
  <c r="F213" i="40"/>
  <c r="F29" i="39" s="1"/>
  <c r="F1003" s="1"/>
  <c r="G213" i="40"/>
  <c r="G29" i="39" s="1"/>
  <c r="G1003" s="1"/>
  <c r="H213" i="40"/>
  <c r="H29" i="39" s="1"/>
  <c r="H1003" s="1"/>
  <c r="I213" i="40"/>
  <c r="I29" i="39" s="1"/>
  <c r="I1003" s="1"/>
  <c r="J213" i="40"/>
  <c r="J29" i="39" s="1"/>
  <c r="J1003" s="1"/>
  <c r="K213" i="40"/>
  <c r="K29" i="39" s="1"/>
  <c r="K1003" s="1"/>
  <c r="D212" i="40"/>
  <c r="E212"/>
  <c r="F212"/>
  <c r="D210"/>
  <c r="E210"/>
  <c r="F210"/>
  <c r="D178"/>
  <c r="D176"/>
  <c r="E176"/>
  <c r="F176"/>
  <c r="E147"/>
  <c r="F147"/>
  <c r="D146"/>
  <c r="D145"/>
  <c r="E145"/>
  <c r="F145"/>
  <c r="D109"/>
  <c r="D108"/>
  <c r="D80"/>
  <c r="E80"/>
  <c r="F80"/>
  <c r="G80"/>
  <c r="H80"/>
  <c r="I80"/>
  <c r="J80"/>
  <c r="K80"/>
  <c r="D79"/>
  <c r="E79"/>
  <c r="F79"/>
  <c r="G79"/>
  <c r="H79"/>
  <c r="I79"/>
  <c r="J79"/>
  <c r="K79"/>
  <c r="D49"/>
  <c r="D48"/>
  <c r="D47"/>
  <c r="E47"/>
  <c r="F47"/>
  <c r="D46"/>
  <c r="E46"/>
  <c r="F46"/>
  <c r="G46"/>
  <c r="H46"/>
  <c r="I46"/>
  <c r="J46"/>
  <c r="K46"/>
  <c r="D15"/>
  <c r="E15"/>
  <c r="F15"/>
  <c r="G15"/>
  <c r="H15"/>
  <c r="I15"/>
  <c r="J15"/>
  <c r="K15"/>
  <c r="D13"/>
  <c r="E13"/>
  <c r="F13"/>
  <c r="D12"/>
  <c r="E12"/>
  <c r="F12"/>
  <c r="G12"/>
  <c r="H12"/>
  <c r="I12"/>
  <c r="J12"/>
  <c r="K12"/>
  <c r="D18" i="39"/>
  <c r="E18"/>
  <c r="F18"/>
  <c r="G18"/>
  <c r="H18"/>
  <c r="I18"/>
  <c r="J18"/>
  <c r="K18"/>
  <c r="D17"/>
  <c r="D16"/>
  <c r="E16"/>
  <c r="F16"/>
  <c r="G16"/>
  <c r="H16"/>
  <c r="I16"/>
  <c r="J16"/>
  <c r="K16"/>
  <c r="D15"/>
  <c r="D14"/>
  <c r="D986" s="1"/>
  <c r="E14"/>
  <c r="E986" s="1"/>
  <c r="F14"/>
  <c r="F986" s="1"/>
  <c r="G14"/>
  <c r="G986" s="1"/>
  <c r="H14"/>
  <c r="H986" s="1"/>
  <c r="I14"/>
  <c r="I986" s="1"/>
  <c r="J14"/>
  <c r="J986" s="1"/>
  <c r="K14"/>
  <c r="K986" s="1"/>
  <c r="E13"/>
  <c r="F13"/>
  <c r="G13"/>
  <c r="H13"/>
  <c r="I13"/>
  <c r="J13"/>
  <c r="K13"/>
  <c r="D12"/>
  <c r="F12"/>
  <c r="G12"/>
  <c r="H12"/>
  <c r="I12"/>
  <c r="J12"/>
  <c r="K12"/>
  <c r="D11"/>
  <c r="K504"/>
  <c r="D1005" l="1"/>
  <c r="H988"/>
  <c r="D988"/>
  <c r="K988"/>
  <c r="G988"/>
  <c r="E988"/>
  <c r="I988"/>
  <c r="J988"/>
  <c r="F988"/>
  <c r="K991"/>
  <c r="G991"/>
  <c r="I984"/>
  <c r="K984"/>
  <c r="G984"/>
  <c r="I991"/>
  <c r="E991"/>
  <c r="H991"/>
  <c r="D991"/>
  <c r="J991"/>
  <c r="F991"/>
  <c r="H985"/>
  <c r="D987"/>
  <c r="J984"/>
  <c r="F984"/>
  <c r="I985"/>
  <c r="E985"/>
  <c r="D984"/>
  <c r="K1005"/>
  <c r="J985"/>
  <c r="F985"/>
  <c r="D983"/>
  <c r="H984"/>
  <c r="K985"/>
  <c r="G985"/>
  <c r="D989"/>
  <c r="D992"/>
  <c r="K491"/>
  <c r="V681" i="36"/>
  <c r="C17" i="43"/>
  <c r="G940" i="39"/>
  <c r="D26"/>
  <c r="K81" i="40"/>
  <c r="K1116" i="39"/>
  <c r="F1116"/>
  <c r="E34" i="42"/>
  <c r="E705" i="39"/>
  <c r="E21" i="42"/>
  <c r="E391" i="39"/>
  <c r="F21" i="42"/>
  <c r="F391" i="39"/>
  <c r="J1066"/>
  <c r="J810"/>
  <c r="J812" s="1"/>
  <c r="E1066"/>
  <c r="E810"/>
  <c r="E812" s="1"/>
  <c r="I1066"/>
  <c r="I810"/>
  <c r="I812" s="1"/>
  <c r="G1066"/>
  <c r="G810"/>
  <c r="K1066"/>
  <c r="K810"/>
  <c r="K812" s="1"/>
  <c r="D1066"/>
  <c r="D1067" s="1"/>
  <c r="D810"/>
  <c r="D812" s="1"/>
  <c r="H1066"/>
  <c r="H810"/>
  <c r="H812" s="1"/>
  <c r="K895"/>
  <c r="E1051"/>
  <c r="I1051"/>
  <c r="F1117"/>
  <c r="E1117"/>
  <c r="D1119"/>
  <c r="J648"/>
  <c r="H648"/>
  <c r="K648"/>
  <c r="H14" i="43"/>
  <c r="G1107" i="39"/>
  <c r="I648"/>
  <c r="D1109"/>
  <c r="D1111" s="1"/>
  <c r="D1051"/>
  <c r="H1051"/>
  <c r="C35" i="43"/>
  <c r="G1046" i="39"/>
  <c r="F34" i="43"/>
  <c r="G1049" i="39"/>
  <c r="J34" i="43"/>
  <c r="G1053" i="39"/>
  <c r="K1051"/>
  <c r="F1051"/>
  <c r="J1051"/>
  <c r="H34" i="43"/>
  <c r="G1051" i="39"/>
  <c r="D1054"/>
  <c r="J555"/>
  <c r="J557" s="1"/>
  <c r="H61" i="43"/>
  <c r="I555" i="39"/>
  <c r="I557" s="1"/>
  <c r="J10" i="43"/>
  <c r="D555" i="39"/>
  <c r="D557" s="1"/>
  <c r="H555"/>
  <c r="H557" s="1"/>
  <c r="F555"/>
  <c r="F557" s="1"/>
  <c r="L21" i="43"/>
  <c r="E555" i="39"/>
  <c r="E557" s="1"/>
  <c r="H10" i="43"/>
  <c r="K555" i="39"/>
  <c r="K557" s="1"/>
  <c r="F10" i="43"/>
  <c r="D10"/>
  <c r="E10"/>
  <c r="D648" i="39"/>
  <c r="G31" i="43"/>
  <c r="G648" i="39"/>
  <c r="D714"/>
  <c r="C54" i="43"/>
  <c r="D607" i="39"/>
  <c r="D164"/>
  <c r="D166" s="1"/>
  <c r="E164"/>
  <c r="E166" s="1"/>
  <c r="J857"/>
  <c r="J859" s="1"/>
  <c r="F857"/>
  <c r="F859" s="1"/>
  <c r="G55" i="43"/>
  <c r="G555" i="39"/>
  <c r="E24" i="43"/>
  <c r="G201" i="39"/>
  <c r="D548"/>
  <c r="I548"/>
  <c r="K548"/>
  <c r="F548"/>
  <c r="E548"/>
  <c r="H548"/>
  <c r="J548"/>
  <c r="D498"/>
  <c r="K902"/>
  <c r="K156"/>
  <c r="K211"/>
  <c r="K947"/>
  <c r="K848"/>
  <c r="K397"/>
  <c r="K248"/>
  <c r="K250" s="1"/>
  <c r="K657"/>
  <c r="K755"/>
  <c r="D653"/>
  <c r="D1116" s="1"/>
  <c r="D999" l="1"/>
  <c r="D1055"/>
  <c r="D1071" s="1"/>
  <c r="D1079"/>
  <c r="K951"/>
  <c r="O76" i="43"/>
  <c r="G812" i="39"/>
  <c r="K765"/>
  <c r="O31" i="43"/>
  <c r="O55"/>
  <c r="G557" i="39"/>
  <c r="O24" i="43"/>
  <c r="G203" i="39"/>
  <c r="K906"/>
  <c r="K262"/>
  <c r="V451" i="36"/>
  <c r="K259" i="39" s="1"/>
  <c r="K260" s="1"/>
  <c r="D1117"/>
  <c r="D1123" s="1"/>
  <c r="K661"/>
  <c r="K861"/>
  <c r="K559"/>
  <c r="D1135" l="1"/>
  <c r="D1127"/>
  <c r="O1113" i="36"/>
  <c r="O1103"/>
  <c r="O1270"/>
  <c r="O1269"/>
  <c r="O1268"/>
  <c r="O1267"/>
  <c r="O1255"/>
  <c r="O1254"/>
  <c r="O1260"/>
  <c r="O1243"/>
  <c r="O1238"/>
  <c r="O1240" s="1"/>
  <c r="O1224"/>
  <c r="O1223"/>
  <c r="O1208"/>
  <c r="O1209" s="1"/>
  <c r="O1205"/>
  <c r="O1206" s="1"/>
  <c r="O1090"/>
  <c r="O1077"/>
  <c r="D55" i="42"/>
  <c r="O1055" i="36"/>
  <c r="D76" i="42"/>
  <c r="O1033" i="36"/>
  <c r="D75" i="42"/>
  <c r="O1009" i="36"/>
  <c r="O996"/>
  <c r="D1068" i="39" s="1"/>
  <c r="D1069" s="1"/>
  <c r="O1244" i="36" l="1"/>
  <c r="D15" i="42"/>
  <c r="D849" i="39"/>
  <c r="D17" i="42"/>
  <c r="D941" i="39"/>
  <c r="D56" i="42"/>
  <c r="D903" i="39"/>
  <c r="D16" i="42"/>
  <c r="D896" i="39"/>
  <c r="D57" i="42"/>
  <c r="D948" i="39"/>
  <c r="D74" i="42"/>
  <c r="D715" i="39"/>
  <c r="D716" s="1"/>
  <c r="D36" i="42"/>
  <c r="D802" i="39"/>
  <c r="D35" i="42"/>
  <c r="D756" i="39"/>
  <c r="O1067" i="36"/>
  <c r="O1046"/>
  <c r="O1115"/>
  <c r="D956" i="39" s="1"/>
  <c r="D957" s="1"/>
  <c r="O1259" i="36"/>
  <c r="O1023"/>
  <c r="O1225"/>
  <c r="O1230" s="1"/>
  <c r="O1092"/>
  <c r="O1256"/>
  <c r="O1261"/>
  <c r="O1266"/>
  <c r="O1297" s="1"/>
  <c r="O1251"/>
  <c r="O954"/>
  <c r="O1196" l="1"/>
  <c r="D770" i="39"/>
  <c r="D771" s="1"/>
  <c r="D815"/>
  <c r="D911"/>
  <c r="D912" s="1"/>
  <c r="D705"/>
  <c r="D1056"/>
  <c r="D1057" s="1"/>
  <c r="O1153" i="36"/>
  <c r="D862" i="39"/>
  <c r="O1134" i="36"/>
  <c r="D907" i="39"/>
  <c r="O1135" i="36"/>
  <c r="D952" i="39"/>
  <c r="O1187" i="36"/>
  <c r="D766" i="39"/>
  <c r="O998" i="36"/>
  <c r="D34" i="42"/>
  <c r="O1154" i="36"/>
  <c r="O1133"/>
  <c r="O1188"/>
  <c r="O1155"/>
  <c r="O1262"/>
  <c r="O1263" s="1"/>
  <c r="O926"/>
  <c r="O896"/>
  <c r="O832"/>
  <c r="O805"/>
  <c r="O769"/>
  <c r="D29" i="42"/>
  <c r="O548" i="36"/>
  <c r="D66" i="42"/>
  <c r="D52"/>
  <c r="O355" i="36"/>
  <c r="O332"/>
  <c r="O314"/>
  <c r="Q1270"/>
  <c r="Q1269"/>
  <c r="Q1268"/>
  <c r="Q1267"/>
  <c r="Q1255"/>
  <c r="Q1254"/>
  <c r="Q1260"/>
  <c r="Q1243"/>
  <c r="Q1238"/>
  <c r="Q1240" s="1"/>
  <c r="Q1224"/>
  <c r="Q1223"/>
  <c r="Q1208"/>
  <c r="Q1209" s="1"/>
  <c r="Q1205"/>
  <c r="Q1206" s="1"/>
  <c r="Q1113"/>
  <c r="Q1103"/>
  <c r="Q1077"/>
  <c r="F55" i="42"/>
  <c r="Q1055" i="36"/>
  <c r="Q1044"/>
  <c r="F811" i="39" s="1"/>
  <c r="F812" s="1"/>
  <c r="F75" i="42"/>
  <c r="Q1009" i="36"/>
  <c r="F713" i="39"/>
  <c r="F1066" s="1"/>
  <c r="F712"/>
  <c r="F1063" s="1"/>
  <c r="F711"/>
  <c r="F1062" s="1"/>
  <c r="F645"/>
  <c r="F1106" s="1"/>
  <c r="F596"/>
  <c r="F1110" s="1"/>
  <c r="F595"/>
  <c r="F1109" s="1"/>
  <c r="F54" i="42"/>
  <c r="Q769" i="36"/>
  <c r="F504" i="39"/>
  <c r="F503"/>
  <c r="F1005" s="1"/>
  <c r="F499"/>
  <c r="F66" i="42"/>
  <c r="F59"/>
  <c r="Q332" i="36"/>
  <c r="F58" i="42"/>
  <c r="Q314" i="36"/>
  <c r="F209" i="40"/>
  <c r="Q146" i="36"/>
  <c r="F82" i="40" s="1"/>
  <c r="F49"/>
  <c r="D209"/>
  <c r="O146" i="36"/>
  <c r="D82" i="40" s="1"/>
  <c r="O128" i="36"/>
  <c r="D51" i="40" s="1"/>
  <c r="Q1241" i="36" l="1"/>
  <c r="Q1244"/>
  <c r="D1112" i="39"/>
  <c r="D1113" s="1"/>
  <c r="D25"/>
  <c r="D998" s="1"/>
  <c r="O1195" i="36"/>
  <c r="O1197"/>
  <c r="D819" i="39"/>
  <c r="D820" s="1"/>
  <c r="D1072"/>
  <c r="D1073" s="1"/>
  <c r="F109" i="40"/>
  <c r="F16" i="42"/>
  <c r="F896" i="39"/>
  <c r="F57" i="42"/>
  <c r="F948" i="39"/>
  <c r="F15" i="42"/>
  <c r="F849" i="39"/>
  <c r="F17" i="42"/>
  <c r="F941" i="39"/>
  <c r="F56" i="42"/>
  <c r="F903" i="39"/>
  <c r="Q1251" i="36"/>
  <c r="O1191"/>
  <c r="D719" i="39"/>
  <c r="F35" i="42"/>
  <c r="F756" i="39"/>
  <c r="D12" i="42"/>
  <c r="D157" i="39"/>
  <c r="D14" i="42"/>
  <c r="D549" i="39"/>
  <c r="D550" s="1"/>
  <c r="D30" i="42"/>
  <c r="D493" i="39"/>
  <c r="F18" i="42"/>
  <c r="F69" i="39"/>
  <c r="F30" i="42"/>
  <c r="F493" i="39"/>
  <c r="D61" i="42"/>
  <c r="D398" i="39"/>
  <c r="D13" i="42"/>
  <c r="D598" i="39"/>
  <c r="D21" i="42"/>
  <c r="D391" i="39"/>
  <c r="F19" i="42"/>
  <c r="F113" i="39"/>
  <c r="F14" i="42"/>
  <c r="F549" i="39"/>
  <c r="F550" s="1"/>
  <c r="D19" i="42"/>
  <c r="D113" i="39"/>
  <c r="D31" i="42"/>
  <c r="D649" i="39"/>
  <c r="D650" s="1"/>
  <c r="F61" i="42"/>
  <c r="F398" i="39"/>
  <c r="D18" i="42"/>
  <c r="D69" i="39"/>
  <c r="D26" i="42"/>
  <c r="D249" i="39"/>
  <c r="D71" i="42"/>
  <c r="D658" i="39"/>
  <c r="F648"/>
  <c r="F1111"/>
  <c r="F1067"/>
  <c r="F211" i="40"/>
  <c r="F604" i="39"/>
  <c r="Q926" i="36"/>
  <c r="G655" i="39"/>
  <c r="E71" i="43" s="1"/>
  <c r="G656" i="39"/>
  <c r="F71" i="43" s="1"/>
  <c r="F149" i="40"/>
  <c r="Q374" i="36"/>
  <c r="F446" i="39"/>
  <c r="F445"/>
  <c r="O1186" i="36"/>
  <c r="O1190" s="1"/>
  <c r="F15" i="39"/>
  <c r="F987" s="1"/>
  <c r="F76" i="42"/>
  <c r="F605" i="39"/>
  <c r="F108" i="40"/>
  <c r="F25" i="39" s="1"/>
  <c r="F998" s="1"/>
  <c r="Q1261" i="36"/>
  <c r="F656" i="39"/>
  <c r="F14" i="40"/>
  <c r="D110"/>
  <c r="Q355" i="36"/>
  <c r="F157" i="39" s="1"/>
  <c r="F1054"/>
  <c r="O260" i="36"/>
  <c r="D180" i="40" s="1"/>
  <c r="F26" i="42"/>
  <c r="O219" i="36"/>
  <c r="D149" i="40" s="1"/>
  <c r="D147"/>
  <c r="O655" i="36"/>
  <c r="Q1033"/>
  <c r="F798" i="39"/>
  <c r="F1048" s="1"/>
  <c r="F17"/>
  <c r="F989" s="1"/>
  <c r="O66" i="36"/>
  <c r="D994" i="39" s="1"/>
  <c r="D13"/>
  <c r="D985" s="1"/>
  <c r="O747" i="36"/>
  <c r="D500" i="39"/>
  <c r="D111" i="40"/>
  <c r="F11" i="39"/>
  <c r="F983" s="1"/>
  <c r="F48" i="40"/>
  <c r="F500" i="39"/>
  <c r="F110" i="40"/>
  <c r="F146"/>
  <c r="F178"/>
  <c r="F655" i="39"/>
  <c r="F111" i="40"/>
  <c r="F162" i="39"/>
  <c r="D14" i="40"/>
  <c r="Q258" i="36"/>
  <c r="Q564"/>
  <c r="O564"/>
  <c r="O376"/>
  <c r="O392"/>
  <c r="Q1256"/>
  <c r="O105"/>
  <c r="Q1023"/>
  <c r="Q1025" s="1"/>
  <c r="Q1225"/>
  <c r="Q1230" s="1"/>
  <c r="Q1259"/>
  <c r="Q896"/>
  <c r="F1112" i="39" s="1"/>
  <c r="Q954" i="36"/>
  <c r="Q1067"/>
  <c r="Q1115"/>
  <c r="Q1117" s="1"/>
  <c r="R1117" s="1"/>
  <c r="Q128"/>
  <c r="F51" i="40" s="1"/>
  <c r="Q1092" i="36"/>
  <c r="Q1094" s="1"/>
  <c r="Q1266"/>
  <c r="Q1297" s="1"/>
  <c r="Q105"/>
  <c r="O453"/>
  <c r="O461" s="1"/>
  <c r="Q322"/>
  <c r="O928"/>
  <c r="Q190"/>
  <c r="F113" i="40" s="1"/>
  <c r="Q784" i="36"/>
  <c r="Q786" s="1"/>
  <c r="Q996"/>
  <c r="F1068" i="39" s="1"/>
  <c r="Q339" i="36"/>
  <c r="Q341" s="1"/>
  <c r="R341" s="1"/>
  <c r="S341" s="1"/>
  <c r="T341" s="1"/>
  <c r="U341" s="1"/>
  <c r="O873"/>
  <c r="Q747"/>
  <c r="Q655"/>
  <c r="O190"/>
  <c r="D113" i="40" s="1"/>
  <c r="F79" i="39" l="1"/>
  <c r="Q324" i="36"/>
  <c r="R324" s="1"/>
  <c r="S324" s="1"/>
  <c r="T324" s="1"/>
  <c r="U324" s="1"/>
  <c r="D506" i="39"/>
  <c r="F506"/>
  <c r="D993"/>
  <c r="D995" s="1"/>
  <c r="F1055"/>
  <c r="F1071" s="1"/>
  <c r="F123"/>
  <c r="Q928" i="36"/>
  <c r="Q930" s="1"/>
  <c r="D27" i="39"/>
  <c r="D1000" s="1"/>
  <c r="D17" i="40"/>
  <c r="F28" i="39"/>
  <c r="F1001" s="1"/>
  <c r="D28"/>
  <c r="D1001" s="1"/>
  <c r="F26"/>
  <c r="F999" s="1"/>
  <c r="F164"/>
  <c r="F766"/>
  <c r="D666"/>
  <c r="D667" s="1"/>
  <c r="D723"/>
  <c r="D724" s="1"/>
  <c r="O1200" i="36"/>
  <c r="O1001"/>
  <c r="F560" i="39"/>
  <c r="Q566" i="36"/>
  <c r="D406" i="39"/>
  <c r="D407" s="1"/>
  <c r="F402"/>
  <c r="D263"/>
  <c r="D212"/>
  <c r="D216"/>
  <c r="D217" s="1"/>
  <c r="F212"/>
  <c r="D173"/>
  <c r="D174" s="1"/>
  <c r="F17" i="40"/>
  <c r="F437" i="39"/>
  <c r="F992" s="1"/>
  <c r="O1192" i="36"/>
  <c r="F1056" i="39"/>
  <c r="F907"/>
  <c r="D608"/>
  <c r="D609" s="1"/>
  <c r="D1124"/>
  <c r="D1125" s="1"/>
  <c r="Q1133" i="36"/>
  <c r="F862" i="39"/>
  <c r="F952"/>
  <c r="D662"/>
  <c r="F1113"/>
  <c r="F1069"/>
  <c r="F34" i="42"/>
  <c r="F705" i="39"/>
  <c r="Q1046" i="36"/>
  <c r="Q1048" s="1"/>
  <c r="F802" i="39"/>
  <c r="F74" i="42"/>
  <c r="F715" i="39"/>
  <c r="D9" i="42"/>
  <c r="D38" s="1"/>
  <c r="D21" i="39"/>
  <c r="F69" i="42"/>
  <c r="F451" i="39"/>
  <c r="F31" i="42"/>
  <c r="F649" i="39"/>
  <c r="F650" s="1"/>
  <c r="F13" i="42"/>
  <c r="F598" i="39"/>
  <c r="O1129" i="36"/>
  <c r="D402" i="39"/>
  <c r="O657" i="36"/>
  <c r="D451" i="39"/>
  <c r="O1125" i="36"/>
  <c r="D169" i="39"/>
  <c r="F52" i="42"/>
  <c r="F165" i="39"/>
  <c r="F71" i="42"/>
  <c r="F658" i="39"/>
  <c r="F1118"/>
  <c r="F1119"/>
  <c r="F12" i="42"/>
  <c r="Q376" i="36"/>
  <c r="F607" i="39"/>
  <c r="Q260" i="36"/>
  <c r="F180" i="40" s="1"/>
  <c r="F214"/>
  <c r="F30" i="39" s="1"/>
  <c r="F1006" s="1"/>
  <c r="O1128" i="36"/>
  <c r="O1126"/>
  <c r="F36" i="42"/>
  <c r="O875" i="36"/>
  <c r="D53" i="42"/>
  <c r="O749" i="36"/>
  <c r="D70" i="42"/>
  <c r="O322" i="36"/>
  <c r="D58" i="42"/>
  <c r="D69"/>
  <c r="Q749" i="36"/>
  <c r="F70" i="42"/>
  <c r="Q453" i="36"/>
  <c r="O339"/>
  <c r="D59" i="42"/>
  <c r="Q66" i="36"/>
  <c r="Q1124"/>
  <c r="Q1129"/>
  <c r="Q1132"/>
  <c r="Q1187"/>
  <c r="Q1134"/>
  <c r="Q1126"/>
  <c r="Q1123"/>
  <c r="O1167"/>
  <c r="F216" i="40"/>
  <c r="R1069" i="36"/>
  <c r="S1069" s="1"/>
  <c r="T1069" s="1"/>
  <c r="U1069" s="1"/>
  <c r="Q1135"/>
  <c r="O1145"/>
  <c r="Q1262"/>
  <c r="Q1263" s="1"/>
  <c r="O1199"/>
  <c r="D1076" i="39" s="1"/>
  <c r="D1078" s="1"/>
  <c r="Q998" i="36"/>
  <c r="Q1000" s="1"/>
  <c r="Q873"/>
  <c r="O299"/>
  <c r="O302" s="1"/>
  <c r="O1176"/>
  <c r="O931"/>
  <c r="E54" i="42"/>
  <c r="G54"/>
  <c r="H54"/>
  <c r="I54"/>
  <c r="J54"/>
  <c r="K54"/>
  <c r="V1270" i="36"/>
  <c r="V1269"/>
  <c r="V1268"/>
  <c r="V1267"/>
  <c r="V1255"/>
  <c r="V1254"/>
  <c r="V1243"/>
  <c r="V1208"/>
  <c r="V1209" s="1"/>
  <c r="V1113"/>
  <c r="V1103"/>
  <c r="V1090"/>
  <c r="V1077"/>
  <c r="K55" i="42"/>
  <c r="V1055" i="36"/>
  <c r="K76" i="42"/>
  <c r="K75"/>
  <c r="V1009" i="36"/>
  <c r="V991"/>
  <c r="K712" i="39" s="1"/>
  <c r="K1063" s="1"/>
  <c r="V952" i="36"/>
  <c r="V926"/>
  <c r="V896"/>
  <c r="V867"/>
  <c r="V830"/>
  <c r="V828"/>
  <c r="V827"/>
  <c r="V801"/>
  <c r="K595" i="39" s="1"/>
  <c r="K1109" s="1"/>
  <c r="V769" i="36"/>
  <c r="V714"/>
  <c r="V712"/>
  <c r="V628"/>
  <c r="V627"/>
  <c r="V624"/>
  <c r="V611"/>
  <c r="V607"/>
  <c r="K66" i="42"/>
  <c r="K26"/>
  <c r="V355" i="36"/>
  <c r="K59" i="42"/>
  <c r="K58"/>
  <c r="V239" i="36"/>
  <c r="K177" i="40" s="1"/>
  <c r="V204" i="36"/>
  <c r="V185"/>
  <c r="V172"/>
  <c r="V170"/>
  <c r="V146"/>
  <c r="K82" i="40" s="1"/>
  <c r="K83" s="1"/>
  <c r="K49"/>
  <c r="D1008" i="39" l="1"/>
  <c r="D1128"/>
  <c r="D1129" s="1"/>
  <c r="O1170" i="36"/>
  <c r="K703" i="39"/>
  <c r="K1054" s="1"/>
  <c r="Q457" i="36"/>
  <c r="R457" s="1"/>
  <c r="F439" i="39"/>
  <c r="F994"/>
  <c r="F993"/>
  <c r="F1057"/>
  <c r="D83"/>
  <c r="D84" s="1"/>
  <c r="O1144" i="36"/>
  <c r="F127" i="39"/>
  <c r="Q378" i="36"/>
  <c r="R378" s="1"/>
  <c r="K209" i="40"/>
  <c r="V1249" i="36"/>
  <c r="V1260" s="1"/>
  <c r="F27" i="39"/>
  <c r="Q302" i="36"/>
  <c r="F166" i="39"/>
  <c r="F815"/>
  <c r="O1201" i="36"/>
  <c r="D612" i="39"/>
  <c r="Q751" i="36"/>
  <c r="D510" i="39"/>
  <c r="D514"/>
  <c r="D515" s="1"/>
  <c r="D455"/>
  <c r="F510"/>
  <c r="D271"/>
  <c r="O325" i="36"/>
  <c r="D127" i="39"/>
  <c r="D128" s="1"/>
  <c r="F911"/>
  <c r="R1094" i="36"/>
  <c r="S1094" s="1"/>
  <c r="T1094" s="1"/>
  <c r="U1094" s="1"/>
  <c r="F770" i="39"/>
  <c r="R1025" i="36"/>
  <c r="S1025" s="1"/>
  <c r="T1025" s="1"/>
  <c r="U1025" s="1"/>
  <c r="F406" i="39"/>
  <c r="R566" i="36"/>
  <c r="F956" i="39"/>
  <c r="S1117" i="36"/>
  <c r="T1117" s="1"/>
  <c r="U1117" s="1"/>
  <c r="Q1197"/>
  <c r="K437" i="39"/>
  <c r="K992" s="1"/>
  <c r="D216" i="40"/>
  <c r="Q1155" i="36"/>
  <c r="K57" i="42"/>
  <c r="K948" i="39"/>
  <c r="K949" s="1"/>
  <c r="F662"/>
  <c r="K15" i="42"/>
  <c r="K849" i="39"/>
  <c r="K850" s="1"/>
  <c r="K17" i="42"/>
  <c r="K941" i="39"/>
  <c r="K942" s="1"/>
  <c r="F608"/>
  <c r="F609" s="1"/>
  <c r="F1124"/>
  <c r="K56" i="42"/>
  <c r="K903" i="39"/>
  <c r="K904" s="1"/>
  <c r="K16" i="42"/>
  <c r="K896" i="39"/>
  <c r="K897" s="1"/>
  <c r="F719"/>
  <c r="F1072"/>
  <c r="F1073" s="1"/>
  <c r="Q1153" i="36"/>
  <c r="F866" i="39"/>
  <c r="Q1154" i="36"/>
  <c r="K35" i="42"/>
  <c r="K756" i="39"/>
  <c r="K757" s="1"/>
  <c r="K31" i="42"/>
  <c r="K649" i="39"/>
  <c r="K650" s="1"/>
  <c r="F169"/>
  <c r="K61" i="42"/>
  <c r="K398" i="39"/>
  <c r="K399" s="1"/>
  <c r="O1124" i="36"/>
  <c r="D123" i="39"/>
  <c r="K14" i="42"/>
  <c r="K549" i="39"/>
  <c r="K550" s="1"/>
  <c r="F9" i="42"/>
  <c r="F21" i="39"/>
  <c r="O1123" i="36"/>
  <c r="D79" i="39"/>
  <c r="K12" i="42"/>
  <c r="K157" i="39"/>
  <c r="K158" s="1"/>
  <c r="K71" i="42"/>
  <c r="K658" i="39"/>
  <c r="K659" s="1"/>
  <c r="F263"/>
  <c r="F1123"/>
  <c r="D1007"/>
  <c r="F1075"/>
  <c r="F1077" s="1"/>
  <c r="K211" i="40"/>
  <c r="V453" i="36"/>
  <c r="K263" i="39" s="1"/>
  <c r="K264" s="1"/>
  <c r="O1166" i="36"/>
  <c r="Q1128"/>
  <c r="O1131"/>
  <c r="O1130"/>
  <c r="Q1191"/>
  <c r="Q1188"/>
  <c r="Q1131"/>
  <c r="Q875"/>
  <c r="Q1170" s="1"/>
  <c r="F53" i="42"/>
  <c r="O784" i="36"/>
  <c r="D54" i="42"/>
  <c r="Q657" i="36"/>
  <c r="F29" i="42"/>
  <c r="G503" i="39"/>
  <c r="G1005" s="1"/>
  <c r="J503"/>
  <c r="J1005" s="1"/>
  <c r="Q1186" i="36"/>
  <c r="R1000"/>
  <c r="I503" i="39"/>
  <c r="I1005" s="1"/>
  <c r="H503"/>
  <c r="H1005" s="1"/>
  <c r="Q1125" i="36"/>
  <c r="Q1196"/>
  <c r="Q1167"/>
  <c r="O1149"/>
  <c r="O1143"/>
  <c r="V1238"/>
  <c r="K386" i="39"/>
  <c r="K390" s="1"/>
  <c r="V296" i="36"/>
  <c r="K596" i="39"/>
  <c r="K1110" s="1"/>
  <c r="V298" i="36"/>
  <c r="V1033"/>
  <c r="K802" i="39" s="1"/>
  <c r="K798"/>
  <c r="K110" i="40"/>
  <c r="K48"/>
  <c r="O1146" i="36"/>
  <c r="O752"/>
  <c r="V1023"/>
  <c r="O342"/>
  <c r="V1092"/>
  <c r="Q1149"/>
  <c r="V1266"/>
  <c r="V1297" s="1"/>
  <c r="V1067"/>
  <c r="V548"/>
  <c r="K391" i="39" s="1"/>
  <c r="V1259" i="36"/>
  <c r="V1115"/>
  <c r="V784"/>
  <c r="V392"/>
  <c r="V928"/>
  <c r="V1256"/>
  <c r="S566" l="1"/>
  <c r="T566" s="1"/>
  <c r="U566" s="1"/>
  <c r="F1008" i="39"/>
  <c r="S457" i="36"/>
  <c r="T457" s="1"/>
  <c r="U457" s="1"/>
  <c r="V457" s="1"/>
  <c r="Q659"/>
  <c r="Q877"/>
  <c r="R877" s="1"/>
  <c r="R881" s="1"/>
  <c r="F1128" i="39"/>
  <c r="F1000"/>
  <c r="F1007" s="1"/>
  <c r="F1011" s="1"/>
  <c r="F995"/>
  <c r="D275"/>
  <c r="D276" s="1"/>
  <c r="O460" i="36"/>
  <c r="D32" i="39"/>
  <c r="D616"/>
  <c r="D617" s="1"/>
  <c r="O1179" i="36"/>
  <c r="D564" i="39"/>
  <c r="D565" s="1"/>
  <c r="O878" i="36"/>
  <c r="O1175"/>
  <c r="O1178" s="1"/>
  <c r="D1132" i="39" s="1"/>
  <c r="D1134" s="1"/>
  <c r="D459"/>
  <c r="D460" s="1"/>
  <c r="O1151" i="36"/>
  <c r="Q459"/>
  <c r="O1148"/>
  <c r="D272" i="39"/>
  <c r="Q304" i="36"/>
  <c r="Q306" s="1"/>
  <c r="R306" s="1"/>
  <c r="S306" s="1"/>
  <c r="T306" s="1"/>
  <c r="U306" s="1"/>
  <c r="R342"/>
  <c r="Q1143"/>
  <c r="F83" i="39"/>
  <c r="R1001" i="36"/>
  <c r="S1000"/>
  <c r="F819" i="39"/>
  <c r="R1048" i="36"/>
  <c r="S1048" s="1"/>
  <c r="T1048" s="1"/>
  <c r="U1048" s="1"/>
  <c r="F666" i="39"/>
  <c r="F216"/>
  <c r="F173"/>
  <c r="S378" i="36"/>
  <c r="T378" s="1"/>
  <c r="U378" s="1"/>
  <c r="R325"/>
  <c r="D1009" i="39"/>
  <c r="V1133" i="36"/>
  <c r="K862" i="39"/>
  <c r="K863" s="1"/>
  <c r="V1134" i="36"/>
  <c r="K907" i="39"/>
  <c r="K908" s="1"/>
  <c r="V1135" i="36"/>
  <c r="K952" i="39"/>
  <c r="K953" s="1"/>
  <c r="F1127"/>
  <c r="F1125"/>
  <c r="D1019"/>
  <c r="V1187" i="36"/>
  <c r="K766" i="39"/>
  <c r="K767" s="1"/>
  <c r="Q1200" i="36"/>
  <c r="F723" i="39"/>
  <c r="F38" i="42"/>
  <c r="F455" i="39"/>
  <c r="V1132" i="36"/>
  <c r="K560" i="39"/>
  <c r="K561" s="1"/>
  <c r="O1132" i="36"/>
  <c r="D560" i="39"/>
  <c r="F612"/>
  <c r="V1126" i="36"/>
  <c r="K212" i="39"/>
  <c r="K213" s="1"/>
  <c r="F32"/>
  <c r="V1167" i="36"/>
  <c r="K662" i="39"/>
  <c r="K663" s="1"/>
  <c r="F270"/>
  <c r="F271"/>
  <c r="K401"/>
  <c r="K392"/>
  <c r="D1011"/>
  <c r="F1079"/>
  <c r="K801"/>
  <c r="K1048"/>
  <c r="H70" i="43"/>
  <c r="F49" i="42"/>
  <c r="F78" s="1"/>
  <c r="K214" i="40"/>
  <c r="K30" i="39" s="1"/>
  <c r="K1006" s="1"/>
  <c r="Q1146" i="36"/>
  <c r="R751"/>
  <c r="O1150"/>
  <c r="O660"/>
  <c r="Q1195"/>
  <c r="Q1199" s="1"/>
  <c r="F1076" i="39" s="1"/>
  <c r="F1078" s="1"/>
  <c r="Q1130" i="36"/>
  <c r="Q1190"/>
  <c r="Q1192" s="1"/>
  <c r="V1046"/>
  <c r="K36" i="42"/>
  <c r="V564" i="36"/>
  <c r="K21" i="42"/>
  <c r="O304" i="36"/>
  <c r="D49" i="42"/>
  <c r="D78" s="1"/>
  <c r="Q1166" i="36"/>
  <c r="Q1169" s="1"/>
  <c r="O1169"/>
  <c r="O1171" s="1"/>
  <c r="Q1145"/>
  <c r="Q931"/>
  <c r="Q325"/>
  <c r="Q1176"/>
  <c r="Q1144"/>
  <c r="Q342"/>
  <c r="Q1001"/>
  <c r="O1152"/>
  <c r="V1128"/>
  <c r="E66" i="42"/>
  <c r="D1012" i="39" l="1"/>
  <c r="D1013" s="1"/>
  <c r="O1138" i="36"/>
  <c r="F1012" i="39"/>
  <c r="F1013" s="1"/>
  <c r="Q1138" i="36"/>
  <c r="R659"/>
  <c r="R660" s="1"/>
  <c r="Q461"/>
  <c r="R459"/>
  <c r="Q460"/>
  <c r="F1009" i="39"/>
  <c r="F275"/>
  <c r="O1180" i="36"/>
  <c r="F564" i="39"/>
  <c r="R786" i="36"/>
  <c r="S786" s="1"/>
  <c r="T786" s="1"/>
  <c r="U786" s="1"/>
  <c r="S342"/>
  <c r="Q1148"/>
  <c r="G216" i="39"/>
  <c r="R878" i="36"/>
  <c r="S877"/>
  <c r="S325"/>
  <c r="S751"/>
  <c r="S1151" s="1"/>
  <c r="R752"/>
  <c r="Q1201"/>
  <c r="F459" i="39"/>
  <c r="S1001" i="36"/>
  <c r="T1000"/>
  <c r="F36" i="39"/>
  <c r="F616"/>
  <c r="F1131"/>
  <c r="F1133" s="1"/>
  <c r="F1129"/>
  <c r="F1015"/>
  <c r="V1188" i="36"/>
  <c r="K815" i="39"/>
  <c r="K814"/>
  <c r="K803"/>
  <c r="Q1150" i="36"/>
  <c r="Q1122"/>
  <c r="Q1137" s="1"/>
  <c r="D36" i="39"/>
  <c r="Q752" i="36"/>
  <c r="F514" i="39"/>
  <c r="I66" i="42"/>
  <c r="I259" i="39"/>
  <c r="I260" s="1"/>
  <c r="H66" i="42"/>
  <c r="H259" i="39"/>
  <c r="H260" s="1"/>
  <c r="V1129" i="36"/>
  <c r="K402" i="39"/>
  <c r="K403" s="1"/>
  <c r="G66" i="42"/>
  <c r="G259" i="39"/>
  <c r="G260" s="1"/>
  <c r="F272"/>
  <c r="G66" i="43"/>
  <c r="Q878" i="36"/>
  <c r="Q1179"/>
  <c r="Q1175"/>
  <c r="Q1178" s="1"/>
  <c r="F1132" i="39" s="1"/>
  <c r="Q1151" i="36"/>
  <c r="Q660"/>
  <c r="O1122"/>
  <c r="O1137" s="1"/>
  <c r="Q1171"/>
  <c r="Q1152"/>
  <c r="L26" i="43"/>
  <c r="R461" i="36" l="1"/>
  <c r="S459"/>
  <c r="R460"/>
  <c r="U342"/>
  <c r="D1016" i="39"/>
  <c r="D1018" s="1"/>
  <c r="D40"/>
  <c r="D41" s="1"/>
  <c r="O1158" i="36"/>
  <c r="O307"/>
  <c r="O1142"/>
  <c r="S659"/>
  <c r="T877"/>
  <c r="S881"/>
  <c r="S878"/>
  <c r="T325"/>
  <c r="U325"/>
  <c r="T1001"/>
  <c r="U1000"/>
  <c r="U1001" s="1"/>
  <c r="S752"/>
  <c r="T751"/>
  <c r="F1135" i="39"/>
  <c r="F1134"/>
  <c r="F1019"/>
  <c r="K816"/>
  <c r="J66" i="42"/>
  <c r="J259" i="39"/>
  <c r="J260" s="1"/>
  <c r="O1139" i="36"/>
  <c r="Q1139"/>
  <c r="Q1180"/>
  <c r="N1270"/>
  <c r="P1270"/>
  <c r="R1270"/>
  <c r="S1270"/>
  <c r="T1270"/>
  <c r="U1270"/>
  <c r="N1269"/>
  <c r="P1269"/>
  <c r="R1269"/>
  <c r="S1269"/>
  <c r="T1269"/>
  <c r="U1269"/>
  <c r="N1268"/>
  <c r="P1268"/>
  <c r="R1268"/>
  <c r="S1268"/>
  <c r="T1268"/>
  <c r="U1268"/>
  <c r="N1267"/>
  <c r="P1267"/>
  <c r="R1267"/>
  <c r="S1267"/>
  <c r="T1267"/>
  <c r="U1267"/>
  <c r="K604" i="39"/>
  <c r="K1118" s="1"/>
  <c r="S461" i="36" l="1"/>
  <c r="T459"/>
  <c r="S460"/>
  <c r="T342"/>
  <c r="O1157"/>
  <c r="Q307"/>
  <c r="F1016" i="39"/>
  <c r="F1018" s="1"/>
  <c r="Q1142" i="36"/>
  <c r="Q1158"/>
  <c r="F40" i="39"/>
  <c r="R307" i="36"/>
  <c r="U751"/>
  <c r="T752"/>
  <c r="T881"/>
  <c r="U877"/>
  <c r="T878"/>
  <c r="T659"/>
  <c r="S660"/>
  <c r="K605" i="39"/>
  <c r="K1119" s="1"/>
  <c r="S1266" i="36"/>
  <c r="S1297" s="1"/>
  <c r="P1266"/>
  <c r="P1297" s="1"/>
  <c r="R1266"/>
  <c r="R1297" s="1"/>
  <c r="N1266"/>
  <c r="N1297" s="1"/>
  <c r="U1266"/>
  <c r="U1297" s="1"/>
  <c r="T1266"/>
  <c r="T1297" s="1"/>
  <c r="X1266" l="1"/>
  <c r="T461"/>
  <c r="U459"/>
  <c r="T460"/>
  <c r="O1159"/>
  <c r="D1017" i="39"/>
  <c r="U752" i="36"/>
  <c r="D54" i="45"/>
  <c r="Q1157" i="36"/>
  <c r="S307"/>
  <c r="T660"/>
  <c r="U659"/>
  <c r="U881"/>
  <c r="U878"/>
  <c r="E76" i="42"/>
  <c r="G76"/>
  <c r="H76"/>
  <c r="I76"/>
  <c r="J76"/>
  <c r="E503" i="39"/>
  <c r="E1005" s="1"/>
  <c r="U460" i="36" l="1"/>
  <c r="U461"/>
  <c r="F1017" i="39"/>
  <c r="U660" i="36"/>
  <c r="F54" i="45"/>
  <c r="Q1159" i="36"/>
  <c r="T307"/>
  <c r="U307"/>
  <c r="G547" i="39"/>
  <c r="H604"/>
  <c r="H1118" s="1"/>
  <c r="I604"/>
  <c r="I1118" s="1"/>
  <c r="J604"/>
  <c r="J1118" s="1"/>
  <c r="G604"/>
  <c r="G1118" s="1"/>
  <c r="G14" i="42" l="1"/>
  <c r="G549" i="39"/>
  <c r="G548"/>
  <c r="L15" i="43"/>
  <c r="G798" i="39"/>
  <c r="H798"/>
  <c r="H1048" s="1"/>
  <c r="I798"/>
  <c r="I1048" s="1"/>
  <c r="J798"/>
  <c r="J1048" s="1"/>
  <c r="E798"/>
  <c r="E1048" s="1"/>
  <c r="O15" i="43" l="1"/>
  <c r="G550" i="39"/>
  <c r="E36" i="43"/>
  <c r="G1048" i="39"/>
  <c r="E1054"/>
  <c r="E1055" s="1"/>
  <c r="K500" l="1"/>
  <c r="K446"/>
  <c r="C206"/>
  <c r="C487"/>
  <c r="C432"/>
  <c r="C201"/>
  <c r="N1255" i="36"/>
  <c r="P1255"/>
  <c r="R1255"/>
  <c r="S1255"/>
  <c r="T1255"/>
  <c r="U1255"/>
  <c r="N1254"/>
  <c r="N1259" s="1"/>
  <c r="P1254"/>
  <c r="R1254"/>
  <c r="S1254"/>
  <c r="T1254"/>
  <c r="U1254"/>
  <c r="P1260"/>
  <c r="R1260"/>
  <c r="S1260"/>
  <c r="T1260"/>
  <c r="U1260"/>
  <c r="H31" i="42" l="1"/>
  <c r="H649" i="39"/>
  <c r="H650" s="1"/>
  <c r="E26" i="42"/>
  <c r="E249" i="39"/>
  <c r="N24" i="42"/>
  <c r="O24" s="1"/>
  <c r="C203" i="39"/>
  <c r="U1259" i="36"/>
  <c r="R1256"/>
  <c r="T1256"/>
  <c r="N1256"/>
  <c r="U1256"/>
  <c r="P1256"/>
  <c r="R1259"/>
  <c r="S1256"/>
  <c r="S1259"/>
  <c r="P1259"/>
  <c r="T1259"/>
  <c r="N1261"/>
  <c r="C46" i="45"/>
  <c r="C45"/>
  <c r="C44"/>
  <c r="C39"/>
  <c r="C38"/>
  <c r="C37"/>
  <c r="C32"/>
  <c r="C30"/>
  <c r="C25"/>
  <c r="C21"/>
  <c r="C20"/>
  <c r="C19"/>
  <c r="C18"/>
  <c r="C17"/>
  <c r="C16"/>
  <c r="C15"/>
  <c r="C14"/>
  <c r="C9"/>
  <c r="C49" l="1"/>
  <c r="C213" i="40" l="1"/>
  <c r="C29" i="39" s="1"/>
  <c r="C1003" s="1"/>
  <c r="C212" i="40"/>
  <c r="C209"/>
  <c r="C176"/>
  <c r="C147"/>
  <c r="C145"/>
  <c r="C109"/>
  <c r="C80"/>
  <c r="C47"/>
  <c r="C46"/>
  <c r="C13"/>
  <c r="C12"/>
  <c r="G81" l="1"/>
  <c r="I81"/>
  <c r="F81"/>
  <c r="F83" s="1"/>
  <c r="H81"/>
  <c r="J81"/>
  <c r="K14" l="1"/>
  <c r="C940" i="39"/>
  <c r="C894"/>
  <c r="C854"/>
  <c r="C847"/>
  <c r="C857" l="1"/>
  <c r="C895"/>
  <c r="J57" i="43"/>
  <c r="E848" i="39"/>
  <c r="C848"/>
  <c r="M16" i="43"/>
  <c r="D942" i="39"/>
  <c r="C947"/>
  <c r="J56" i="43"/>
  <c r="M17"/>
  <c r="F942" i="39"/>
  <c r="C809"/>
  <c r="C1065"/>
  <c r="C800"/>
  <c r="C799"/>
  <c r="C798"/>
  <c r="C1048" s="1"/>
  <c r="E761"/>
  <c r="E763" s="1"/>
  <c r="J75" i="43"/>
  <c r="C754" i="39"/>
  <c r="C753"/>
  <c r="C752"/>
  <c r="C1046" s="1"/>
  <c r="G755"/>
  <c r="H755"/>
  <c r="C710"/>
  <c r="C1061" s="1"/>
  <c r="C702"/>
  <c r="C1053" s="1"/>
  <c r="C701"/>
  <c r="C1052" s="1"/>
  <c r="C700"/>
  <c r="C698"/>
  <c r="C1049" s="1"/>
  <c r="C653"/>
  <c r="C646"/>
  <c r="C645"/>
  <c r="C1106" s="1"/>
  <c r="C603"/>
  <c r="C602"/>
  <c r="C594"/>
  <c r="C1108" s="1"/>
  <c r="C593"/>
  <c r="C1107" s="1"/>
  <c r="C555"/>
  <c r="K38" i="43"/>
  <c r="C498" i="39"/>
  <c r="C488"/>
  <c r="C448"/>
  <c r="C1004" s="1"/>
  <c r="C437"/>
  <c r="C435"/>
  <c r="C433"/>
  <c r="C431"/>
  <c r="C389"/>
  <c r="C388"/>
  <c r="C386"/>
  <c r="C245"/>
  <c r="M26" i="43"/>
  <c r="C207" i="39"/>
  <c r="C209" s="1"/>
  <c r="D207"/>
  <c r="H207"/>
  <c r="H209" s="1"/>
  <c r="I207"/>
  <c r="I209" s="1"/>
  <c r="M24" i="43"/>
  <c r="P24" s="1"/>
  <c r="C164" i="39"/>
  <c r="C166" s="1"/>
  <c r="C154"/>
  <c r="J59" i="43"/>
  <c r="P59" s="1"/>
  <c r="C111" i="39"/>
  <c r="C110"/>
  <c r="J58" i="43"/>
  <c r="P58" s="1"/>
  <c r="C67" i="39"/>
  <c r="C66"/>
  <c r="D68"/>
  <c r="D70" s="1"/>
  <c r="C17"/>
  <c r="C16"/>
  <c r="C15"/>
  <c r="C14"/>
  <c r="C986" s="1"/>
  <c r="C13"/>
  <c r="C12"/>
  <c r="J947"/>
  <c r="I947"/>
  <c r="H947"/>
  <c r="G947"/>
  <c r="F947"/>
  <c r="F949" s="1"/>
  <c r="E947"/>
  <c r="C985" l="1"/>
  <c r="C987"/>
  <c r="C992"/>
  <c r="E951"/>
  <c r="N55" i="42"/>
  <c r="C859" i="39"/>
  <c r="C1117"/>
  <c r="C1116"/>
  <c r="N54" i="42"/>
  <c r="C557" i="39"/>
  <c r="D211"/>
  <c r="D213" s="1"/>
  <c r="D209"/>
  <c r="F33" i="44"/>
  <c r="O35" i="43"/>
  <c r="H15" i="44"/>
  <c r="O57" i="43"/>
  <c r="P57" s="1"/>
  <c r="F15" i="44"/>
  <c r="O17" i="43"/>
  <c r="P17" s="1"/>
  <c r="N17" i="42"/>
  <c r="C1066" i="39"/>
  <c r="C810"/>
  <c r="C1051"/>
  <c r="C1054"/>
  <c r="C648"/>
  <c r="C650" s="1"/>
  <c r="C607"/>
  <c r="J55" i="43"/>
  <c r="P55" s="1"/>
  <c r="J76"/>
  <c r="P76" s="1"/>
  <c r="J65"/>
  <c r="P65" s="1"/>
  <c r="C112" i="39"/>
  <c r="C68"/>
  <c r="H951"/>
  <c r="D755"/>
  <c r="D757" s="1"/>
  <c r="F207"/>
  <c r="F209" s="1"/>
  <c r="E207"/>
  <c r="E209" s="1"/>
  <c r="E755"/>
  <c r="I951"/>
  <c r="C801"/>
  <c r="G207"/>
  <c r="G209" s="1"/>
  <c r="E801"/>
  <c r="M36" i="43"/>
  <c r="D112" i="39"/>
  <c r="D114" s="1"/>
  <c r="J207"/>
  <c r="J209" s="1"/>
  <c r="D248"/>
  <c r="D250" s="1"/>
  <c r="F38" i="43"/>
  <c r="C755" i="39"/>
  <c r="G397"/>
  <c r="J61" i="43"/>
  <c r="H24" i="44"/>
  <c r="M21" i="43"/>
  <c r="H78"/>
  <c r="F112" i="39"/>
  <c r="F114" s="1"/>
  <c r="F68"/>
  <c r="F70" s="1"/>
  <c r="E112"/>
  <c r="D390"/>
  <c r="D392" s="1"/>
  <c r="G156"/>
  <c r="J64" i="43"/>
  <c r="D559" i="39"/>
  <c r="D561" s="1"/>
  <c r="J755"/>
  <c r="I755"/>
  <c r="D438"/>
  <c r="D440" s="1"/>
  <c r="F755"/>
  <c r="F757" s="1"/>
  <c r="M35" i="43"/>
  <c r="M15"/>
  <c r="P15" s="1"/>
  <c r="E68" i="39"/>
  <c r="J66" i="43"/>
  <c r="P66" s="1"/>
  <c r="H38"/>
  <c r="F951" i="39"/>
  <c r="F953" s="1"/>
  <c r="J951"/>
  <c r="C951"/>
  <c r="G951"/>
  <c r="E19" i="45" l="1"/>
  <c r="E814" i="39"/>
  <c r="N76" i="42"/>
  <c r="C812" i="39"/>
  <c r="E765"/>
  <c r="N64" i="42"/>
  <c r="J15" i="44"/>
  <c r="H19"/>
  <c r="O61" i="43"/>
  <c r="P61" s="1"/>
  <c r="N35" i="42"/>
  <c r="F11" i="44"/>
  <c r="O13" i="43"/>
  <c r="H22" i="44"/>
  <c r="O64" i="43"/>
  <c r="P64" s="1"/>
  <c r="P35"/>
  <c r="C814" i="39"/>
  <c r="C1055"/>
  <c r="F955"/>
  <c r="F957" s="1"/>
  <c r="G78" i="43"/>
  <c r="J902" i="39"/>
  <c r="J904" s="1"/>
  <c r="I902"/>
  <c r="H902"/>
  <c r="G902"/>
  <c r="G904" s="1"/>
  <c r="F902"/>
  <c r="F904" s="1"/>
  <c r="E902"/>
  <c r="D902"/>
  <c r="D904" s="1"/>
  <c r="J895"/>
  <c r="I895"/>
  <c r="H895"/>
  <c r="G895"/>
  <c r="F895"/>
  <c r="F897" s="1"/>
  <c r="E895"/>
  <c r="D895"/>
  <c r="D897" s="1"/>
  <c r="H14" i="44" l="1"/>
  <c r="O56" i="43"/>
  <c r="P56" s="1"/>
  <c r="N16" i="42"/>
  <c r="F14" i="44"/>
  <c r="O16" i="43"/>
  <c r="P16" s="1"/>
  <c r="D15" i="44"/>
  <c r="L15" s="1"/>
  <c r="G955" i="39"/>
  <c r="F19" i="45"/>
  <c r="D906" i="39"/>
  <c r="D908" s="1"/>
  <c r="F906"/>
  <c r="H906"/>
  <c r="J906"/>
  <c r="E906"/>
  <c r="G906"/>
  <c r="I906"/>
  <c r="E18" i="45" l="1"/>
  <c r="F910" i="39"/>
  <c r="D14" i="44" s="1"/>
  <c r="F908" i="39"/>
  <c r="J14" i="44"/>
  <c r="H955" i="39"/>
  <c r="G19" i="45"/>
  <c r="J848" i="39"/>
  <c r="I848"/>
  <c r="H848"/>
  <c r="G848"/>
  <c r="F848"/>
  <c r="F850" s="1"/>
  <c r="D848"/>
  <c r="D850" s="1"/>
  <c r="G910" l="1"/>
  <c r="G18" i="45" s="1"/>
  <c r="F912" i="39"/>
  <c r="F18" i="45"/>
  <c r="L14" i="44"/>
  <c r="N15" i="42"/>
  <c r="D861" i="39"/>
  <c r="D863" s="1"/>
  <c r="I955"/>
  <c r="H19" i="45"/>
  <c r="C861" i="39"/>
  <c r="E861"/>
  <c r="G861"/>
  <c r="I861"/>
  <c r="F861"/>
  <c r="H861"/>
  <c r="J861"/>
  <c r="H34" i="44"/>
  <c r="E46" i="45"/>
  <c r="J801" i="39"/>
  <c r="I801"/>
  <c r="H801"/>
  <c r="G801"/>
  <c r="F801"/>
  <c r="D801"/>
  <c r="D803" s="1"/>
  <c r="H910" l="1"/>
  <c r="H18" i="45" s="1"/>
  <c r="E17"/>
  <c r="F865" i="39"/>
  <c r="F867" s="1"/>
  <c r="F863"/>
  <c r="J814"/>
  <c r="F814"/>
  <c r="F816" s="1"/>
  <c r="F803"/>
  <c r="I814"/>
  <c r="H814"/>
  <c r="O36" i="43"/>
  <c r="P36" s="1"/>
  <c r="D814" i="39"/>
  <c r="D816" s="1"/>
  <c r="N36" i="42"/>
  <c r="F34" i="44"/>
  <c r="J34" s="1"/>
  <c r="G814" i="39"/>
  <c r="J955"/>
  <c r="I19" i="45"/>
  <c r="D46"/>
  <c r="I910" i="39" l="1"/>
  <c r="I18" i="45" s="1"/>
  <c r="F17"/>
  <c r="G865" i="39"/>
  <c r="H865" s="1"/>
  <c r="F818"/>
  <c r="F820" s="1"/>
  <c r="K955"/>
  <c r="J19" i="45"/>
  <c r="J761" i="39"/>
  <c r="J763" s="1"/>
  <c r="I761"/>
  <c r="I763" s="1"/>
  <c r="H761"/>
  <c r="H763" s="1"/>
  <c r="G761"/>
  <c r="G763" s="1"/>
  <c r="F761"/>
  <c r="F763" s="1"/>
  <c r="D761"/>
  <c r="D763" s="1"/>
  <c r="C761"/>
  <c r="C763" s="1"/>
  <c r="C704"/>
  <c r="K19" i="45" l="1"/>
  <c r="J910" i="39"/>
  <c r="J18" i="45" s="1"/>
  <c r="G17"/>
  <c r="I865" i="39"/>
  <c r="G818"/>
  <c r="H33" i="44"/>
  <c r="J33" s="1"/>
  <c r="O75" i="43"/>
  <c r="P75" s="1"/>
  <c r="N75" i="42"/>
  <c r="D34" i="44"/>
  <c r="L34" s="1"/>
  <c r="F46" i="45"/>
  <c r="H17"/>
  <c r="D765" i="39"/>
  <c r="D767" s="1"/>
  <c r="F765"/>
  <c r="H765"/>
  <c r="J765"/>
  <c r="C765"/>
  <c r="E45" i="45"/>
  <c r="G765" i="39"/>
  <c r="I765"/>
  <c r="K910" l="1"/>
  <c r="K18" i="45" s="1"/>
  <c r="J865" i="39"/>
  <c r="F769"/>
  <c r="F771" s="1"/>
  <c r="F767"/>
  <c r="H818"/>
  <c r="H46" i="45" s="1"/>
  <c r="G46"/>
  <c r="I17"/>
  <c r="K865" i="39" l="1"/>
  <c r="F45" i="45"/>
  <c r="D33" i="44"/>
  <c r="L33" s="1"/>
  <c r="G769" i="39"/>
  <c r="I818"/>
  <c r="I46" i="45" s="1"/>
  <c r="J17"/>
  <c r="H769" i="39" l="1"/>
  <c r="J818"/>
  <c r="J46" i="45" s="1"/>
  <c r="G45"/>
  <c r="K17"/>
  <c r="I769" i="39" l="1"/>
  <c r="I45" i="45" s="1"/>
  <c r="K818" i="39"/>
  <c r="H45" i="45"/>
  <c r="J559" i="39"/>
  <c r="F559"/>
  <c r="H559"/>
  <c r="F13" i="44"/>
  <c r="H13"/>
  <c r="J769" i="39" l="1"/>
  <c r="K46" i="45"/>
  <c r="F563" i="39"/>
  <c r="F565" s="1"/>
  <c r="F561"/>
  <c r="J13" i="44"/>
  <c r="I559" i="39"/>
  <c r="E559"/>
  <c r="G559"/>
  <c r="K769" l="1"/>
  <c r="J45" i="45"/>
  <c r="E16"/>
  <c r="G563" i="39"/>
  <c r="D13" i="44"/>
  <c r="L13" s="1"/>
  <c r="F16" i="45"/>
  <c r="E492" i="39"/>
  <c r="K45" i="45" l="1"/>
  <c r="H563" i="39"/>
  <c r="H16" i="45" s="1"/>
  <c r="G16"/>
  <c r="J397" i="39"/>
  <c r="H397"/>
  <c r="F397"/>
  <c r="F399" s="1"/>
  <c r="G390"/>
  <c r="I563" l="1"/>
  <c r="I16" i="45" s="1"/>
  <c r="F19" i="44"/>
  <c r="O21" i="43"/>
  <c r="P21" s="1"/>
  <c r="F390" i="39"/>
  <c r="F392" s="1"/>
  <c r="H390"/>
  <c r="C390"/>
  <c r="I397"/>
  <c r="G401"/>
  <c r="J563" l="1"/>
  <c r="J16" i="45" s="1"/>
  <c r="H401" i="39"/>
  <c r="F401"/>
  <c r="J19" i="44"/>
  <c r="E248" i="39"/>
  <c r="C248"/>
  <c r="K563" l="1"/>
  <c r="F405"/>
  <c r="F407" s="1"/>
  <c r="F403"/>
  <c r="E262"/>
  <c r="E250"/>
  <c r="E32" i="45"/>
  <c r="C262" i="39"/>
  <c r="K16" i="45" l="1"/>
  <c r="G405" i="39"/>
  <c r="D19" i="44"/>
  <c r="F22"/>
  <c r="C211" i="39"/>
  <c r="C213" s="1"/>
  <c r="H405" l="1"/>
  <c r="J22" i="44"/>
  <c r="I211" i="39"/>
  <c r="E211"/>
  <c r="G211"/>
  <c r="G213" s="1"/>
  <c r="F211"/>
  <c r="H211"/>
  <c r="J211"/>
  <c r="F215" l="1"/>
  <c r="F217" s="1"/>
  <c r="F213"/>
  <c r="E30" i="45"/>
  <c r="I156" i="39"/>
  <c r="E156"/>
  <c r="C156"/>
  <c r="G215" l="1"/>
  <c r="H215" s="1"/>
  <c r="D22" i="44"/>
  <c r="L22" s="1"/>
  <c r="F30" i="45"/>
  <c r="D156" i="39"/>
  <c r="H156"/>
  <c r="J156"/>
  <c r="E168"/>
  <c r="G30" i="45" l="1"/>
  <c r="G217" i="39"/>
  <c r="I215"/>
  <c r="E14" i="45"/>
  <c r="D168" i="39"/>
  <c r="D170" s="1"/>
  <c r="D158"/>
  <c r="H30" i="45"/>
  <c r="J215" i="39" l="1"/>
  <c r="I30" i="45"/>
  <c r="J118" i="39"/>
  <c r="J120" s="1"/>
  <c r="I118"/>
  <c r="I120" s="1"/>
  <c r="H118"/>
  <c r="H120" s="1"/>
  <c r="G118"/>
  <c r="F118"/>
  <c r="F120" s="1"/>
  <c r="E118"/>
  <c r="D118"/>
  <c r="C118"/>
  <c r="D120" l="1"/>
  <c r="D129"/>
  <c r="C120"/>
  <c r="C129"/>
  <c r="E120"/>
  <c r="E129"/>
  <c r="K215"/>
  <c r="H17" i="44"/>
  <c r="G120" i="39"/>
  <c r="N59" i="42"/>
  <c r="D122" i="39"/>
  <c r="D124" s="1"/>
  <c r="F122"/>
  <c r="J30" i="45"/>
  <c r="C122" i="39"/>
  <c r="E122"/>
  <c r="E21" i="45" l="1"/>
  <c r="F126" i="39"/>
  <c r="F124"/>
  <c r="K30" i="45"/>
  <c r="J74" i="39"/>
  <c r="J76" s="1"/>
  <c r="I74"/>
  <c r="I76" s="1"/>
  <c r="H74"/>
  <c r="H76" s="1"/>
  <c r="G74"/>
  <c r="F74"/>
  <c r="F76" s="1"/>
  <c r="E74"/>
  <c r="D74"/>
  <c r="C74"/>
  <c r="F21" i="45" l="1"/>
  <c r="F129" i="39"/>
  <c r="D76"/>
  <c r="D85"/>
  <c r="C76"/>
  <c r="C85"/>
  <c r="E76"/>
  <c r="E85"/>
  <c r="H16" i="44"/>
  <c r="G76" i="39"/>
  <c r="D17" i="44"/>
  <c r="F128" i="39"/>
  <c r="N58" i="42"/>
  <c r="D78" i="39"/>
  <c r="D80" s="1"/>
  <c r="F78"/>
  <c r="C78"/>
  <c r="E78"/>
  <c r="E20" i="45" l="1"/>
  <c r="F82" i="39"/>
  <c r="F80"/>
  <c r="N1243" i="36"/>
  <c r="P1243"/>
  <c r="S1243"/>
  <c r="T1243"/>
  <c r="U1243"/>
  <c r="F20" i="45" l="1"/>
  <c r="F85" i="39"/>
  <c r="D16" i="44"/>
  <c r="F84" i="39"/>
  <c r="F156"/>
  <c r="M13" i="43"/>
  <c r="P13" s="1"/>
  <c r="N12" i="42" l="1"/>
  <c r="F158" i="39"/>
  <c r="N1224" i="36"/>
  <c r="P1224"/>
  <c r="E17" i="39" l="1"/>
  <c r="E989" s="1"/>
  <c r="N1223" i="36"/>
  <c r="N1225" s="1"/>
  <c r="N1230" s="1"/>
  <c r="P1223"/>
  <c r="P1225" s="1"/>
  <c r="P1230" s="1"/>
  <c r="G701" i="39"/>
  <c r="G594"/>
  <c r="I14" i="43" l="1"/>
  <c r="G1108" i="39"/>
  <c r="I34" i="43"/>
  <c r="G1052" i="39"/>
  <c r="G145" i="40"/>
  <c r="G13"/>
  <c r="G47"/>
  <c r="G435" i="39"/>
  <c r="I29" i="43" s="1"/>
  <c r="G176" i="40"/>
  <c r="G603" i="39"/>
  <c r="G1117" s="1"/>
  <c r="G710"/>
  <c r="H594"/>
  <c r="H1108" s="1"/>
  <c r="H145" i="40"/>
  <c r="H47"/>
  <c r="H603" i="39"/>
  <c r="H1117" s="1"/>
  <c r="H435"/>
  <c r="H701"/>
  <c r="H1052" s="1"/>
  <c r="R1224" i="36"/>
  <c r="R1223"/>
  <c r="G147" i="40"/>
  <c r="K111"/>
  <c r="C15"/>
  <c r="K445" i="39"/>
  <c r="K146" i="40"/>
  <c r="C64" i="42"/>
  <c r="M64" s="1"/>
  <c r="O64" s="1"/>
  <c r="J596" i="39"/>
  <c r="J1110" s="1"/>
  <c r="I596"/>
  <c r="I1110" s="1"/>
  <c r="H596"/>
  <c r="H1110" s="1"/>
  <c r="G596"/>
  <c r="E108" i="40"/>
  <c r="N1154" i="36"/>
  <c r="L14" i="43" l="1"/>
  <c r="G1110" i="39"/>
  <c r="D74" i="43"/>
  <c r="G1061" i="39"/>
  <c r="D54" i="43"/>
  <c r="H176" i="40"/>
  <c r="H13"/>
  <c r="S1223" i="36"/>
  <c r="H710" i="39"/>
  <c r="H1061" s="1"/>
  <c r="E596"/>
  <c r="E1110" s="1"/>
  <c r="G17"/>
  <c r="H147" i="40"/>
  <c r="I594" i="39"/>
  <c r="I1108" s="1"/>
  <c r="I248"/>
  <c r="H248"/>
  <c r="J248"/>
  <c r="I435"/>
  <c r="R1225" i="36"/>
  <c r="R1230" s="1"/>
  <c r="G248" i="39"/>
  <c r="I701"/>
  <c r="I1052" s="1"/>
  <c r="S1224" i="36"/>
  <c r="H262" i="39" l="1"/>
  <c r="O26" i="43"/>
  <c r="J262" i="39"/>
  <c r="I262"/>
  <c r="I10" i="43"/>
  <c r="V871" i="36"/>
  <c r="I710" i="39"/>
  <c r="I1061" s="1"/>
  <c r="I145" i="40"/>
  <c r="I603" i="39"/>
  <c r="I1117" s="1"/>
  <c r="I47" i="40"/>
  <c r="I176"/>
  <c r="G499" i="39"/>
  <c r="E70" i="43" s="1"/>
  <c r="G262" i="39"/>
  <c r="F24" i="44"/>
  <c r="S1225" i="36"/>
  <c r="S1230" s="1"/>
  <c r="I13" i="40"/>
  <c r="H17" i="39"/>
  <c r="P1251" i="36"/>
  <c r="P1261"/>
  <c r="P1262" s="1"/>
  <c r="P1263" s="1"/>
  <c r="F248" i="39"/>
  <c r="J594"/>
  <c r="J1108" s="1"/>
  <c r="T1223" i="36"/>
  <c r="I147" i="40"/>
  <c r="H499" i="39"/>
  <c r="J435"/>
  <c r="T1224" i="36"/>
  <c r="E15" i="39"/>
  <c r="E987" s="1"/>
  <c r="N26" i="42" l="1"/>
  <c r="F250" i="39"/>
  <c r="J47" i="40"/>
  <c r="J145"/>
  <c r="J176"/>
  <c r="J603" i="39"/>
  <c r="J1117" s="1"/>
  <c r="I17"/>
  <c r="J701"/>
  <c r="J1052" s="1"/>
  <c r="J13" i="40"/>
  <c r="K710" i="39"/>
  <c r="K1061" s="1"/>
  <c r="J710"/>
  <c r="J1061" s="1"/>
  <c r="K145" i="40"/>
  <c r="T1225" i="36"/>
  <c r="T1230" s="1"/>
  <c r="F262" i="39"/>
  <c r="F274" s="1"/>
  <c r="J24" i="44"/>
  <c r="J147" i="40"/>
  <c r="U1224" i="36"/>
  <c r="I499" i="39"/>
  <c r="U1223" i="36"/>
  <c r="P26" i="43"/>
  <c r="C499" i="39"/>
  <c r="V105" i="36" l="1"/>
  <c r="F264" i="39"/>
  <c r="K176" i="40"/>
  <c r="J17" i="39"/>
  <c r="V128" i="36"/>
  <c r="K51" i="40" s="1"/>
  <c r="K47"/>
  <c r="K50" s="1"/>
  <c r="V805" i="36"/>
  <c r="K1112" i="39" s="1"/>
  <c r="K594"/>
  <c r="V832" i="36"/>
  <c r="V873" s="1"/>
  <c r="K603" i="39"/>
  <c r="K13" i="40"/>
  <c r="V1223" i="36"/>
  <c r="V1224"/>
  <c r="K701" i="39"/>
  <c r="K1052" s="1"/>
  <c r="V586" i="36"/>
  <c r="K435" i="39"/>
  <c r="K438" s="1"/>
  <c r="U1225" i="36"/>
  <c r="U1230" s="1"/>
  <c r="J499" i="39"/>
  <c r="N1238" i="36"/>
  <c r="N1240" s="1"/>
  <c r="P1238"/>
  <c r="P1240" s="1"/>
  <c r="P1244" s="1"/>
  <c r="R1238"/>
  <c r="R1240" s="1"/>
  <c r="E59" i="42"/>
  <c r="G59"/>
  <c r="H59"/>
  <c r="I59"/>
  <c r="J59"/>
  <c r="E58"/>
  <c r="G58"/>
  <c r="H58"/>
  <c r="I58"/>
  <c r="J58"/>
  <c r="C75"/>
  <c r="E75"/>
  <c r="G75"/>
  <c r="H75"/>
  <c r="I75"/>
  <c r="J75"/>
  <c r="G712" i="39"/>
  <c r="H712"/>
  <c r="H1063" s="1"/>
  <c r="I712"/>
  <c r="I1063" s="1"/>
  <c r="J712"/>
  <c r="J1063" s="1"/>
  <c r="C543"/>
  <c r="G209" i="40"/>
  <c r="H209"/>
  <c r="I209"/>
  <c r="J209"/>
  <c r="R1241" i="36" l="1"/>
  <c r="R1244"/>
  <c r="N1244"/>
  <c r="O1241"/>
  <c r="C984" i="39"/>
  <c r="C548"/>
  <c r="K1124"/>
  <c r="V880" i="36"/>
  <c r="K17" i="40"/>
  <c r="K52"/>
  <c r="H35" i="42"/>
  <c r="H756" i="39"/>
  <c r="H757" s="1"/>
  <c r="I35" i="42"/>
  <c r="I756" i="39"/>
  <c r="I757" s="1"/>
  <c r="C35" i="42"/>
  <c r="C756" i="39"/>
  <c r="C757" s="1"/>
  <c r="J35" i="42"/>
  <c r="J756" i="39"/>
  <c r="J757" s="1"/>
  <c r="E35" i="42"/>
  <c r="E756" i="39"/>
  <c r="E757" s="1"/>
  <c r="G35" i="42"/>
  <c r="G756" i="39"/>
  <c r="G757" s="1"/>
  <c r="C18" i="42"/>
  <c r="C69" i="39"/>
  <c r="C70" s="1"/>
  <c r="E18" i="42"/>
  <c r="E69" i="39"/>
  <c r="E70" s="1"/>
  <c r="K29" i="42"/>
  <c r="K439" i="39"/>
  <c r="K440" s="1"/>
  <c r="K13" i="42"/>
  <c r="K598" i="39"/>
  <c r="E19" i="42"/>
  <c r="E113" i="39"/>
  <c r="E114" s="1"/>
  <c r="C19" i="42"/>
  <c r="C113" i="39"/>
  <c r="C114" s="1"/>
  <c r="K608"/>
  <c r="G274"/>
  <c r="F276"/>
  <c r="F32" i="45"/>
  <c r="M75" i="42"/>
  <c r="O75" s="1"/>
  <c r="K607" i="39"/>
  <c r="K1117"/>
  <c r="K1123" s="1"/>
  <c r="K597"/>
  <c r="K1108"/>
  <c r="K1111" s="1"/>
  <c r="K1113" s="1"/>
  <c r="F74" i="43"/>
  <c r="G1063" i="39"/>
  <c r="K53" i="42"/>
  <c r="D24" i="44"/>
  <c r="L24" s="1"/>
  <c r="V875" i="36"/>
  <c r="K16" i="40"/>
  <c r="K17" i="39"/>
  <c r="E209" i="40"/>
  <c r="E712" i="39"/>
  <c r="E1063" s="1"/>
  <c r="E1067" s="1"/>
  <c r="E1069" s="1"/>
  <c r="V219" i="36"/>
  <c r="K149" i="40" s="1"/>
  <c r="K147"/>
  <c r="V1225" i="36"/>
  <c r="V1230" s="1"/>
  <c r="K499" i="39"/>
  <c r="C59" i="42"/>
  <c r="M59" s="1"/>
  <c r="O59" s="1"/>
  <c r="C58"/>
  <c r="M58" s="1"/>
  <c r="O58" s="1"/>
  <c r="J766" i="39"/>
  <c r="J767" s="1"/>
  <c r="H766"/>
  <c r="H767" s="1"/>
  <c r="C79"/>
  <c r="C80" s="1"/>
  <c r="C123"/>
  <c r="C124" s="1"/>
  <c r="I212"/>
  <c r="I213" s="1"/>
  <c r="I766"/>
  <c r="I767" s="1"/>
  <c r="C766"/>
  <c r="C767" s="1"/>
  <c r="E79"/>
  <c r="E80" s="1"/>
  <c r="E123"/>
  <c r="E124" s="1"/>
  <c r="J212"/>
  <c r="J213" s="1"/>
  <c r="H212"/>
  <c r="H213" s="1"/>
  <c r="E212"/>
  <c r="E213" s="1"/>
  <c r="E766"/>
  <c r="E767" s="1"/>
  <c r="C902"/>
  <c r="C904" s="1"/>
  <c r="G66"/>
  <c r="C18" i="43" s="1"/>
  <c r="M18" s="1"/>
  <c r="G110" i="39"/>
  <c r="C19" i="43" s="1"/>
  <c r="M19" s="1"/>
  <c r="K1128" i="39" l="1"/>
  <c r="V1170" i="36"/>
  <c r="K1125" i="39"/>
  <c r="E25"/>
  <c r="E998" s="1"/>
  <c r="S1234" i="36"/>
  <c r="S1236" s="1"/>
  <c r="K18" i="40"/>
  <c r="M35" i="42"/>
  <c r="O35" s="1"/>
  <c r="G770" i="39"/>
  <c r="G771" s="1"/>
  <c r="G766"/>
  <c r="G767" s="1"/>
  <c r="K599"/>
  <c r="K612"/>
  <c r="K609"/>
  <c r="C906"/>
  <c r="N56" i="42"/>
  <c r="C559" i="39"/>
  <c r="N14" i="42"/>
  <c r="K611" i="39"/>
  <c r="K1127"/>
  <c r="E1079"/>
  <c r="E1071"/>
  <c r="V1166" i="36"/>
  <c r="V1169" s="1"/>
  <c r="H274" i="39"/>
  <c r="G32" i="45"/>
  <c r="K148" i="40"/>
  <c r="K150" s="1"/>
  <c r="H109"/>
  <c r="G68" i="39"/>
  <c r="G112"/>
  <c r="H110"/>
  <c r="H66"/>
  <c r="E55" i="42"/>
  <c r="N1153" i="36"/>
  <c r="N1149"/>
  <c r="H695" i="39"/>
  <c r="H1046" s="1"/>
  <c r="K1129" l="1"/>
  <c r="T1234" i="36"/>
  <c r="H770" i="39"/>
  <c r="H771" s="1"/>
  <c r="E61" i="42"/>
  <c r="E398" i="39"/>
  <c r="G19" i="42"/>
  <c r="G113" i="39"/>
  <c r="G114" s="1"/>
  <c r="H216"/>
  <c r="H217" s="1"/>
  <c r="G18" i="42"/>
  <c r="G69" i="39"/>
  <c r="G70" s="1"/>
  <c r="K613"/>
  <c r="O18" i="43"/>
  <c r="P18" s="1"/>
  <c r="O19"/>
  <c r="P19" s="1"/>
  <c r="V1171" i="36"/>
  <c r="G78" i="39"/>
  <c r="F16" i="44"/>
  <c r="J16" s="1"/>
  <c r="L16" s="1"/>
  <c r="I274" i="39"/>
  <c r="H32" i="45"/>
  <c r="G122" i="39"/>
  <c r="F17" i="44"/>
  <c r="J17" s="1"/>
  <c r="L17" s="1"/>
  <c r="I109" i="40"/>
  <c r="H68" i="39"/>
  <c r="H112"/>
  <c r="I695"/>
  <c r="I1046" s="1"/>
  <c r="I66"/>
  <c r="I110"/>
  <c r="P1208" i="36"/>
  <c r="P1209" s="1"/>
  <c r="R1208"/>
  <c r="R1209" s="1"/>
  <c r="S1208"/>
  <c r="S1209" s="1"/>
  <c r="T1208"/>
  <c r="T1209" s="1"/>
  <c r="U1208"/>
  <c r="U1209" s="1"/>
  <c r="P1205"/>
  <c r="P1206" s="1"/>
  <c r="U1234" l="1"/>
  <c r="I770" i="39"/>
  <c r="I771" s="1"/>
  <c r="H19" i="42"/>
  <c r="H113" i="39"/>
  <c r="H114" s="1"/>
  <c r="G127"/>
  <c r="G123"/>
  <c r="G124" s="1"/>
  <c r="H18" i="42"/>
  <c r="H69" i="39"/>
  <c r="H70" s="1"/>
  <c r="I216"/>
  <c r="I217" s="1"/>
  <c r="G83"/>
  <c r="G79"/>
  <c r="G80" s="1"/>
  <c r="H78"/>
  <c r="G126"/>
  <c r="G129" s="1"/>
  <c r="G82"/>
  <c r="G85" s="1"/>
  <c r="H122"/>
  <c r="J1054"/>
  <c r="H1054"/>
  <c r="H1055" s="1"/>
  <c r="I1054"/>
  <c r="I1055" s="1"/>
  <c r="J274"/>
  <c r="I32" i="45"/>
  <c r="V10" i="36"/>
  <c r="J109" i="40"/>
  <c r="I68" i="39"/>
  <c r="I112"/>
  <c r="J695"/>
  <c r="J1046" s="1"/>
  <c r="G109" i="40"/>
  <c r="E113" l="1"/>
  <c r="J770" i="39"/>
  <c r="J771" s="1"/>
  <c r="V157" i="36"/>
  <c r="K109" i="40" s="1"/>
  <c r="V1234" i="36"/>
  <c r="G128" i="39"/>
  <c r="I19" i="42"/>
  <c r="I113" i="39"/>
  <c r="I114" s="1"/>
  <c r="I18" i="42"/>
  <c r="I69" i="39"/>
  <c r="I70" s="1"/>
  <c r="H127"/>
  <c r="H123"/>
  <c r="H124" s="1"/>
  <c r="H83"/>
  <c r="H79"/>
  <c r="H80" s="1"/>
  <c r="K216"/>
  <c r="K217" s="1"/>
  <c r="J216"/>
  <c r="J217" s="1"/>
  <c r="G21" i="45"/>
  <c r="H126" i="39"/>
  <c r="H129" s="1"/>
  <c r="H82"/>
  <c r="K274"/>
  <c r="I78"/>
  <c r="G20" i="45"/>
  <c r="G84" i="39"/>
  <c r="I122"/>
  <c r="J1055"/>
  <c r="L34" i="43"/>
  <c r="G1054" i="39"/>
  <c r="G1055" s="1"/>
  <c r="J32" i="45"/>
  <c r="E109" i="40"/>
  <c r="J66" i="39"/>
  <c r="J110"/>
  <c r="K695"/>
  <c r="K1046" s="1"/>
  <c r="K1055" s="1"/>
  <c r="I70" i="43"/>
  <c r="H504" i="39"/>
  <c r="I504"/>
  <c r="J504"/>
  <c r="E390"/>
  <c r="E392" s="1"/>
  <c r="E26" l="1"/>
  <c r="E999" s="1"/>
  <c r="H20" i="45"/>
  <c r="H85" i="39"/>
  <c r="V1025" i="36"/>
  <c r="K770" i="39" s="1"/>
  <c r="K771" s="1"/>
  <c r="I127"/>
  <c r="I123"/>
  <c r="I124" s="1"/>
  <c r="J18" i="42"/>
  <c r="J69" i="39"/>
  <c r="J19" i="42"/>
  <c r="J113" i="39"/>
  <c r="H128"/>
  <c r="I83"/>
  <c r="I79"/>
  <c r="I80" s="1"/>
  <c r="H21" i="45"/>
  <c r="I82" i="39"/>
  <c r="I85" s="1"/>
  <c r="H84"/>
  <c r="K32" i="45"/>
  <c r="I126" i="39"/>
  <c r="I129" s="1"/>
  <c r="V314" i="36"/>
  <c r="K69" i="39" s="1"/>
  <c r="K66"/>
  <c r="K68" s="1"/>
  <c r="V954" i="36"/>
  <c r="K1056" i="39" s="1"/>
  <c r="K1057" s="1"/>
  <c r="K704"/>
  <c r="V332" i="36"/>
  <c r="K113" i="39" s="1"/>
  <c r="K110"/>
  <c r="K112" s="1"/>
  <c r="J68"/>
  <c r="J112"/>
  <c r="E437"/>
  <c r="E992" s="1"/>
  <c r="H437" l="1"/>
  <c r="H992" s="1"/>
  <c r="I84"/>
  <c r="K34" i="42"/>
  <c r="K705" i="39"/>
  <c r="K706" s="1"/>
  <c r="J127"/>
  <c r="J123"/>
  <c r="K114"/>
  <c r="J70"/>
  <c r="J83"/>
  <c r="J79"/>
  <c r="I20" i="45"/>
  <c r="K78" i="39"/>
  <c r="K70"/>
  <c r="J122"/>
  <c r="J114"/>
  <c r="I21" i="45"/>
  <c r="I128" i="39"/>
  <c r="K122"/>
  <c r="N19" i="42"/>
  <c r="J78" i="39"/>
  <c r="N18" i="42"/>
  <c r="E438" i="39"/>
  <c r="V322" i="36"/>
  <c r="V324" s="1"/>
  <c r="K18" i="42"/>
  <c r="M18" s="1"/>
  <c r="V339" i="36"/>
  <c r="V341" s="1"/>
  <c r="K19" i="42"/>
  <c r="M19" s="1"/>
  <c r="G437" i="39"/>
  <c r="G992" s="1"/>
  <c r="J437"/>
  <c r="J992" s="1"/>
  <c r="I437"/>
  <c r="I992" s="1"/>
  <c r="F438"/>
  <c r="F440" s="1"/>
  <c r="J124" l="1"/>
  <c r="V1124" i="36"/>
  <c r="K123" i="39"/>
  <c r="K124" s="1"/>
  <c r="E29" i="42"/>
  <c r="E439" i="39"/>
  <c r="E440" s="1"/>
  <c r="V1123" i="36"/>
  <c r="K79" i="39"/>
  <c r="K80" s="1"/>
  <c r="J126"/>
  <c r="J82"/>
  <c r="J85" s="1"/>
  <c r="J80"/>
  <c r="O19" i="42"/>
  <c r="O18"/>
  <c r="I438" i="39"/>
  <c r="J438"/>
  <c r="G438"/>
  <c r="L29" i="43"/>
  <c r="M29" s="1"/>
  <c r="K83" i="39"/>
  <c r="N1196" i="36"/>
  <c r="N1197"/>
  <c r="N1195"/>
  <c r="N1176"/>
  <c r="N1175"/>
  <c r="G214" i="40"/>
  <c r="J128" i="39" l="1"/>
  <c r="J129"/>
  <c r="X341" i="36"/>
  <c r="Y341" s="1"/>
  <c r="Z341" s="1"/>
  <c r="AA341" s="1"/>
  <c r="AB341" s="1"/>
  <c r="AC341" s="1"/>
  <c r="K127" i="39"/>
  <c r="J21" i="45"/>
  <c r="K126" i="39"/>
  <c r="K129" s="1"/>
  <c r="J20" i="45"/>
  <c r="J84" i="39"/>
  <c r="K82"/>
  <c r="K85" s="1"/>
  <c r="F27" i="44"/>
  <c r="O29" i="43"/>
  <c r="P29" s="1"/>
  <c r="N1199" i="36"/>
  <c r="G30" i="39"/>
  <c r="G1006" s="1"/>
  <c r="N1201" i="36" l="1"/>
  <c r="C1076" i="39"/>
  <c r="C1078" s="1"/>
  <c r="X342" i="36"/>
  <c r="K128" i="39"/>
  <c r="K21" i="45"/>
  <c r="K20"/>
  <c r="K84" i="39"/>
  <c r="I50" i="43"/>
  <c r="I78" s="1"/>
  <c r="Y342" i="36"/>
  <c r="H214" i="40"/>
  <c r="H30" i="39" s="1"/>
  <c r="H1006" s="1"/>
  <c r="I214" i="40"/>
  <c r="I30" i="39" s="1"/>
  <c r="I1006" s="1"/>
  <c r="J214" i="40"/>
  <c r="J30" i="39" s="1"/>
  <c r="J1006" s="1"/>
  <c r="E30"/>
  <c r="E1006" s="1"/>
  <c r="N1187" i="36"/>
  <c r="P1187"/>
  <c r="R1187"/>
  <c r="S1187"/>
  <c r="T1187"/>
  <c r="U1187"/>
  <c r="E30" i="42" l="1"/>
  <c r="E493" i="39"/>
  <c r="E494" s="1"/>
  <c r="Z342" i="36"/>
  <c r="F492" i="39"/>
  <c r="F494" s="1"/>
  <c r="P1196" i="36"/>
  <c r="G498" i="39"/>
  <c r="D70" i="43" s="1"/>
  <c r="AA342" i="36" l="1"/>
  <c r="G444" i="39"/>
  <c r="D69" i="43" s="1"/>
  <c r="E704" i="39"/>
  <c r="E706" s="1"/>
  <c r="V1196" i="36"/>
  <c r="H498" i="39"/>
  <c r="H444"/>
  <c r="V1146" i="36"/>
  <c r="R1196"/>
  <c r="AC342" l="1"/>
  <c r="AB342"/>
  <c r="I498" i="39"/>
  <c r="I444"/>
  <c r="G165"/>
  <c r="E82" i="40"/>
  <c r="G82"/>
  <c r="G83" s="1"/>
  <c r="H82"/>
  <c r="H83" s="1"/>
  <c r="I82"/>
  <c r="I83" s="1"/>
  <c r="J82"/>
  <c r="J83" s="1"/>
  <c r="L30" i="43" l="1"/>
  <c r="L38" s="1"/>
  <c r="G162" i="39"/>
  <c r="J498"/>
  <c r="J444"/>
  <c r="S1196" i="36"/>
  <c r="H165" i="39"/>
  <c r="T1196" i="36"/>
  <c r="J386" i="39"/>
  <c r="I386"/>
  <c r="H431"/>
  <c r="G164" l="1"/>
  <c r="G166" s="1"/>
  <c r="F53" i="43"/>
  <c r="J53" s="1"/>
  <c r="H162" i="39"/>
  <c r="K444"/>
  <c r="F168"/>
  <c r="F170" s="1"/>
  <c r="S1238" i="36"/>
  <c r="S1240" s="1"/>
  <c r="S1244" s="1"/>
  <c r="H438" i="39"/>
  <c r="T1238" i="36"/>
  <c r="I390" i="39"/>
  <c r="U1238" i="36"/>
  <c r="J390" i="39"/>
  <c r="I165"/>
  <c r="O53" i="43" l="1"/>
  <c r="P53" s="1"/>
  <c r="H11" i="44"/>
  <c r="J11" s="1"/>
  <c r="S1241" i="36"/>
  <c r="J401" i="39"/>
  <c r="I401"/>
  <c r="N21" i="42"/>
  <c r="H164" i="39"/>
  <c r="H166" s="1"/>
  <c r="G168"/>
  <c r="F172"/>
  <c r="F174" s="1"/>
  <c r="I162"/>
  <c r="V655" i="36"/>
  <c r="K450" i="39"/>
  <c r="V747" i="36"/>
  <c r="K498" i="39"/>
  <c r="K505" s="1"/>
  <c r="V258" i="36"/>
  <c r="C210" i="40"/>
  <c r="U1196" i="36"/>
  <c r="K451" i="39" l="1"/>
  <c r="K452" s="1"/>
  <c r="C26"/>
  <c r="C999" s="1"/>
  <c r="K70" i="42"/>
  <c r="K506" i="39"/>
  <c r="K507" s="1"/>
  <c r="K454"/>
  <c r="I405"/>
  <c r="H168"/>
  <c r="I164"/>
  <c r="J162"/>
  <c r="J165"/>
  <c r="V657" i="36"/>
  <c r="K69" i="42"/>
  <c r="G172" i="39"/>
  <c r="D11" i="44"/>
  <c r="L11" s="1"/>
  <c r="F14" i="45"/>
  <c r="V374" i="36"/>
  <c r="K165" i="39" s="1"/>
  <c r="V1144" i="36"/>
  <c r="V342"/>
  <c r="G490" i="39"/>
  <c r="G989" s="1"/>
  <c r="K27" l="1"/>
  <c r="K1000" s="1"/>
  <c r="V1130" i="36"/>
  <c r="K455" i="39"/>
  <c r="K456" s="1"/>
  <c r="J405"/>
  <c r="I168"/>
  <c r="I166"/>
  <c r="H172"/>
  <c r="I30" i="43"/>
  <c r="M30" s="1"/>
  <c r="J164" i="39"/>
  <c r="J166" s="1"/>
  <c r="G14" i="45"/>
  <c r="K162" i="39"/>
  <c r="H490"/>
  <c r="H989" s="1"/>
  <c r="G492"/>
  <c r="K405" l="1"/>
  <c r="H14" i="45"/>
  <c r="I38" i="43"/>
  <c r="I172" i="39"/>
  <c r="F28" i="44"/>
  <c r="O30" i="43"/>
  <c r="P30" s="1"/>
  <c r="J168" i="39"/>
  <c r="K164"/>
  <c r="V376" i="36"/>
  <c r="K52" i="42"/>
  <c r="V325" i="36"/>
  <c r="V1143"/>
  <c r="I490" i="39"/>
  <c r="I989" s="1"/>
  <c r="H492"/>
  <c r="C76" i="42"/>
  <c r="M76" s="1"/>
  <c r="O76" s="1"/>
  <c r="C948" i="39"/>
  <c r="C949" s="1"/>
  <c r="H17" i="42" l="1"/>
  <c r="H941" i="39"/>
  <c r="H942" s="1"/>
  <c r="J57" i="42"/>
  <c r="J948" i="39"/>
  <c r="J949" s="1"/>
  <c r="E57" i="42"/>
  <c r="E948" i="39"/>
  <c r="E949" s="1"/>
  <c r="I17" i="42"/>
  <c r="I941" i="39"/>
  <c r="I942" s="1"/>
  <c r="C17" i="42"/>
  <c r="C941" i="39"/>
  <c r="C942" s="1"/>
  <c r="G57" i="42"/>
  <c r="G948" i="39"/>
  <c r="G949" s="1"/>
  <c r="G17" i="42"/>
  <c r="G941" i="39"/>
  <c r="G942" s="1"/>
  <c r="I57" i="42"/>
  <c r="I948" i="39"/>
  <c r="I949" s="1"/>
  <c r="J17" i="42"/>
  <c r="J941" i="39"/>
  <c r="J942" s="1"/>
  <c r="E17" i="42"/>
  <c r="E941" i="39"/>
  <c r="E942" s="1"/>
  <c r="H57" i="42"/>
  <c r="H948" i="39"/>
  <c r="H949" s="1"/>
  <c r="V1125" i="36"/>
  <c r="K169" i="39"/>
  <c r="I26" i="42"/>
  <c r="I249" i="39"/>
  <c r="I250" s="1"/>
  <c r="K168"/>
  <c r="K166"/>
  <c r="I14" i="45"/>
  <c r="J172" i="39"/>
  <c r="N52" i="42"/>
  <c r="C57"/>
  <c r="D947" i="39"/>
  <c r="D949" s="1"/>
  <c r="I263"/>
  <c r="I264" s="1"/>
  <c r="J490"/>
  <c r="J989" s="1"/>
  <c r="I492"/>
  <c r="G56" i="42"/>
  <c r="J56"/>
  <c r="M17" l="1"/>
  <c r="O17" s="1"/>
  <c r="M57"/>
  <c r="G16"/>
  <c r="G896" i="39"/>
  <c r="G897" s="1"/>
  <c r="I56" i="42"/>
  <c r="I903" i="39"/>
  <c r="I904" s="1"/>
  <c r="T1135" i="36"/>
  <c r="I952" i="39"/>
  <c r="I953" s="1"/>
  <c r="U1135" i="36"/>
  <c r="J952" i="39"/>
  <c r="J953" s="1"/>
  <c r="H16" i="42"/>
  <c r="H896" i="39"/>
  <c r="H897" s="1"/>
  <c r="E56" i="42"/>
  <c r="E903" i="39"/>
  <c r="E904" s="1"/>
  <c r="P1135" i="36"/>
  <c r="E952" i="39"/>
  <c r="E953" s="1"/>
  <c r="I16" i="42"/>
  <c r="I896" i="39"/>
  <c r="I897" s="1"/>
  <c r="C16" i="42"/>
  <c r="C896" i="39"/>
  <c r="C897" s="1"/>
  <c r="G956"/>
  <c r="G957" s="1"/>
  <c r="G952"/>
  <c r="G953" s="1"/>
  <c r="J16" i="42"/>
  <c r="J896" i="39"/>
  <c r="J897" s="1"/>
  <c r="E16" i="42"/>
  <c r="E896" i="39"/>
  <c r="E897" s="1"/>
  <c r="H56" i="42"/>
  <c r="H903" i="39"/>
  <c r="H904" s="1"/>
  <c r="S1135" i="36"/>
  <c r="H952" i="39"/>
  <c r="H953" s="1"/>
  <c r="N1135" i="36"/>
  <c r="C952" i="39"/>
  <c r="C953" s="1"/>
  <c r="K170"/>
  <c r="J14" i="45"/>
  <c r="K172" i="39"/>
  <c r="D951"/>
  <c r="D953" s="1"/>
  <c r="N57" i="42"/>
  <c r="T1128" i="36"/>
  <c r="R1135"/>
  <c r="J492" i="39"/>
  <c r="N1155" i="36"/>
  <c r="G55" i="42"/>
  <c r="H55"/>
  <c r="I55"/>
  <c r="J55"/>
  <c r="O57" l="1"/>
  <c r="M16"/>
  <c r="O16" s="1"/>
  <c r="H956" i="39"/>
  <c r="H957" s="1"/>
  <c r="J15" i="42"/>
  <c r="J849" i="39"/>
  <c r="J850" s="1"/>
  <c r="E15" i="42"/>
  <c r="E849" i="39"/>
  <c r="E850" s="1"/>
  <c r="U1134" i="36"/>
  <c r="J907" i="39"/>
  <c r="J908" s="1"/>
  <c r="G15" i="42"/>
  <c r="G849" i="39"/>
  <c r="G850" s="1"/>
  <c r="P1134" i="36"/>
  <c r="E907" i="39"/>
  <c r="E908" s="1"/>
  <c r="S1134" i="36"/>
  <c r="H907" i="39"/>
  <c r="H908" s="1"/>
  <c r="H15" i="42"/>
  <c r="H849" i="39"/>
  <c r="H850" s="1"/>
  <c r="T1134" i="36"/>
  <c r="I907" i="39"/>
  <c r="I908" s="1"/>
  <c r="I15" i="42"/>
  <c r="I849" i="39"/>
  <c r="I850" s="1"/>
  <c r="C15" i="42"/>
  <c r="C849" i="39"/>
  <c r="C850" s="1"/>
  <c r="G911"/>
  <c r="G912" s="1"/>
  <c r="G907"/>
  <c r="G908" s="1"/>
  <c r="K14" i="45"/>
  <c r="K493" i="39"/>
  <c r="K490"/>
  <c r="K989" s="1"/>
  <c r="R1134" i="36"/>
  <c r="C56" i="42"/>
  <c r="M56" s="1"/>
  <c r="O56" s="1"/>
  <c r="G862" i="39"/>
  <c r="G863" s="1"/>
  <c r="E1056"/>
  <c r="E1057" s="1"/>
  <c r="G1056"/>
  <c r="G1057" s="1"/>
  <c r="M15" i="42" l="1"/>
  <c r="O15" s="1"/>
  <c r="I956" i="39"/>
  <c r="I957" s="1"/>
  <c r="H911"/>
  <c r="H912" s="1"/>
  <c r="U1133" i="36"/>
  <c r="J862" i="39"/>
  <c r="J863" s="1"/>
  <c r="N1134" i="36"/>
  <c r="C907" i="39"/>
  <c r="C908" s="1"/>
  <c r="S1133" i="36"/>
  <c r="H862" i="39"/>
  <c r="H863" s="1"/>
  <c r="P1133" i="36"/>
  <c r="E862" i="39"/>
  <c r="E863" s="1"/>
  <c r="T1133" i="36"/>
  <c r="I862" i="39"/>
  <c r="I863" s="1"/>
  <c r="I36" i="42"/>
  <c r="I802" i="39"/>
  <c r="I803" s="1"/>
  <c r="C36" i="42"/>
  <c r="C802" i="39"/>
  <c r="C803" s="1"/>
  <c r="J36" i="42"/>
  <c r="J802" i="39"/>
  <c r="J803" s="1"/>
  <c r="E36" i="42"/>
  <c r="E802" i="39"/>
  <c r="E803" s="1"/>
  <c r="G36" i="42"/>
  <c r="G802" i="39"/>
  <c r="G803" s="1"/>
  <c r="H36" i="42"/>
  <c r="H802" i="39"/>
  <c r="H803" s="1"/>
  <c r="K492"/>
  <c r="V749" i="36"/>
  <c r="K30" i="42"/>
  <c r="R1133" i="36"/>
  <c r="C55" i="42"/>
  <c r="M55" s="1"/>
  <c r="O55" s="1"/>
  <c r="E815" i="39"/>
  <c r="E816" s="1"/>
  <c r="I911" l="1"/>
  <c r="I912" s="1"/>
  <c r="J956"/>
  <c r="J957" s="1"/>
  <c r="N1133" i="36"/>
  <c r="C862" i="39"/>
  <c r="C863" s="1"/>
  <c r="G866"/>
  <c r="G867" s="1"/>
  <c r="M36" i="42"/>
  <c r="O36" s="1"/>
  <c r="N1188" i="36"/>
  <c r="C815" i="39"/>
  <c r="C816" s="1"/>
  <c r="S1188" i="36"/>
  <c r="H815" i="39"/>
  <c r="H816" s="1"/>
  <c r="U1188" i="36"/>
  <c r="J815" i="39"/>
  <c r="J816" s="1"/>
  <c r="G819"/>
  <c r="G820" s="1"/>
  <c r="G815"/>
  <c r="G816" s="1"/>
  <c r="T1188" i="36"/>
  <c r="I815" i="39"/>
  <c r="I816" s="1"/>
  <c r="V1131" i="36"/>
  <c r="K510" i="39"/>
  <c r="K509"/>
  <c r="K494"/>
  <c r="R1188" i="36"/>
  <c r="P1188"/>
  <c r="P1154"/>
  <c r="P1155"/>
  <c r="C712" i="39"/>
  <c r="C1063" s="1"/>
  <c r="C1056"/>
  <c r="C1057" s="1"/>
  <c r="V1117" i="36" l="1"/>
  <c r="V1155" s="1"/>
  <c r="V1094"/>
  <c r="K911" i="39" s="1"/>
  <c r="K912" s="1"/>
  <c r="H866"/>
  <c r="H867" s="1"/>
  <c r="C34" i="42"/>
  <c r="C705" i="39"/>
  <c r="C706" s="1"/>
  <c r="K511"/>
  <c r="C711"/>
  <c r="C1062" s="1"/>
  <c r="D725"/>
  <c r="E74" i="42"/>
  <c r="E714" i="39"/>
  <c r="G34" i="42"/>
  <c r="G704" i="39"/>
  <c r="G706" s="1"/>
  <c r="H1056"/>
  <c r="H1057" s="1"/>
  <c r="H704"/>
  <c r="I1056"/>
  <c r="I1057" s="1"/>
  <c r="I704"/>
  <c r="J1056"/>
  <c r="J1057" s="1"/>
  <c r="J704"/>
  <c r="D704"/>
  <c r="D706" s="1"/>
  <c r="R1154" i="36"/>
  <c r="P1153"/>
  <c r="S1155"/>
  <c r="R1155"/>
  <c r="C1068" i="39"/>
  <c r="K956" l="1"/>
  <c r="K957" s="1"/>
  <c r="J911"/>
  <c r="J912" s="1"/>
  <c r="H819"/>
  <c r="H820" s="1"/>
  <c r="I866"/>
  <c r="I867" s="1"/>
  <c r="J34" i="42"/>
  <c r="J705" i="39"/>
  <c r="J706" s="1"/>
  <c r="H34" i="42"/>
  <c r="H705" i="39"/>
  <c r="H706" s="1"/>
  <c r="C74" i="42"/>
  <c r="C715" i="39"/>
  <c r="I34" i="42"/>
  <c r="I705" i="39"/>
  <c r="I706" s="1"/>
  <c r="I819"/>
  <c r="I820" s="1"/>
  <c r="E718"/>
  <c r="E716"/>
  <c r="F32" i="44"/>
  <c r="O34" i="43"/>
  <c r="C1067" i="39"/>
  <c r="C1069" s="1"/>
  <c r="R1197" i="36"/>
  <c r="P1197"/>
  <c r="C714" i="39"/>
  <c r="D718"/>
  <c r="D720" s="1"/>
  <c r="F704"/>
  <c r="M34" i="43"/>
  <c r="E1072" i="39"/>
  <c r="E1073" s="1"/>
  <c r="E725"/>
  <c r="S1154" i="36"/>
  <c r="R1153"/>
  <c r="T1155"/>
  <c r="S1197"/>
  <c r="V1069" l="1"/>
  <c r="K866" i="39" s="1"/>
  <c r="K867" s="1"/>
  <c r="J866"/>
  <c r="J867" s="1"/>
  <c r="C719"/>
  <c r="C1072"/>
  <c r="M34" i="42"/>
  <c r="C716" i="39"/>
  <c r="P1191" i="36"/>
  <c r="E719" i="39"/>
  <c r="E720" s="1"/>
  <c r="V1048" i="36"/>
  <c r="J819" i="39"/>
  <c r="J820" s="1"/>
  <c r="E44" i="45"/>
  <c r="N34" i="42"/>
  <c r="F706" i="39"/>
  <c r="P34" i="43"/>
  <c r="C718" i="39"/>
  <c r="C1079"/>
  <c r="C1071"/>
  <c r="N1186" i="36"/>
  <c r="N1190" s="1"/>
  <c r="N1191"/>
  <c r="G711" i="39"/>
  <c r="G1062" s="1"/>
  <c r="G1067" s="1"/>
  <c r="C725"/>
  <c r="P1186" i="36"/>
  <c r="P1190" s="1"/>
  <c r="F714" i="39"/>
  <c r="F716" s="1"/>
  <c r="T1154" i="36"/>
  <c r="S1153"/>
  <c r="U1155"/>
  <c r="T1197"/>
  <c r="C720" i="39" l="1"/>
  <c r="C1073"/>
  <c r="G715"/>
  <c r="G1068"/>
  <c r="G1069" s="1"/>
  <c r="G1071"/>
  <c r="O34" i="42"/>
  <c r="K819" i="39"/>
  <c r="K820" s="1"/>
  <c r="V1197" i="36"/>
  <c r="P1192"/>
  <c r="N1192"/>
  <c r="G1072" i="39"/>
  <c r="G74" i="42"/>
  <c r="G714" i="39"/>
  <c r="E74" i="43"/>
  <c r="J74" s="1"/>
  <c r="H711" i="39"/>
  <c r="U1154" i="36"/>
  <c r="F718" i="39"/>
  <c r="T1153" i="36"/>
  <c r="P1195"/>
  <c r="P1199" s="1"/>
  <c r="P1201" l="1"/>
  <c r="E1076" i="39"/>
  <c r="E1078" s="1"/>
  <c r="G716"/>
  <c r="H715"/>
  <c r="H1068"/>
  <c r="G1075"/>
  <c r="G1077" s="1"/>
  <c r="G1073"/>
  <c r="R1186" i="36"/>
  <c r="R1190" s="1"/>
  <c r="G719" i="39"/>
  <c r="F722"/>
  <c r="F724" s="1"/>
  <c r="F720"/>
  <c r="G718"/>
  <c r="O74" i="43"/>
  <c r="P74" s="1"/>
  <c r="H714" i="39"/>
  <c r="H1062"/>
  <c r="H1067" s="1"/>
  <c r="H32" i="44"/>
  <c r="J32" s="1"/>
  <c r="H1072" i="39"/>
  <c r="H74" i="42"/>
  <c r="R1191" i="36"/>
  <c r="I711" i="39"/>
  <c r="U1153" i="36"/>
  <c r="V1153"/>
  <c r="V1154"/>
  <c r="U1197"/>
  <c r="G723" i="39" l="1"/>
  <c r="I715"/>
  <c r="I1068"/>
  <c r="F44" i="45"/>
  <c r="G1079" i="39"/>
  <c r="H1071"/>
  <c r="H1069"/>
  <c r="F725"/>
  <c r="D32" i="44"/>
  <c r="L32" s="1"/>
  <c r="R1192" i="36"/>
  <c r="S1186"/>
  <c r="S1190" s="1"/>
  <c r="H719" i="39"/>
  <c r="H718"/>
  <c r="H716"/>
  <c r="G722"/>
  <c r="G720"/>
  <c r="I714"/>
  <c r="I1062"/>
  <c r="I1067" s="1"/>
  <c r="R1200" i="36"/>
  <c r="R1195"/>
  <c r="R1199" s="1"/>
  <c r="G1076" i="39" s="1"/>
  <c r="G1078" s="1"/>
  <c r="S1191" i="36"/>
  <c r="I1072" i="39"/>
  <c r="I74" i="42"/>
  <c r="J711" i="39"/>
  <c r="E655"/>
  <c r="E1118" s="1"/>
  <c r="C31" i="42"/>
  <c r="E645" i="39"/>
  <c r="E1106" s="1"/>
  <c r="G724" l="1"/>
  <c r="J715"/>
  <c r="J1068"/>
  <c r="H723"/>
  <c r="H1075"/>
  <c r="H1077" s="1"/>
  <c r="H1073"/>
  <c r="I1071"/>
  <c r="I1069"/>
  <c r="T1191" i="36"/>
  <c r="I719" i="39"/>
  <c r="S1192" i="36"/>
  <c r="H720" i="39"/>
  <c r="I718"/>
  <c r="I716"/>
  <c r="G44" i="45"/>
  <c r="H722" i="39"/>
  <c r="H725" s="1"/>
  <c r="G725"/>
  <c r="E648"/>
  <c r="J714"/>
  <c r="J1062"/>
  <c r="J1067" s="1"/>
  <c r="R1201" i="36"/>
  <c r="S1200"/>
  <c r="T1186"/>
  <c r="T1190" s="1"/>
  <c r="S1195"/>
  <c r="S1199" s="1"/>
  <c r="H1076" i="39" s="1"/>
  <c r="J1072"/>
  <c r="J74" i="42"/>
  <c r="E656" i="39"/>
  <c r="E657" s="1"/>
  <c r="V996" i="36"/>
  <c r="K711" i="39"/>
  <c r="C656"/>
  <c r="C1119" s="1"/>
  <c r="G657"/>
  <c r="C655"/>
  <c r="J657"/>
  <c r="F29" i="44"/>
  <c r="C596" i="39"/>
  <c r="C1110" s="1"/>
  <c r="E595"/>
  <c r="J716" l="1"/>
  <c r="I723"/>
  <c r="K715"/>
  <c r="K1068"/>
  <c r="I720"/>
  <c r="H1078"/>
  <c r="H1079"/>
  <c r="J1071"/>
  <c r="J1069"/>
  <c r="I1075"/>
  <c r="I1077" s="1"/>
  <c r="I1073"/>
  <c r="U1186" i="36"/>
  <c r="U1190" s="1"/>
  <c r="J719" i="39"/>
  <c r="T1192" i="36"/>
  <c r="H44" i="45"/>
  <c r="H724" i="39"/>
  <c r="I722"/>
  <c r="J31" i="42"/>
  <c r="J649" i="39"/>
  <c r="J650" s="1"/>
  <c r="E31" i="42"/>
  <c r="E649" i="39"/>
  <c r="E650" s="1"/>
  <c r="G31" i="42"/>
  <c r="G649" i="39"/>
  <c r="G650" s="1"/>
  <c r="I31" i="42"/>
  <c r="I649" i="39"/>
  <c r="I650" s="1"/>
  <c r="E71" i="42"/>
  <c r="E658" i="39"/>
  <c r="E659" s="1"/>
  <c r="C71" i="42"/>
  <c r="C658" i="39"/>
  <c r="G71" i="42"/>
  <c r="G658" i="39"/>
  <c r="G659" s="1"/>
  <c r="H71" i="42"/>
  <c r="H658" i="39"/>
  <c r="I71" i="42"/>
  <c r="I658" i="39"/>
  <c r="J71" i="42"/>
  <c r="J658" i="39"/>
  <c r="J659" s="1"/>
  <c r="N31" i="42"/>
  <c r="J718" i="39"/>
  <c r="H29" i="44"/>
  <c r="O71" i="43"/>
  <c r="C1118" i="39"/>
  <c r="C1123" s="1"/>
  <c r="E597"/>
  <c r="E1109"/>
  <c r="E1111" s="1"/>
  <c r="K714"/>
  <c r="K1062"/>
  <c r="K1067" s="1"/>
  <c r="S1201" i="36"/>
  <c r="T1200"/>
  <c r="U1191"/>
  <c r="T1195"/>
  <c r="T1199" s="1"/>
  <c r="I1076" i="39" s="1"/>
  <c r="J605"/>
  <c r="V998" i="36"/>
  <c r="K1072" i="39" s="1"/>
  <c r="K74" i="42"/>
  <c r="M74" s="1"/>
  <c r="E605" i="39"/>
  <c r="H605"/>
  <c r="I605"/>
  <c r="G605"/>
  <c r="G1119" s="1"/>
  <c r="G1123" s="1"/>
  <c r="E54" i="43"/>
  <c r="H595" i="39"/>
  <c r="G595"/>
  <c r="G1109" s="1"/>
  <c r="G1111" s="1"/>
  <c r="J595"/>
  <c r="I595"/>
  <c r="J71" i="43"/>
  <c r="C657" i="39"/>
  <c r="H657"/>
  <c r="D657"/>
  <c r="F657"/>
  <c r="F659" s="1"/>
  <c r="C595"/>
  <c r="E661"/>
  <c r="M31" i="43"/>
  <c r="P31" s="1"/>
  <c r="I657" i="39"/>
  <c r="F597"/>
  <c r="F599" s="1"/>
  <c r="G661"/>
  <c r="D597"/>
  <c r="D599" s="1"/>
  <c r="J661"/>
  <c r="U1192" i="36" l="1"/>
  <c r="J723" i="39"/>
  <c r="G1113"/>
  <c r="E1113"/>
  <c r="C1135"/>
  <c r="I1078"/>
  <c r="I1079"/>
  <c r="K1071"/>
  <c r="K1069"/>
  <c r="J1075"/>
  <c r="J1073"/>
  <c r="V1186" i="36"/>
  <c r="V1190" s="1"/>
  <c r="K719" i="39"/>
  <c r="J722"/>
  <c r="J720"/>
  <c r="I44" i="45"/>
  <c r="I724" i="39"/>
  <c r="K718"/>
  <c r="K716"/>
  <c r="I725"/>
  <c r="M31" i="42"/>
  <c r="O31" s="1"/>
  <c r="C13"/>
  <c r="C598" i="39"/>
  <c r="H13" i="42"/>
  <c r="H598" i="39"/>
  <c r="G13" i="42"/>
  <c r="G598" i="39"/>
  <c r="J13" i="42"/>
  <c r="J598" i="39"/>
  <c r="I13" i="42"/>
  <c r="I598" i="39"/>
  <c r="C659"/>
  <c r="E13" i="42"/>
  <c r="E598" i="39"/>
  <c r="E599" s="1"/>
  <c r="M71" i="42"/>
  <c r="T1167" i="36"/>
  <c r="I662" i="39"/>
  <c r="U1167" i="36"/>
  <c r="J662" i="39"/>
  <c r="J663" s="1"/>
  <c r="N1167" i="36"/>
  <c r="C662" i="39"/>
  <c r="G666"/>
  <c r="G662"/>
  <c r="G663" s="1"/>
  <c r="P1167" i="36"/>
  <c r="E662" i="39"/>
  <c r="E663" s="1"/>
  <c r="S1167" i="36"/>
  <c r="H662" i="39"/>
  <c r="H661"/>
  <c r="H659"/>
  <c r="I661"/>
  <c r="I659"/>
  <c r="E39" i="45"/>
  <c r="D668" i="39"/>
  <c r="D659"/>
  <c r="P71" i="43"/>
  <c r="C661" i="39"/>
  <c r="N71" i="42"/>
  <c r="N74"/>
  <c r="O74" s="1"/>
  <c r="G1127" i="39"/>
  <c r="E607"/>
  <c r="E1119"/>
  <c r="E1123" s="1"/>
  <c r="H607"/>
  <c r="H1119"/>
  <c r="H1123" s="1"/>
  <c r="J607"/>
  <c r="J1119"/>
  <c r="J1123" s="1"/>
  <c r="I607"/>
  <c r="I1119"/>
  <c r="I1123" s="1"/>
  <c r="H597"/>
  <c r="H1109"/>
  <c r="H1111" s="1"/>
  <c r="H1113" s="1"/>
  <c r="C597"/>
  <c r="C1109"/>
  <c r="C1111" s="1"/>
  <c r="I597"/>
  <c r="I1109"/>
  <c r="I1111" s="1"/>
  <c r="I1113" s="1"/>
  <c r="J597"/>
  <c r="J1109"/>
  <c r="J1111" s="1"/>
  <c r="J1113" s="1"/>
  <c r="F54" i="43"/>
  <c r="J54" s="1"/>
  <c r="G607" i="39"/>
  <c r="U1200" i="36"/>
  <c r="T1201"/>
  <c r="G597" i="39"/>
  <c r="J14" i="43"/>
  <c r="M14" s="1"/>
  <c r="V1000" i="36"/>
  <c r="V1191"/>
  <c r="E668" i="39"/>
  <c r="R1167" i="36"/>
  <c r="C668" i="39"/>
  <c r="D618"/>
  <c r="C618"/>
  <c r="D661"/>
  <c r="D663" s="1"/>
  <c r="C1124"/>
  <c r="C1125" s="1"/>
  <c r="F661"/>
  <c r="F663" s="1"/>
  <c r="J29" i="44"/>
  <c r="U1195" i="36"/>
  <c r="U1199" s="1"/>
  <c r="J1076" i="39" s="1"/>
  <c r="C54" i="42"/>
  <c r="M54" s="1"/>
  <c r="O54" s="1"/>
  <c r="J1077" i="39" l="1"/>
  <c r="J1079"/>
  <c r="J608"/>
  <c r="J609" s="1"/>
  <c r="J1124"/>
  <c r="J1125" s="1"/>
  <c r="I608"/>
  <c r="I609" s="1"/>
  <c r="I1124"/>
  <c r="I1125" s="1"/>
  <c r="E608"/>
  <c r="E609" s="1"/>
  <c r="E1124"/>
  <c r="E1125" s="1"/>
  <c r="K723"/>
  <c r="H608"/>
  <c r="H609" s="1"/>
  <c r="H1124"/>
  <c r="H1125" s="1"/>
  <c r="G608"/>
  <c r="G609" s="1"/>
  <c r="G1124"/>
  <c r="G1125" s="1"/>
  <c r="C663"/>
  <c r="J599"/>
  <c r="E1135"/>
  <c r="K1075"/>
  <c r="K1077" s="1"/>
  <c r="K1073"/>
  <c r="J1078"/>
  <c r="C1127"/>
  <c r="C1113"/>
  <c r="G1131"/>
  <c r="G1133" s="1"/>
  <c r="K722"/>
  <c r="K725" s="1"/>
  <c r="V1192" i="36"/>
  <c r="K720" i="39"/>
  <c r="J44" i="45"/>
  <c r="J724" i="39"/>
  <c r="J725"/>
  <c r="I663"/>
  <c r="H599"/>
  <c r="H666"/>
  <c r="G599"/>
  <c r="M13" i="42"/>
  <c r="H14"/>
  <c r="H549" i="39"/>
  <c r="H550" s="1"/>
  <c r="I599"/>
  <c r="I14" i="42"/>
  <c r="I549" i="39"/>
  <c r="I550" s="1"/>
  <c r="C53" i="42"/>
  <c r="C608" i="39"/>
  <c r="C609" s="1"/>
  <c r="J14" i="42"/>
  <c r="J549" i="39"/>
  <c r="J550" s="1"/>
  <c r="E14" i="42"/>
  <c r="E549" i="39"/>
  <c r="E550" s="1"/>
  <c r="C599"/>
  <c r="O71" i="42"/>
  <c r="H663" i="39"/>
  <c r="O54" i="43"/>
  <c r="P54" s="1"/>
  <c r="E611" i="39"/>
  <c r="N53" i="42"/>
  <c r="F12" i="44"/>
  <c r="O14" i="43"/>
  <c r="P14" s="1"/>
  <c r="N13" i="42"/>
  <c r="J611" i="39"/>
  <c r="I611"/>
  <c r="H611"/>
  <c r="I1127"/>
  <c r="J1127"/>
  <c r="H1127"/>
  <c r="E1127"/>
  <c r="J53" i="42"/>
  <c r="H53"/>
  <c r="I53"/>
  <c r="G53"/>
  <c r="V1001" i="36"/>
  <c r="U1201"/>
  <c r="V1200"/>
  <c r="V1195"/>
  <c r="V1199" s="1"/>
  <c r="K1076" i="39" s="1"/>
  <c r="E53" i="42"/>
  <c r="J38" i="43"/>
  <c r="G611" i="39"/>
  <c r="H12" i="44"/>
  <c r="E618" i="39"/>
  <c r="D611"/>
  <c r="D613" s="1"/>
  <c r="C611"/>
  <c r="F611"/>
  <c r="F613" s="1"/>
  <c r="P1176" i="36"/>
  <c r="C549" i="39"/>
  <c r="C550" s="1"/>
  <c r="J560"/>
  <c r="J561" s="1"/>
  <c r="H560"/>
  <c r="H561" s="1"/>
  <c r="E560"/>
  <c r="E561" s="1"/>
  <c r="I560"/>
  <c r="I561" s="1"/>
  <c r="G560"/>
  <c r="G561" s="1"/>
  <c r="C490"/>
  <c r="C989" s="1"/>
  <c r="C489"/>
  <c r="I666" l="1"/>
  <c r="C612"/>
  <c r="C613" s="1"/>
  <c r="C1129"/>
  <c r="J612"/>
  <c r="J613" s="1"/>
  <c r="J1129"/>
  <c r="I612"/>
  <c r="I613" s="1"/>
  <c r="I1129"/>
  <c r="E612"/>
  <c r="E613" s="1"/>
  <c r="E1129"/>
  <c r="H612"/>
  <c r="H613" s="1"/>
  <c r="H1129"/>
  <c r="G612"/>
  <c r="G613" s="1"/>
  <c r="G1129"/>
  <c r="K724"/>
  <c r="G1135"/>
  <c r="H1131"/>
  <c r="H1133" s="1"/>
  <c r="K1079"/>
  <c r="K1078"/>
  <c r="K44" i="45"/>
  <c r="O13" i="42"/>
  <c r="F668" i="39"/>
  <c r="F667"/>
  <c r="E15" i="45"/>
  <c r="M53" i="42"/>
  <c r="O53" s="1"/>
  <c r="J12" i="44"/>
  <c r="U1166" i="36"/>
  <c r="P1166"/>
  <c r="S1166"/>
  <c r="T1166"/>
  <c r="V1201"/>
  <c r="F39" i="45"/>
  <c r="F615" i="39"/>
  <c r="G665"/>
  <c r="D29" i="44"/>
  <c r="L29" s="1"/>
  <c r="J500" i="39"/>
  <c r="J505" s="1"/>
  <c r="I500"/>
  <c r="I505" s="1"/>
  <c r="E506"/>
  <c r="E500"/>
  <c r="H500"/>
  <c r="H505" s="1"/>
  <c r="G500"/>
  <c r="C500"/>
  <c r="D505"/>
  <c r="C14" i="42"/>
  <c r="M14" s="1"/>
  <c r="O14" s="1"/>
  <c r="C503" i="39"/>
  <c r="C492"/>
  <c r="D492"/>
  <c r="D494" s="1"/>
  <c r="T1132" i="36"/>
  <c r="P1132"/>
  <c r="U1132"/>
  <c r="R1132"/>
  <c r="S1132"/>
  <c r="N1178"/>
  <c r="R1176"/>
  <c r="N1152"/>
  <c r="N1180" l="1"/>
  <c r="C1132" i="39"/>
  <c r="C1134" s="1"/>
  <c r="E505"/>
  <c r="E507" s="1"/>
  <c r="I1131"/>
  <c r="H1135"/>
  <c r="G30" i="42"/>
  <c r="G493" i="39"/>
  <c r="G494" s="1"/>
  <c r="I30" i="42"/>
  <c r="I493" i="39"/>
  <c r="I494" s="1"/>
  <c r="C30" i="42"/>
  <c r="C493" i="39"/>
  <c r="C494" s="1"/>
  <c r="H30" i="42"/>
  <c r="H493" i="39"/>
  <c r="H494" s="1"/>
  <c r="C70" i="42"/>
  <c r="C506" i="39"/>
  <c r="N1132" i="36"/>
  <c r="C560" i="39"/>
  <c r="C561" s="1"/>
  <c r="G564"/>
  <c r="G565" s="1"/>
  <c r="J666"/>
  <c r="G616"/>
  <c r="J70" i="42"/>
  <c r="J506" i="39"/>
  <c r="J507" s="1"/>
  <c r="I70" i="42"/>
  <c r="I506" i="39"/>
  <c r="I507" s="1"/>
  <c r="H70" i="42"/>
  <c r="H506" i="39"/>
  <c r="H507" s="1"/>
  <c r="G70" i="42"/>
  <c r="G506" i="39"/>
  <c r="G667"/>
  <c r="I509"/>
  <c r="D516"/>
  <c r="D507"/>
  <c r="H509"/>
  <c r="J509"/>
  <c r="F15" i="45"/>
  <c r="F617" i="39"/>
  <c r="N30" i="42"/>
  <c r="R1179" i="36"/>
  <c r="E510" i="39"/>
  <c r="E70" i="42"/>
  <c r="G505" i="39"/>
  <c r="F70" i="43"/>
  <c r="J70" s="1"/>
  <c r="F618" i="39"/>
  <c r="D12" i="44"/>
  <c r="L12" s="1"/>
  <c r="G615" i="39"/>
  <c r="H665"/>
  <c r="H667" s="1"/>
  <c r="G39" i="45"/>
  <c r="C505" i="39"/>
  <c r="F505"/>
  <c r="D509"/>
  <c r="D511" s="1"/>
  <c r="P1175" i="36"/>
  <c r="S1176"/>
  <c r="C510" i="39"/>
  <c r="I1135" l="1"/>
  <c r="I1133"/>
  <c r="E509"/>
  <c r="E511" s="1"/>
  <c r="E516"/>
  <c r="H616"/>
  <c r="J1131"/>
  <c r="J30" i="42"/>
  <c r="M30" s="1"/>
  <c r="O30" s="1"/>
  <c r="J493" i="39"/>
  <c r="J494" s="1"/>
  <c r="H564"/>
  <c r="H565" s="1"/>
  <c r="C507"/>
  <c r="K666"/>
  <c r="V1176" i="36"/>
  <c r="S1131"/>
  <c r="H510" i="39"/>
  <c r="H511" s="1"/>
  <c r="T1131" i="36"/>
  <c r="I510" i="39"/>
  <c r="I511" s="1"/>
  <c r="G514"/>
  <c r="G510"/>
  <c r="M70" i="42"/>
  <c r="G507" i="39"/>
  <c r="F509"/>
  <c r="F507"/>
  <c r="G618"/>
  <c r="G617"/>
  <c r="E38" i="45"/>
  <c r="C516" i="39"/>
  <c r="N70" i="42"/>
  <c r="G509" i="39"/>
  <c r="O70" i="43"/>
  <c r="P70" s="1"/>
  <c r="S1179" i="36"/>
  <c r="H28" i="44"/>
  <c r="J28" s="1"/>
  <c r="H615" i="39"/>
  <c r="G15" i="45"/>
  <c r="I665" i="39"/>
  <c r="I667" s="1"/>
  <c r="H39" i="45"/>
  <c r="C509" i="39"/>
  <c r="C511" s="1"/>
  <c r="R1131" i="36"/>
  <c r="P1131"/>
  <c r="R1175"/>
  <c r="P1152"/>
  <c r="N1131"/>
  <c r="N1151"/>
  <c r="T1176"/>
  <c r="S1175"/>
  <c r="C449" i="39"/>
  <c r="E445"/>
  <c r="C434"/>
  <c r="C988" s="1"/>
  <c r="J1135" l="1"/>
  <c r="J1133"/>
  <c r="K1131"/>
  <c r="K1135" s="1"/>
  <c r="I616"/>
  <c r="G446"/>
  <c r="H514"/>
  <c r="H29" i="42"/>
  <c r="H439" i="39"/>
  <c r="H440" s="1"/>
  <c r="J29" i="42"/>
  <c r="J439" i="39"/>
  <c r="J440" s="1"/>
  <c r="I564"/>
  <c r="I565" s="1"/>
  <c r="J446"/>
  <c r="H446"/>
  <c r="I29" i="42"/>
  <c r="I439" i="39"/>
  <c r="I440" s="1"/>
  <c r="G29" i="42"/>
  <c r="G439" i="39"/>
  <c r="G440" s="1"/>
  <c r="U1131" i="36"/>
  <c r="J510" i="39"/>
  <c r="J511" s="1"/>
  <c r="O70" i="42"/>
  <c r="H618" i="39"/>
  <c r="H617"/>
  <c r="F513"/>
  <c r="F511"/>
  <c r="G511"/>
  <c r="I446"/>
  <c r="T1179" i="36"/>
  <c r="H445" i="39"/>
  <c r="G445"/>
  <c r="E69" i="43" s="1"/>
  <c r="J445" i="39"/>
  <c r="I445"/>
  <c r="I615"/>
  <c r="H15" i="45"/>
  <c r="J665" i="39"/>
  <c r="J667" s="1"/>
  <c r="I39" i="45"/>
  <c r="C450" i="39"/>
  <c r="C438"/>
  <c r="R1152" i="36"/>
  <c r="T1175"/>
  <c r="F69" i="43" l="1"/>
  <c r="J69" s="1"/>
  <c r="I514" i="39"/>
  <c r="V786" i="36"/>
  <c r="J564" i="39"/>
  <c r="J565" s="1"/>
  <c r="J21" i="42"/>
  <c r="J391" i="39"/>
  <c r="J392" s="1"/>
  <c r="C21" i="42"/>
  <c r="C391" i="39"/>
  <c r="C392" s="1"/>
  <c r="G61" i="42"/>
  <c r="G398" i="39"/>
  <c r="G399" s="1"/>
  <c r="G21" i="42"/>
  <c r="G391" i="39"/>
  <c r="G392" s="1"/>
  <c r="H61" i="42"/>
  <c r="H398" i="39"/>
  <c r="H399" s="1"/>
  <c r="I21" i="42"/>
  <c r="I391" i="39"/>
  <c r="I392" s="1"/>
  <c r="J61" i="42"/>
  <c r="J398" i="39"/>
  <c r="J399" s="1"/>
  <c r="C29" i="42"/>
  <c r="M29" s="1"/>
  <c r="C439" i="39"/>
  <c r="C440" s="1"/>
  <c r="H21" i="42"/>
  <c r="H391" i="39"/>
  <c r="H392" s="1"/>
  <c r="I61" i="42"/>
  <c r="I398" i="39"/>
  <c r="I399" s="1"/>
  <c r="C69" i="42"/>
  <c r="C451" i="39"/>
  <c r="C452" s="1"/>
  <c r="E69" i="42"/>
  <c r="E451" i="39"/>
  <c r="J616"/>
  <c r="J69" i="42"/>
  <c r="J451" i="39"/>
  <c r="I69" i="42"/>
  <c r="I451" i="39"/>
  <c r="H69" i="42"/>
  <c r="H451" i="39"/>
  <c r="G69" i="42"/>
  <c r="G451" i="39"/>
  <c r="F515"/>
  <c r="F38" i="45"/>
  <c r="D28" i="44"/>
  <c r="L28" s="1"/>
  <c r="F516" i="39"/>
  <c r="N29" i="42"/>
  <c r="I618" i="39"/>
  <c r="I617"/>
  <c r="G513"/>
  <c r="C461"/>
  <c r="U1179" i="36"/>
  <c r="V877"/>
  <c r="J615" i="39"/>
  <c r="I15" i="45"/>
  <c r="K665" i="39"/>
  <c r="J39" i="45"/>
  <c r="G450" i="39"/>
  <c r="D450"/>
  <c r="E450"/>
  <c r="H450"/>
  <c r="J450"/>
  <c r="F450"/>
  <c r="F452" s="1"/>
  <c r="I450"/>
  <c r="E455"/>
  <c r="E397"/>
  <c r="C396"/>
  <c r="C1005" s="1"/>
  <c r="C454"/>
  <c r="S1152" i="36"/>
  <c r="U1176"/>
  <c r="T1152"/>
  <c r="P1151"/>
  <c r="E402" i="39"/>
  <c r="C66" i="42"/>
  <c r="M66" s="1"/>
  <c r="O66" s="1"/>
  <c r="G249" i="39"/>
  <c r="G250" s="1"/>
  <c r="K1133" l="1"/>
  <c r="V751" i="36"/>
  <c r="M21" i="42"/>
  <c r="O21" s="1"/>
  <c r="K564" i="39"/>
  <c r="K565" s="1"/>
  <c r="V1152" i="36"/>
  <c r="G406" i="39"/>
  <c r="G407" s="1"/>
  <c r="G402"/>
  <c r="G403" s="1"/>
  <c r="H26" i="42"/>
  <c r="H249" i="39"/>
  <c r="H250" s="1"/>
  <c r="U1129" i="36"/>
  <c r="J402" i="39"/>
  <c r="J403" s="1"/>
  <c r="N1130" i="36"/>
  <c r="C455" i="39"/>
  <c r="C456" s="1"/>
  <c r="O29" i="42"/>
  <c r="S1129" i="36"/>
  <c r="H402" i="39"/>
  <c r="H403" s="1"/>
  <c r="C26" i="42"/>
  <c r="C249" i="39"/>
  <c r="C250" s="1"/>
  <c r="C61" i="42"/>
  <c r="M61" s="1"/>
  <c r="C398" i="39"/>
  <c r="T1129" i="36"/>
  <c r="I402" i="39"/>
  <c r="I403" s="1"/>
  <c r="V881" i="36"/>
  <c r="K616" i="39"/>
  <c r="M69" i="42"/>
  <c r="U1130" i="36"/>
  <c r="J455" i="39"/>
  <c r="T1130" i="36"/>
  <c r="I455" i="39"/>
  <c r="S1130" i="36"/>
  <c r="H455" i="39"/>
  <c r="G459"/>
  <c r="G455"/>
  <c r="J26" i="42"/>
  <c r="J249" i="39"/>
  <c r="J250" s="1"/>
  <c r="K39" i="45"/>
  <c r="K667" i="39"/>
  <c r="E454"/>
  <c r="E452"/>
  <c r="I454"/>
  <c r="I452"/>
  <c r="D454"/>
  <c r="D456" s="1"/>
  <c r="D452"/>
  <c r="H513"/>
  <c r="G515"/>
  <c r="G38" i="45"/>
  <c r="G516" i="39"/>
  <c r="H454"/>
  <c r="H452"/>
  <c r="J454"/>
  <c r="J452"/>
  <c r="O69" i="43"/>
  <c r="P69" s="1"/>
  <c r="G452" i="39"/>
  <c r="J618"/>
  <c r="J617"/>
  <c r="E401"/>
  <c r="E399"/>
  <c r="N69" i="42"/>
  <c r="C397" i="39"/>
  <c r="V1179" i="36"/>
  <c r="V878"/>
  <c r="V1175"/>
  <c r="G26" i="42"/>
  <c r="G263" i="39"/>
  <c r="G264" s="1"/>
  <c r="H263"/>
  <c r="H264" s="1"/>
  <c r="K615"/>
  <c r="J15" i="45"/>
  <c r="G454" i="39"/>
  <c r="H27" i="44"/>
  <c r="J27" s="1"/>
  <c r="R1129" i="36"/>
  <c r="R1130"/>
  <c r="P1129"/>
  <c r="P1130"/>
  <c r="E461" i="39"/>
  <c r="D461"/>
  <c r="F454"/>
  <c r="F456" s="1"/>
  <c r="F25" i="45"/>
  <c r="L19" i="44"/>
  <c r="D397" i="39"/>
  <c r="U1175" i="36"/>
  <c r="N1150"/>
  <c r="R1151"/>
  <c r="J263" i="39"/>
  <c r="J264" s="1"/>
  <c r="E263"/>
  <c r="E264" s="1"/>
  <c r="C263"/>
  <c r="C264" s="1"/>
  <c r="J514" l="1"/>
  <c r="H406"/>
  <c r="H407" s="1"/>
  <c r="J456"/>
  <c r="N1129" i="36"/>
  <c r="C402" i="39"/>
  <c r="C399"/>
  <c r="K514"/>
  <c r="V1151" i="36"/>
  <c r="V752"/>
  <c r="I456" i="39"/>
  <c r="O69" i="42"/>
  <c r="H456" i="39"/>
  <c r="G456"/>
  <c r="M26" i="42"/>
  <c r="O26" s="1"/>
  <c r="G271" i="39"/>
  <c r="G270"/>
  <c r="I513"/>
  <c r="H515"/>
  <c r="H38" i="45"/>
  <c r="H516" i="39"/>
  <c r="K15" i="45"/>
  <c r="K617" i="39"/>
  <c r="E37" i="45"/>
  <c r="E456" i="39"/>
  <c r="E25" i="45"/>
  <c r="E403" i="39"/>
  <c r="D401"/>
  <c r="D403" s="1"/>
  <c r="D399"/>
  <c r="C401"/>
  <c r="N61" i="42"/>
  <c r="O61" s="1"/>
  <c r="N1128" i="36"/>
  <c r="P1128"/>
  <c r="U1128"/>
  <c r="S1128"/>
  <c r="K618" i="39"/>
  <c r="F458"/>
  <c r="R1128" i="36"/>
  <c r="G25" i="45"/>
  <c r="D262" i="39"/>
  <c r="D264" s="1"/>
  <c r="N1148" i="36"/>
  <c r="U1152"/>
  <c r="P1150"/>
  <c r="I406" i="39" l="1"/>
  <c r="I407" s="1"/>
  <c r="C403"/>
  <c r="H459"/>
  <c r="G275"/>
  <c r="G276" s="1"/>
  <c r="H271"/>
  <c r="G272"/>
  <c r="F461"/>
  <c r="F460"/>
  <c r="J513"/>
  <c r="I515"/>
  <c r="I38" i="45"/>
  <c r="I516" i="39"/>
  <c r="H270"/>
  <c r="N1169" i="36"/>
  <c r="G458" i="39"/>
  <c r="D27" i="44"/>
  <c r="L27" s="1"/>
  <c r="F37" i="45"/>
  <c r="J23" i="44"/>
  <c r="H25" i="45"/>
  <c r="M25" i="43"/>
  <c r="P25" s="1"/>
  <c r="P1149" i="36"/>
  <c r="T1151"/>
  <c r="R1150"/>
  <c r="J406" i="39" l="1"/>
  <c r="J407" s="1"/>
  <c r="I459"/>
  <c r="H272"/>
  <c r="H275"/>
  <c r="H276" s="1"/>
  <c r="I270"/>
  <c r="I271"/>
  <c r="K513"/>
  <c r="J515"/>
  <c r="J38" i="45"/>
  <c r="J516" i="39"/>
  <c r="H458"/>
  <c r="H461" s="1"/>
  <c r="G460"/>
  <c r="N1171" i="36"/>
  <c r="S1169"/>
  <c r="T1169"/>
  <c r="U1169"/>
  <c r="G461" i="39"/>
  <c r="G37" i="45"/>
  <c r="R1169" i="36"/>
  <c r="P1169"/>
  <c r="P1171" s="1"/>
  <c r="I25" i="45"/>
  <c r="R1149" i="36"/>
  <c r="S1150"/>
  <c r="P1148"/>
  <c r="N1126"/>
  <c r="P1126"/>
  <c r="R1126"/>
  <c r="S1126"/>
  <c r="T1126"/>
  <c r="U1126"/>
  <c r="V566" l="1"/>
  <c r="K406" i="39" s="1"/>
  <c r="K407" s="1"/>
  <c r="V659" i="36"/>
  <c r="J459" i="39"/>
  <c r="I272"/>
  <c r="J270"/>
  <c r="J271"/>
  <c r="I275"/>
  <c r="I276" s="1"/>
  <c r="H37" i="45"/>
  <c r="I458" i="39"/>
  <c r="I461" s="1"/>
  <c r="H460"/>
  <c r="K515"/>
  <c r="K38" i="45"/>
  <c r="K516" i="39"/>
  <c r="U1171" i="36"/>
  <c r="T1171"/>
  <c r="R1171"/>
  <c r="S1171"/>
  <c r="L23" i="44"/>
  <c r="J25" i="45"/>
  <c r="S1149" i="36"/>
  <c r="P1178"/>
  <c r="U1151"/>
  <c r="T1150"/>
  <c r="R1148"/>
  <c r="N1146"/>
  <c r="G52" i="42"/>
  <c r="H52"/>
  <c r="I52"/>
  <c r="J52"/>
  <c r="E52"/>
  <c r="P1180" i="36" l="1"/>
  <c r="E1132" i="39"/>
  <c r="E1134" s="1"/>
  <c r="G12" i="42"/>
  <c r="G157" i="39"/>
  <c r="G158" s="1"/>
  <c r="J12" i="42"/>
  <c r="J157" i="39"/>
  <c r="J158" s="1"/>
  <c r="I12" i="42"/>
  <c r="I157" i="39"/>
  <c r="I158" s="1"/>
  <c r="C12" i="42"/>
  <c r="C157" i="39"/>
  <c r="C158" s="1"/>
  <c r="H12" i="42"/>
  <c r="H157" i="39"/>
  <c r="H158" s="1"/>
  <c r="E12" i="42"/>
  <c r="E157" i="39"/>
  <c r="E158" s="1"/>
  <c r="K459"/>
  <c r="V660" i="36"/>
  <c r="V1150"/>
  <c r="J272" i="39"/>
  <c r="K271"/>
  <c r="V459" i="36"/>
  <c r="J275" i="39"/>
  <c r="J276" s="1"/>
  <c r="K270"/>
  <c r="J458"/>
  <c r="I460"/>
  <c r="I37" i="45"/>
  <c r="K25"/>
  <c r="E38" i="43"/>
  <c r="C168" i="39"/>
  <c r="T1149" i="36"/>
  <c r="N1123"/>
  <c r="P1123"/>
  <c r="R1123"/>
  <c r="S1123"/>
  <c r="T1123"/>
  <c r="U1123"/>
  <c r="K275" i="39" l="1"/>
  <c r="K276" s="1"/>
  <c r="V461" i="36"/>
  <c r="M12" i="42"/>
  <c r="O12" s="1"/>
  <c r="U1125" i="36"/>
  <c r="J169" i="39"/>
  <c r="J170" s="1"/>
  <c r="T1125" i="36"/>
  <c r="I169" i="39"/>
  <c r="I170" s="1"/>
  <c r="G173"/>
  <c r="G174" s="1"/>
  <c r="G169"/>
  <c r="G170" s="1"/>
  <c r="P1125" i="36"/>
  <c r="E169" i="39"/>
  <c r="E170" s="1"/>
  <c r="S1125" i="36"/>
  <c r="H169" i="39"/>
  <c r="H170" s="1"/>
  <c r="K272"/>
  <c r="V460" i="36"/>
  <c r="K458" i="39"/>
  <c r="J460"/>
  <c r="J37" i="45"/>
  <c r="J461" i="39"/>
  <c r="V1148" i="36"/>
  <c r="R1125"/>
  <c r="U1149"/>
  <c r="C52" i="42"/>
  <c r="M52" s="1"/>
  <c r="O52" s="1"/>
  <c r="R1178" i="36"/>
  <c r="G1132" i="39" s="1"/>
  <c r="G1134" s="1"/>
  <c r="S1148" i="36"/>
  <c r="U1150"/>
  <c r="N1143"/>
  <c r="N1145"/>
  <c r="R1180" l="1"/>
  <c r="N1125"/>
  <c r="C169" i="39"/>
  <c r="C170" s="1"/>
  <c r="K460"/>
  <c r="K37" i="45"/>
  <c r="K461" i="39"/>
  <c r="V1178" i="36"/>
  <c r="K1132" i="39" s="1"/>
  <c r="K1134" s="1"/>
  <c r="V1149" i="36"/>
  <c r="S1178"/>
  <c r="P1146"/>
  <c r="T1148"/>
  <c r="N1124"/>
  <c r="P1124"/>
  <c r="R1124"/>
  <c r="S1124"/>
  <c r="T1124"/>
  <c r="U1124"/>
  <c r="S1180" l="1"/>
  <c r="H1132" i="39"/>
  <c r="H1134" s="1"/>
  <c r="H173"/>
  <c r="H174" s="1"/>
  <c r="V1180" i="36"/>
  <c r="U1178"/>
  <c r="T1178"/>
  <c r="U1148"/>
  <c r="R1146"/>
  <c r="P1145"/>
  <c r="P1143"/>
  <c r="N1144"/>
  <c r="G210" i="40"/>
  <c r="G26" i="39" s="1"/>
  <c r="G999" s="1"/>
  <c r="C30"/>
  <c r="C1006" s="1"/>
  <c r="E146" i="40"/>
  <c r="G146"/>
  <c r="H146"/>
  <c r="I146"/>
  <c r="J146"/>
  <c r="C110"/>
  <c r="E48"/>
  <c r="G48"/>
  <c r="H48"/>
  <c r="I48"/>
  <c r="J48"/>
  <c r="C49"/>
  <c r="E49"/>
  <c r="G49"/>
  <c r="H49"/>
  <c r="I49"/>
  <c r="J49"/>
  <c r="E14"/>
  <c r="G14"/>
  <c r="H14"/>
  <c r="I14"/>
  <c r="J14"/>
  <c r="U1180" i="36" l="1"/>
  <c r="J1132" i="39"/>
  <c r="J1134" s="1"/>
  <c r="T1180" i="36"/>
  <c r="I1132" i="39"/>
  <c r="I1134" s="1"/>
  <c r="I173"/>
  <c r="I174" s="1"/>
  <c r="D50" i="43"/>
  <c r="D78" s="1"/>
  <c r="E180" i="40"/>
  <c r="I111"/>
  <c r="H110"/>
  <c r="H111"/>
  <c r="G110"/>
  <c r="G111"/>
  <c r="J110"/>
  <c r="E110"/>
  <c r="E27" i="39" s="1"/>
  <c r="E1000" s="1"/>
  <c r="E178" i="40"/>
  <c r="J111"/>
  <c r="E111"/>
  <c r="I110"/>
  <c r="F16"/>
  <c r="C180"/>
  <c r="C215"/>
  <c r="C108"/>
  <c r="G50"/>
  <c r="D50"/>
  <c r="D52" s="1"/>
  <c r="C178"/>
  <c r="C179" s="1"/>
  <c r="E50"/>
  <c r="D81"/>
  <c r="D83" s="1"/>
  <c r="C48"/>
  <c r="C50" s="1"/>
  <c r="C82"/>
  <c r="C79"/>
  <c r="C81" s="1"/>
  <c r="D148"/>
  <c r="D150" s="1"/>
  <c r="C111"/>
  <c r="E149"/>
  <c r="F148"/>
  <c r="F150" s="1"/>
  <c r="G16"/>
  <c r="C14"/>
  <c r="J50"/>
  <c r="I50"/>
  <c r="C149"/>
  <c r="C146"/>
  <c r="C148" s="1"/>
  <c r="I16"/>
  <c r="G149"/>
  <c r="G148"/>
  <c r="H16"/>
  <c r="E148"/>
  <c r="H50"/>
  <c r="J149"/>
  <c r="J148"/>
  <c r="I149"/>
  <c r="I148"/>
  <c r="J16"/>
  <c r="F50"/>
  <c r="F52" s="1"/>
  <c r="H149"/>
  <c r="H148"/>
  <c r="C113"/>
  <c r="I51"/>
  <c r="G51"/>
  <c r="J17"/>
  <c r="E17"/>
  <c r="I17"/>
  <c r="G17"/>
  <c r="C17"/>
  <c r="J51"/>
  <c r="H51"/>
  <c r="E51"/>
  <c r="H17"/>
  <c r="C51"/>
  <c r="C216"/>
  <c r="S1146" i="36"/>
  <c r="R1145"/>
  <c r="R1143"/>
  <c r="C27" i="39" l="1"/>
  <c r="C1000" s="1"/>
  <c r="E28"/>
  <c r="E1001" s="1"/>
  <c r="C28"/>
  <c r="C1001" s="1"/>
  <c r="C25"/>
  <c r="C998" s="1"/>
  <c r="C150" i="40"/>
  <c r="C83"/>
  <c r="E150"/>
  <c r="G52"/>
  <c r="J18"/>
  <c r="H18"/>
  <c r="I150"/>
  <c r="J150"/>
  <c r="I52"/>
  <c r="E52"/>
  <c r="I18"/>
  <c r="G18"/>
  <c r="F18"/>
  <c r="H52"/>
  <c r="C52"/>
  <c r="H150"/>
  <c r="G150"/>
  <c r="J52"/>
  <c r="C181"/>
  <c r="C217"/>
  <c r="V378" i="36"/>
  <c r="J173" i="39"/>
  <c r="J174" s="1"/>
  <c r="H210" i="40"/>
  <c r="S1205" i="36"/>
  <c r="S1206" s="1"/>
  <c r="E179" i="40"/>
  <c r="E181" s="1"/>
  <c r="C16"/>
  <c r="R1251" i="36"/>
  <c r="G108" i="40"/>
  <c r="G25" i="39" s="1"/>
  <c r="G998" s="1"/>
  <c r="G180" i="40"/>
  <c r="G178"/>
  <c r="G28" i="39" s="1"/>
  <c r="G1001" s="1"/>
  <c r="E81" i="40"/>
  <c r="E83" s="1"/>
  <c r="D179"/>
  <c r="D181" s="1"/>
  <c r="F112"/>
  <c r="F114" s="1"/>
  <c r="C112"/>
  <c r="C114" s="1"/>
  <c r="N1251" i="36"/>
  <c r="N1260"/>
  <c r="N1262" s="1"/>
  <c r="N1263" s="1"/>
  <c r="D112" i="40"/>
  <c r="D114" s="1"/>
  <c r="E112"/>
  <c r="E114" s="1"/>
  <c r="D215"/>
  <c r="D217" s="1"/>
  <c r="F179"/>
  <c r="F181" s="1"/>
  <c r="E16"/>
  <c r="G113"/>
  <c r="D16"/>
  <c r="I210"/>
  <c r="U1146" i="36"/>
  <c r="T1146"/>
  <c r="S1145"/>
  <c r="S1143"/>
  <c r="P1144"/>
  <c r="D235" i="40" l="1"/>
  <c r="C235"/>
  <c r="H26" i="39"/>
  <c r="H999" s="1"/>
  <c r="I26"/>
  <c r="I999" s="1"/>
  <c r="C18" i="40"/>
  <c r="D18"/>
  <c r="E18"/>
  <c r="C49" i="42"/>
  <c r="C78" s="1"/>
  <c r="C32" i="39"/>
  <c r="K173"/>
  <c r="K174" s="1"/>
  <c r="V1145" i="36"/>
  <c r="C1007" i="39"/>
  <c r="F50" i="43"/>
  <c r="F78" s="1"/>
  <c r="C50"/>
  <c r="C78" s="1"/>
  <c r="S1251" i="36"/>
  <c r="R1261"/>
  <c r="R1262" s="1"/>
  <c r="R1263" s="1"/>
  <c r="H108" i="40"/>
  <c r="H180"/>
  <c r="H178"/>
  <c r="H28" i="39" s="1"/>
  <c r="H1001" s="1"/>
  <c r="D31"/>
  <c r="H113" i="40"/>
  <c r="C31" i="39"/>
  <c r="C236" i="40" s="1"/>
  <c r="T1205" i="36"/>
  <c r="T1206" s="1"/>
  <c r="G179" i="40"/>
  <c r="G181" s="1"/>
  <c r="G112"/>
  <c r="T1145" i="36"/>
  <c r="R1144"/>
  <c r="T1143"/>
  <c r="E11" i="39"/>
  <c r="E983" s="1"/>
  <c r="G211" i="40"/>
  <c r="G27" i="39" s="1"/>
  <c r="G1000" s="1"/>
  <c r="H211" i="40"/>
  <c r="H27" i="39" s="1"/>
  <c r="H1000" s="1"/>
  <c r="H25" l="1"/>
  <c r="H998" s="1"/>
  <c r="G114" i="40"/>
  <c r="C42" i="39"/>
  <c r="C237" i="40"/>
  <c r="D33" i="39"/>
  <c r="D236" i="40"/>
  <c r="D237" s="1"/>
  <c r="T1251" i="36"/>
  <c r="C1019" i="39"/>
  <c r="C1009"/>
  <c r="C33"/>
  <c r="I211" i="40"/>
  <c r="J211"/>
  <c r="I113"/>
  <c r="I108"/>
  <c r="S1261" i="36"/>
  <c r="S1262" s="1"/>
  <c r="S1263" s="1"/>
  <c r="K210" i="40"/>
  <c r="J210"/>
  <c r="I180"/>
  <c r="I178"/>
  <c r="I28" i="39" s="1"/>
  <c r="I1001" s="1"/>
  <c r="G216" i="40"/>
  <c r="D42" i="39"/>
  <c r="H112" i="40"/>
  <c r="I216"/>
  <c r="U1205" i="36"/>
  <c r="U1206" s="1"/>
  <c r="H179" i="40"/>
  <c r="H181" s="1"/>
  <c r="E1007" i="39"/>
  <c r="S1144" i="36"/>
  <c r="J27" i="39" l="1"/>
  <c r="J1000" s="1"/>
  <c r="I27"/>
  <c r="I1000" s="1"/>
  <c r="K26"/>
  <c r="K999" s="1"/>
  <c r="H1007"/>
  <c r="J26"/>
  <c r="J999" s="1"/>
  <c r="I25"/>
  <c r="I998" s="1"/>
  <c r="H32"/>
  <c r="H216" i="40"/>
  <c r="H114"/>
  <c r="T1261" i="36"/>
  <c r="T1262" s="1"/>
  <c r="T1263" s="1"/>
  <c r="J113" i="40"/>
  <c r="U1261" i="36"/>
  <c r="U1262" s="1"/>
  <c r="U1263" s="1"/>
  <c r="E1019" i="39"/>
  <c r="E50" i="43"/>
  <c r="G1007" i="39"/>
  <c r="J178" i="40"/>
  <c r="J28" i="39" s="1"/>
  <c r="J1001" s="1"/>
  <c r="J180" i="40"/>
  <c r="I112"/>
  <c r="J108"/>
  <c r="V299" i="36"/>
  <c r="K216" i="40" s="1"/>
  <c r="V1205" i="36"/>
  <c r="V1206" s="1"/>
  <c r="E215" i="40"/>
  <c r="E235" s="1"/>
  <c r="E31" i="39"/>
  <c r="E236" i="40" s="1"/>
  <c r="K215"/>
  <c r="F215"/>
  <c r="F235" s="1"/>
  <c r="V252" i="36"/>
  <c r="I215" i="40"/>
  <c r="I217" s="1"/>
  <c r="I179"/>
  <c r="I181" s="1"/>
  <c r="E216"/>
  <c r="J216"/>
  <c r="G215"/>
  <c r="G235" s="1"/>
  <c r="G31" i="39"/>
  <c r="G236" i="40" s="1"/>
  <c r="H31" i="39"/>
  <c r="H236" i="40" s="1"/>
  <c r="H215"/>
  <c r="H235" s="1"/>
  <c r="G15" i="39"/>
  <c r="G987" s="1"/>
  <c r="U1143" i="36"/>
  <c r="U1145"/>
  <c r="T1144"/>
  <c r="C11" i="39"/>
  <c r="C983" s="1"/>
  <c r="I235" i="40" l="1"/>
  <c r="I1007" i="39"/>
  <c r="I31"/>
  <c r="I236" i="40" s="1"/>
  <c r="J25" i="39"/>
  <c r="H217" i="40"/>
  <c r="H1009" i="39"/>
  <c r="I114" i="40"/>
  <c r="K217"/>
  <c r="G217"/>
  <c r="G237"/>
  <c r="F217"/>
  <c r="E217"/>
  <c r="E237"/>
  <c r="H49" i="42"/>
  <c r="H78" s="1"/>
  <c r="H237" i="40"/>
  <c r="G32" i="39"/>
  <c r="G33" s="1"/>
  <c r="G1009"/>
  <c r="V190" i="36"/>
  <c r="V1261"/>
  <c r="V1262" s="1"/>
  <c r="V1263" s="1"/>
  <c r="I32" i="39"/>
  <c r="H33"/>
  <c r="H8" i="44"/>
  <c r="O50" i="43"/>
  <c r="G10"/>
  <c r="G38" s="1"/>
  <c r="G49" i="42"/>
  <c r="G78" s="1"/>
  <c r="I49"/>
  <c r="I78" s="1"/>
  <c r="E1009" i="39"/>
  <c r="K108" i="40"/>
  <c r="J112"/>
  <c r="U1251" i="36"/>
  <c r="K178" i="40"/>
  <c r="K28" i="39" s="1"/>
  <c r="K1001" s="1"/>
  <c r="C18"/>
  <c r="C991" s="1"/>
  <c r="F31"/>
  <c r="J215" i="40"/>
  <c r="J217" s="1"/>
  <c r="J179"/>
  <c r="J181" s="1"/>
  <c r="H15" i="39"/>
  <c r="H987" s="1"/>
  <c r="J998" l="1"/>
  <c r="J1007" s="1"/>
  <c r="J1009" s="1"/>
  <c r="J235" i="40"/>
  <c r="I1009" i="39"/>
  <c r="K113" i="40"/>
  <c r="I33" i="39"/>
  <c r="J31"/>
  <c r="J236" i="40" s="1"/>
  <c r="I237"/>
  <c r="K25" i="39"/>
  <c r="F33"/>
  <c r="F236" i="40"/>
  <c r="F237" s="1"/>
  <c r="J114"/>
  <c r="J32" i="39"/>
  <c r="C9" i="42"/>
  <c r="C38" s="1"/>
  <c r="C21" i="39"/>
  <c r="E49" i="42"/>
  <c r="E78" s="1"/>
  <c r="E32" i="39"/>
  <c r="E33" s="1"/>
  <c r="H45" i="44"/>
  <c r="S78" i="43"/>
  <c r="C20" i="39"/>
  <c r="C993"/>
  <c r="C1011" s="1"/>
  <c r="J49" i="42"/>
  <c r="J78" s="1"/>
  <c r="V260" i="36"/>
  <c r="V302" s="1"/>
  <c r="G11" i="39"/>
  <c r="G983" s="1"/>
  <c r="V1251" i="36"/>
  <c r="K112" i="40"/>
  <c r="K179"/>
  <c r="H36" i="44"/>
  <c r="D49" i="45"/>
  <c r="D55" s="1"/>
  <c r="E78" i="43"/>
  <c r="O78" s="1"/>
  <c r="O79" s="1"/>
  <c r="J50"/>
  <c r="I15" i="39"/>
  <c r="I987" s="1"/>
  <c r="U1144" i="36"/>
  <c r="K1008" i="39" l="1"/>
  <c r="K998"/>
  <c r="K1007" s="1"/>
  <c r="G993"/>
  <c r="G995" s="1"/>
  <c r="K235" i="40"/>
  <c r="J237"/>
  <c r="J33" i="39"/>
  <c r="K114" i="40"/>
  <c r="K180"/>
  <c r="K181" s="1"/>
  <c r="C1013" i="39"/>
  <c r="C995"/>
  <c r="C36"/>
  <c r="G9" i="42"/>
  <c r="G38" s="1"/>
  <c r="F45" i="44" s="1"/>
  <c r="G21" i="39"/>
  <c r="C22"/>
  <c r="C35"/>
  <c r="H46" i="44"/>
  <c r="J78" i="43"/>
  <c r="P50"/>
  <c r="G20" i="39"/>
  <c r="C10" i="43"/>
  <c r="C38" s="1"/>
  <c r="N1122" i="36"/>
  <c r="N1137" s="1"/>
  <c r="K31" i="39"/>
  <c r="K236" i="40" s="1"/>
  <c r="H11" i="39"/>
  <c r="H983" s="1"/>
  <c r="J15"/>
  <c r="J987" s="1"/>
  <c r="E12"/>
  <c r="E984" s="1"/>
  <c r="G1011" l="1"/>
  <c r="G1015" s="1"/>
  <c r="K49" i="42"/>
  <c r="K78" s="1"/>
  <c r="K1009" i="39"/>
  <c r="K32"/>
  <c r="K33" s="1"/>
  <c r="K237" i="40"/>
  <c r="S38" i="43"/>
  <c r="I11" i="39"/>
  <c r="I983" s="1"/>
  <c r="T1233" i="36"/>
  <c r="T1236" s="1"/>
  <c r="T1240" s="1"/>
  <c r="C37" i="39"/>
  <c r="H9" i="42"/>
  <c r="H38" s="1"/>
  <c r="H21" i="39"/>
  <c r="N49" i="42"/>
  <c r="N78" s="1"/>
  <c r="O10" i="43"/>
  <c r="G22" i="39"/>
  <c r="P78" i="43"/>
  <c r="U78"/>
  <c r="H48" i="44"/>
  <c r="H49" s="1"/>
  <c r="E20" i="39"/>
  <c r="E993"/>
  <c r="H20"/>
  <c r="H993"/>
  <c r="N1139" i="36"/>
  <c r="G35" i="39"/>
  <c r="F8" i="44"/>
  <c r="E9" i="45"/>
  <c r="E49" s="1"/>
  <c r="E42" i="39"/>
  <c r="K15"/>
  <c r="K987" s="1"/>
  <c r="F20"/>
  <c r="U1233" i="36"/>
  <c r="U1236" s="1"/>
  <c r="U1240" s="1"/>
  <c r="U1244" s="1"/>
  <c r="T1241" l="1"/>
  <c r="T1244"/>
  <c r="I993" i="39"/>
  <c r="M49" i="42"/>
  <c r="M78" s="1"/>
  <c r="O78" s="1"/>
  <c r="G1019" i="39"/>
  <c r="E1011"/>
  <c r="E995"/>
  <c r="H1011"/>
  <c r="H995"/>
  <c r="U1241" i="36"/>
  <c r="I20" i="39"/>
  <c r="I35" s="1"/>
  <c r="I9" i="42"/>
  <c r="I38" s="1"/>
  <c r="I21" i="39"/>
  <c r="H36"/>
  <c r="H35"/>
  <c r="H22"/>
  <c r="F35"/>
  <c r="F22"/>
  <c r="E35"/>
  <c r="E22"/>
  <c r="S1122" i="36"/>
  <c r="S1137" s="1"/>
  <c r="J11" i="39"/>
  <c r="J983" s="1"/>
  <c r="D38" i="43"/>
  <c r="O38" s="1"/>
  <c r="O39" s="1"/>
  <c r="M10"/>
  <c r="D20" i="39"/>
  <c r="D22" s="1"/>
  <c r="E9" i="42"/>
  <c r="I1011" i="39" l="1"/>
  <c r="I1013" s="1"/>
  <c r="I995"/>
  <c r="O49" i="42"/>
  <c r="H1015" i="39"/>
  <c r="H1019" s="1"/>
  <c r="H1013"/>
  <c r="I22"/>
  <c r="K11"/>
  <c r="K983" s="1"/>
  <c r="V1233" i="36"/>
  <c r="V1236" s="1"/>
  <c r="V1240" s="1"/>
  <c r="J9" i="42"/>
  <c r="J38" s="1"/>
  <c r="J21" i="39"/>
  <c r="I36"/>
  <c r="I37" s="1"/>
  <c r="H37"/>
  <c r="E38" i="42"/>
  <c r="F39" i="39"/>
  <c r="F37"/>
  <c r="D35"/>
  <c r="D37" s="1"/>
  <c r="M38" i="43"/>
  <c r="P10"/>
  <c r="J20" i="39"/>
  <c r="J993"/>
  <c r="S1139" i="36"/>
  <c r="T1122"/>
  <c r="T1137" s="1"/>
  <c r="V66"/>
  <c r="K994" i="39" s="1"/>
  <c r="F36" i="44"/>
  <c r="J8"/>
  <c r="G1013" i="39"/>
  <c r="V1241" i="36" l="1"/>
  <c r="V1244"/>
  <c r="K993" i="39"/>
  <c r="K1011" s="1"/>
  <c r="K21"/>
  <c r="I1015"/>
  <c r="J1011"/>
  <c r="J995"/>
  <c r="K20"/>
  <c r="G36"/>
  <c r="G37" s="1"/>
  <c r="J36"/>
  <c r="D8" i="44"/>
  <c r="D36" s="1"/>
  <c r="N36" s="1"/>
  <c r="F41" i="39"/>
  <c r="F42"/>
  <c r="F9" i="45"/>
  <c r="F49" s="1"/>
  <c r="D41" i="44" s="1"/>
  <c r="G39" i="39"/>
  <c r="J35"/>
  <c r="J22"/>
  <c r="P38" i="43"/>
  <c r="U38"/>
  <c r="F48" i="44"/>
  <c r="F49" s="1"/>
  <c r="F46"/>
  <c r="T1139" i="36"/>
  <c r="V304"/>
  <c r="V306" s="1"/>
  <c r="K9" i="42"/>
  <c r="U1122" i="36"/>
  <c r="U1137" s="1"/>
  <c r="R1122"/>
  <c r="R1137" s="1"/>
  <c r="J36" i="44"/>
  <c r="K1012" i="39" l="1"/>
  <c r="K1013" s="1"/>
  <c r="V1138" i="36"/>
  <c r="K995" i="39"/>
  <c r="K22"/>
  <c r="G40"/>
  <c r="G41" s="1"/>
  <c r="G1016"/>
  <c r="G1018" s="1"/>
  <c r="J1015"/>
  <c r="J1013"/>
  <c r="I1019"/>
  <c r="K35"/>
  <c r="N9" i="42"/>
  <c r="N38" s="1"/>
  <c r="K36" i="39"/>
  <c r="K38" i="42"/>
  <c r="M9"/>
  <c r="M38" s="1"/>
  <c r="L8" i="44"/>
  <c r="L36" s="1"/>
  <c r="O36" s="1"/>
  <c r="G42" i="39"/>
  <c r="F55" i="45"/>
  <c r="P36" i="44"/>
  <c r="D43"/>
  <c r="H39" i="39"/>
  <c r="G9" i="45"/>
  <c r="G49" s="1"/>
  <c r="L42" i="44" s="1"/>
  <c r="J37" i="39"/>
  <c r="R1158" i="36"/>
  <c r="V1122"/>
  <c r="U1139"/>
  <c r="R1139"/>
  <c r="N1142"/>
  <c r="H40" i="39" l="1"/>
  <c r="H41" s="1"/>
  <c r="H1016"/>
  <c r="H1018" s="1"/>
  <c r="K1015"/>
  <c r="J1019"/>
  <c r="K37"/>
  <c r="O38" i="42"/>
  <c r="O9"/>
  <c r="L43" i="44"/>
  <c r="Q36"/>
  <c r="H42" i="39"/>
  <c r="I39"/>
  <c r="H9" i="45"/>
  <c r="H49" s="1"/>
  <c r="N1157" i="36"/>
  <c r="V1137"/>
  <c r="S1158"/>
  <c r="C1017" i="39" l="1"/>
  <c r="K1019"/>
  <c r="I40"/>
  <c r="I41" s="1"/>
  <c r="I1016"/>
  <c r="I1018" s="1"/>
  <c r="C54" i="45"/>
  <c r="C55" s="1"/>
  <c r="I9"/>
  <c r="I49" s="1"/>
  <c r="J39" i="39"/>
  <c r="I42"/>
  <c r="N1159" i="36"/>
  <c r="V1139"/>
  <c r="T1158"/>
  <c r="E1013" i="39"/>
  <c r="J40" l="1"/>
  <c r="J41" s="1"/>
  <c r="J1016"/>
  <c r="J1018" s="1"/>
  <c r="E36"/>
  <c r="E37" s="1"/>
  <c r="J42"/>
  <c r="K39"/>
  <c r="J9" i="45"/>
  <c r="J49" s="1"/>
  <c r="U1158" i="36"/>
  <c r="P1122"/>
  <c r="P1137" s="1"/>
  <c r="K40" i="39" l="1"/>
  <c r="K41" s="1"/>
  <c r="K1016"/>
  <c r="K1018" s="1"/>
  <c r="K9" i="45"/>
  <c r="K49" s="1"/>
  <c r="K42" i="39"/>
  <c r="V1158" i="36"/>
  <c r="P1139"/>
  <c r="P1142"/>
  <c r="P1157" l="1"/>
  <c r="P1159" s="1"/>
  <c r="V307"/>
  <c r="V1142"/>
  <c r="R1142"/>
  <c r="E1017" i="39" l="1"/>
  <c r="E54" i="45"/>
  <c r="E55" s="1"/>
  <c r="R1157" i="36"/>
  <c r="V1157"/>
  <c r="S1142"/>
  <c r="G1017" i="39" l="1"/>
  <c r="K1017"/>
  <c r="R1159" i="36"/>
  <c r="G54" i="45"/>
  <c r="G55" s="1"/>
  <c r="V1159" i="36"/>
  <c r="K54" i="45"/>
  <c r="K55" s="1"/>
  <c r="S1157" i="36"/>
  <c r="T1142"/>
  <c r="H1017" i="39" l="1"/>
  <c r="S1159" i="36"/>
  <c r="H54" i="45"/>
  <c r="H55" s="1"/>
  <c r="T1157" i="36"/>
  <c r="U1142"/>
  <c r="I1017" i="39" l="1"/>
  <c r="T1159" i="36"/>
  <c r="I54" i="45"/>
  <c r="I55" s="1"/>
  <c r="U1157" i="36"/>
  <c r="J1017" i="39" l="1"/>
  <c r="U1159" i="36"/>
  <c r="J54" i="45"/>
  <c r="J55" s="1"/>
</calcChain>
</file>

<file path=xl/sharedStrings.xml><?xml version="1.0" encoding="utf-8"?>
<sst xmlns="http://schemas.openxmlformats.org/spreadsheetml/2006/main" count="3550" uniqueCount="1513">
  <si>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</si>
  <si>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</si>
  <si>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</si>
  <si>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</si>
  <si>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</si>
  <si>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</si>
  <si>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</si>
  <si>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</si>
  <si>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</si>
  <si>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</si>
  <si>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</si>
  <si>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</si>
  <si>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</si>
  <si>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</si>
  <si>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MISCELLANEOUS</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</si>
  <si>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</si>
  <si>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</si>
  <si>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</si>
  <si>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</si>
  <si>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</si>
  <si>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</si>
  <si>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</si>
  <si>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</si>
  <si>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</si>
  <si>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</si>
  <si>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</si>
  <si>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</si>
  <si>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</si>
  <si>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</si>
  <si>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</si>
  <si>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</si>
  <si>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</si>
  <si>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</si>
  <si>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</si>
  <si>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</si>
  <si>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</si>
  <si>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</si>
  <si>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</si>
  <si>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</si>
  <si>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</si>
  <si>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</si>
  <si>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</si>
  <si>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</si>
  <si>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</si>
  <si>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</si>
  <si>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</si>
  <si>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</si>
  <si>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</si>
  <si>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</si>
  <si>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</si>
  <si>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</si>
  <si>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</si>
  <si>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LIQUOR LICENSE</t>
  </si>
  <si>
    <t>01-000-43-00-4325</t>
  </si>
  <si>
    <t>01-000-43-00-4320</t>
  </si>
  <si>
    <t>01-000-43-00-4310</t>
  </si>
  <si>
    <t>POLICE TOWS</t>
  </si>
  <si>
    <t>01-000-44-00-4405</t>
  </si>
  <si>
    <t>01-000-44-00-4400</t>
  </si>
  <si>
    <t>DEVELOPMENT FEES</t>
  </si>
  <si>
    <t>COLLECTION FEE - YBSD</t>
  </si>
  <si>
    <t>GARBAGE SURCHARGE</t>
  </si>
  <si>
    <t>01-000-45-00-4500</t>
  </si>
  <si>
    <t>01-000-46-00-4690</t>
  </si>
  <si>
    <t>01-000-46-00-4680</t>
  </si>
  <si>
    <t>01-000-46-00-4670</t>
  </si>
  <si>
    <t>01-000-46-00-4601</t>
  </si>
  <si>
    <t>REIMB - MISCELLANEOUS</t>
  </si>
  <si>
    <t>REIMB - LEGAL EXPENSES</t>
  </si>
  <si>
    <t>01-000-48-00-4850</t>
  </si>
  <si>
    <t>01-110-50-00-5020</t>
  </si>
  <si>
    <t>01-110-50-00-5005</t>
  </si>
  <si>
    <t>01-110-50-00-5004</t>
  </si>
  <si>
    <t>01-110-50-00-5003</t>
  </si>
  <si>
    <t>01-110-50-00-5002</t>
  </si>
  <si>
    <t>01-110-50-00-5001</t>
  </si>
  <si>
    <t>PART-TIME SALARIES</t>
  </si>
  <si>
    <t>SALARIES - ADMINISTRATION</t>
  </si>
  <si>
    <t>SALARIES - ALDERMAN</t>
  </si>
  <si>
    <t>SALARIES - CITY TREASURER</t>
  </si>
  <si>
    <t>SALARIES - CITY CLERK</t>
  </si>
  <si>
    <t>SALARIES - LIQUOR COMM</t>
  </si>
  <si>
    <t>SALARIES - MAYOR</t>
  </si>
  <si>
    <t>01-110-52-00-5214</t>
  </si>
  <si>
    <t>01-110-52-00-5212</t>
  </si>
  <si>
    <t>01-110-54-00-5480</t>
  </si>
  <si>
    <t>01-110-54-00-5473</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</si>
  <si>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</si>
  <si>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</si>
  <si>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</si>
  <si>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</si>
  <si>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</si>
  <si>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</si>
  <si>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</si>
  <si>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</si>
  <si>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</si>
  <si>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</si>
  <si>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</si>
  <si>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</si>
  <si>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</si>
  <si>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</si>
  <si>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01-110-56-00-5640</t>
  </si>
  <si>
    <t>01-110-56-00-5635</t>
  </si>
  <si>
    <t>01-110-56-00-5610</t>
  </si>
  <si>
    <t>CONTINGENCIES</t>
  </si>
  <si>
    <t>WEARING APPAREL</t>
  </si>
  <si>
    <t>01-120-50-00-5010</t>
  </si>
  <si>
    <t>01-120-52-00-5214</t>
  </si>
  <si>
    <t>01-120-52-00-5212</t>
  </si>
  <si>
    <t>01-120-54-00-5495</t>
  </si>
  <si>
    <t>01-120-54-00-5485</t>
  </si>
  <si>
    <t>01-120-54-00-5462</t>
  </si>
  <si>
    <t>01-120-54-00-5452</t>
  </si>
  <si>
    <t>01-120-54-00-5440</t>
  </si>
  <si>
    <t>01-120-54-00-5430</t>
  </si>
  <si>
    <t>01-120-54-00-5415</t>
  </si>
  <si>
    <t>01-120-54-00-5412</t>
  </si>
  <si>
    <t>AUDITING SERVICES</t>
  </si>
  <si>
    <t>01-120-56-00-5635</t>
  </si>
  <si>
    <t>01-120-56-00-5630</t>
  </si>
  <si>
    <t>01-120-56-00-5610</t>
  </si>
  <si>
    <t>COMMUNITY RELATIONS</t>
  </si>
  <si>
    <t>01-150-50-00-5010</t>
  </si>
  <si>
    <t>01-150-52-00-5214</t>
  </si>
  <si>
    <t>01-150-52-00-5212</t>
  </si>
  <si>
    <t>01-150-54-00-5495</t>
  </si>
  <si>
    <t>01-150-54-00-5462</t>
  </si>
  <si>
    <t>01-150-54-00-5452</t>
  </si>
  <si>
    <t>01-150-54-00-5440</t>
  </si>
  <si>
    <t>01-150-54-00-5415</t>
  </si>
  <si>
    <t>01-150-56-00-5610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</si>
  <si>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</si>
  <si>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</si>
  <si>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</si>
  <si>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</si>
  <si>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</si>
  <si>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</si>
  <si>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</si>
  <si>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</si>
  <si>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</si>
  <si>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</si>
  <si>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</si>
  <si>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</si>
  <si>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</si>
  <si>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01-210-54-00-5466</t>
  </si>
  <si>
    <t>01-210-54-00-5462</t>
  </si>
  <si>
    <t>01-210-54-00-5452</t>
  </si>
  <si>
    <t>01-210-54-00-5440</t>
  </si>
  <si>
    <t>01-210-54-00-5430</t>
  </si>
  <si>
    <t>01-210-54-00-5426</t>
  </si>
  <si>
    <t>01-210-54-00-5415</t>
  </si>
  <si>
    <t>NEW WORLD LIVE SCAN</t>
  </si>
  <si>
    <t>LEGAL SERVICES</t>
  </si>
  <si>
    <t>TRAINING &amp; CONFERENCE</t>
  </si>
  <si>
    <t>01-210-56-00-5696</t>
  </si>
  <si>
    <t>01-210-56-00-5695</t>
  </si>
  <si>
    <t>01-210-56-00-5635</t>
  </si>
  <si>
    <t>01-210-56-00-5620</t>
  </si>
  <si>
    <t>01-210-56-00-5610</t>
  </si>
  <si>
    <t>01-210-56-00-5600</t>
  </si>
  <si>
    <t>AMMUNITION</t>
  </si>
  <si>
    <t>GASOLINE</t>
  </si>
  <si>
    <t>KENDALL CO. JUVE PROBATION</t>
  </si>
  <si>
    <t>01-220-50-00-5010</t>
  </si>
  <si>
    <t>01-220-52-00-5214</t>
  </si>
  <si>
    <t>01-220-52-00-5212</t>
  </si>
  <si>
    <t>01-220-54-00-5466</t>
  </si>
  <si>
    <t>01-220-54-00-5462</t>
  </si>
  <si>
    <t>01-220-54-00-5452</t>
  </si>
  <si>
    <t>01-220-54-00-5440</t>
  </si>
  <si>
    <t>01-220-54-00-5430</t>
  </si>
  <si>
    <t>01-220-54-00-5426</t>
  </si>
  <si>
    <t>01-220-54-00-5415</t>
  </si>
  <si>
    <t>01-220-54-00-5412</t>
  </si>
  <si>
    <t>01-220-56-00-5645</t>
  </si>
  <si>
    <t>01-220-56-00-5635</t>
  </si>
  <si>
    <t>01-220-56-00-5630</t>
  </si>
  <si>
    <t>01-220-56-00-5620</t>
  </si>
  <si>
    <t>01-220-56-00-5610</t>
  </si>
  <si>
    <t>01-410-50-00-5020</t>
  </si>
  <si>
    <t>01-410-50-00-5010</t>
  </si>
  <si>
    <t>01-410-52-00-5214</t>
  </si>
  <si>
    <t>01-410-52-00-5212</t>
  </si>
  <si>
    <t>01-410-54-00-5485</t>
  </si>
  <si>
    <t>01-410-54-00-5480</t>
  </si>
  <si>
    <t>01-410-54-00-5462</t>
  </si>
  <si>
    <t>01-410-54-00-5440</t>
  </si>
  <si>
    <t>01-410-54-00-5412</t>
  </si>
  <si>
    <t>01-410-56-00-5695</t>
  </si>
  <si>
    <t>01-410-56-00-5656</t>
  </si>
  <si>
    <t>01-410-56-00-5626</t>
  </si>
  <si>
    <t>01-410-56-00-5620</t>
  </si>
  <si>
    <t>01-410-56-00-5600</t>
  </si>
  <si>
    <t>MOSQUITO CONTROL</t>
  </si>
  <si>
    <t>TREE &amp; STUMP REMOVAL</t>
  </si>
  <si>
    <t>HANGING BASKETS</t>
  </si>
  <si>
    <t>SIDEWALK CONSTRUCTION</t>
  </si>
  <si>
    <t>01-540-54-00-5443</t>
  </si>
  <si>
    <t>01-540-54-00-5442</t>
  </si>
  <si>
    <t>LEAF PICKUP</t>
  </si>
  <si>
    <t>GARBAGE SERVICES</t>
  </si>
  <si>
    <t>01-640-52-00-5231</t>
  </si>
  <si>
    <t>01-640-52-00-5230</t>
  </si>
  <si>
    <t>01-640-52-00-5224</t>
  </si>
  <si>
    <t>01-640-52-00-5223</t>
  </si>
  <si>
    <t>01-640-52-00-5222</t>
  </si>
  <si>
    <t>UNEMPLOYMENT INSURANCE</t>
  </si>
  <si>
    <t>GROUP LIFE INSURANCE</t>
  </si>
  <si>
    <t>01-640-54-00-5494</t>
  </si>
  <si>
    <t>01-640-54-00-5493</t>
  </si>
  <si>
    <t>01-640-54-00-5492</t>
  </si>
  <si>
    <t>01-640-54-00-5491</t>
  </si>
  <si>
    <t>01-640-54-00-5475</t>
  </si>
  <si>
    <t>01-640-54-00-5463</t>
  </si>
  <si>
    <t>01-640-54-00-5461</t>
  </si>
  <si>
    <t>SALES TAX REBATE</t>
  </si>
  <si>
    <t>CABLE CONSORTIUM FEE</t>
  </si>
  <si>
    <t>SPECIAL COUNSEL</t>
  </si>
  <si>
    <t>LITIGATION COUNSEL</t>
  </si>
  <si>
    <t>CORPORATE COUNSEL</t>
  </si>
  <si>
    <t>01-640-54-00-5499</t>
  </si>
  <si>
    <t>01-640-70-00-7799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</si>
  <si>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</si>
  <si>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</si>
  <si>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</si>
  <si>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</si>
  <si>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</si>
  <si>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</si>
  <si>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</si>
  <si>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FY 2012</t>
  </si>
  <si>
    <t>01-110-54-00-5451</t>
  </si>
  <si>
    <t>01-110-54-00-5488</t>
  </si>
  <si>
    <t>01-120-54-00-5414</t>
  </si>
  <si>
    <t>01-120-54-00-5460</t>
  </si>
  <si>
    <t>01-150-54-00-5430</t>
  </si>
  <si>
    <t>01-210-54-00-5410</t>
  </si>
  <si>
    <t>01-210-54-00-5412</t>
  </si>
  <si>
    <t>01-210-54-00-5484</t>
  </si>
  <si>
    <t>01-210-54-00-5460</t>
  </si>
  <si>
    <t>01-220-54-00-5486</t>
  </si>
  <si>
    <t>01-220-54-00-5460</t>
  </si>
  <si>
    <t>01-640-52-00-5216</t>
  </si>
  <si>
    <t>01-640-54-00-5456</t>
  </si>
  <si>
    <t>01-640-54-00-5481</t>
  </si>
  <si>
    <t>TRANSFER TO CITYWIDE CAPITAL</t>
  </si>
  <si>
    <t>TRANSFER TO DEBT SERVICE</t>
  </si>
  <si>
    <t>TRANSFER TO WATER</t>
  </si>
  <si>
    <t>TRANSFER TO SEWER</t>
  </si>
  <si>
    <t>TRANSFER FROM SEWER</t>
  </si>
  <si>
    <t>01-000-46-00-4685</t>
  </si>
  <si>
    <t>REIMB - CABLE CONSORTIUM</t>
  </si>
  <si>
    <t>01-210-56-00-5640</t>
  </si>
  <si>
    <t>01-210-54-00-5495</t>
  </si>
  <si>
    <t>01-410-56-00-5640</t>
  </si>
  <si>
    <t xml:space="preserve">LOCAL USE TAX                                              </t>
  </si>
  <si>
    <t>01-000-48-00-4845</t>
  </si>
  <si>
    <t>DONATIONS</t>
  </si>
  <si>
    <t>01-000-41-00-4182</t>
  </si>
  <si>
    <t>MISC INTERGOVERNMENTAL</t>
  </si>
  <si>
    <t>01-210-56-00-5690</t>
  </si>
  <si>
    <t>SUPPLIES - GRANT REIMBURSABLE</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</si>
  <si>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</si>
  <si>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</si>
  <si>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</si>
  <si>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</si>
  <si>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</si>
  <si>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</si>
  <si>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</si>
  <si>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</si>
  <si>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</si>
  <si>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</si>
  <si>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</si>
  <si>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</si>
  <si>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</si>
  <si>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</si>
  <si>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01-000-40-00-4080</t>
  </si>
  <si>
    <t>PARA-MUTUEL TAX</t>
  </si>
  <si>
    <t>01-000-44-00-4474</t>
  </si>
  <si>
    <t>POLICE SPECIAL DETAIL</t>
  </si>
  <si>
    <t>01-640-50-00-5092</t>
  </si>
  <si>
    <t>POLICE SPECIAL DETAIL WAGES</t>
  </si>
  <si>
    <t>ADMISSIONS TAX REBATE</t>
  </si>
  <si>
    <t>FY 2013</t>
  </si>
  <si>
    <t>FY 2014</t>
  </si>
  <si>
    <t>01-000-46-00-4681</t>
  </si>
  <si>
    <t>REIMB - WORKERS COMP</t>
  </si>
  <si>
    <t>01-000-46-00-4671</t>
  </si>
  <si>
    <t>REIMB - LIFE INSURANCE</t>
  </si>
  <si>
    <t>01-000-46-00-4668</t>
  </si>
  <si>
    <t>01-000-46-00-4669</t>
  </si>
  <si>
    <t>CITY PROPERTY TAX REBATE</t>
  </si>
  <si>
    <t xml:space="preserve">PROPERTY TAXES - FOX INDUSTRIAL TIF                         </t>
  </si>
  <si>
    <t>REIMB - EMPLOYEE INS CONTRIBUTIONS</t>
  </si>
  <si>
    <t>01-640-56-00-5625</t>
  </si>
  <si>
    <t>REIMBURSABLE REPAIRS</t>
  </si>
  <si>
    <t>REIMB - COBRA CONTRIBUTIONS</t>
  </si>
  <si>
    <t>REIMB - RETIREE INS CONTRIBUTIONS</t>
  </si>
  <si>
    <t>01-210-54-00-5472</t>
  </si>
  <si>
    <t>FY 2015</t>
  </si>
  <si>
    <t>FY 2016</t>
  </si>
  <si>
    <t>FY 2017</t>
  </si>
  <si>
    <t>01-640-54-00-5465</t>
  </si>
  <si>
    <t>ENGINEERING SERVICES</t>
  </si>
  <si>
    <t>01-000-40-00-4035</t>
  </si>
  <si>
    <t>12-112-54-00-5495</t>
  </si>
  <si>
    <t>11-111-54-00-5495</t>
  </si>
  <si>
    <t>15-000-41-00-4112</t>
  </si>
  <si>
    <t xml:space="preserve">MOTOR FUEL TAX </t>
  </si>
  <si>
    <t>15-000-41-00-4113</t>
  </si>
  <si>
    <t>MFT HIGH GROWTH</t>
  </si>
  <si>
    <t>15-000-41-00-4172</t>
  </si>
  <si>
    <t>ILLINOIS JOBS NOW PROCEEDS</t>
  </si>
  <si>
    <t>15-000-45-00-4500</t>
  </si>
  <si>
    <t>TRANSFER FROM GENERAL</t>
  </si>
  <si>
    <t>15-155-54-00-5495</t>
  </si>
  <si>
    <t>15-155-56-00-5618</t>
  </si>
  <si>
    <t>SALT</t>
  </si>
  <si>
    <t>15-155-56-00-5619</t>
  </si>
  <si>
    <t>SIGNS</t>
  </si>
  <si>
    <t>15-155-56-00-5632</t>
  </si>
  <si>
    <t>PATCHING</t>
  </si>
  <si>
    <t>15-155-56-00-5633</t>
  </si>
  <si>
    <t>COLD PATCH</t>
  </si>
  <si>
    <t>15-155-56-00-5634</t>
  </si>
  <si>
    <t>HOT PATCH</t>
  </si>
  <si>
    <t>15-155-60-00-6072</t>
  </si>
  <si>
    <t>DOWNTOWN PARKING LOT</t>
  </si>
  <si>
    <t>15-155-60-00-6073</t>
  </si>
  <si>
    <t>GAME FARM ROAD PROJECT</t>
  </si>
  <si>
    <t>15-155-60-00-6079</t>
  </si>
  <si>
    <t>ROUTE 47 EXPANSION</t>
  </si>
  <si>
    <t>16-000-42-00-4214</t>
  </si>
  <si>
    <t>WEATHER WARNING SIREN FEES</t>
  </si>
  <si>
    <t>DUI FINES</t>
  </si>
  <si>
    <t>EQUIPMENT</t>
  </si>
  <si>
    <t>VEHICLES</t>
  </si>
  <si>
    <t>MOWING INCOME</t>
  </si>
  <si>
    <t>TRANSFER FROM PARK &amp; REC CAPITAL</t>
  </si>
  <si>
    <t>INTEREST PAYMENT</t>
  </si>
  <si>
    <t>RAINTREE PARK</t>
  </si>
  <si>
    <t>TRANSFER TO PUBLIC WORKS CAPITAL</t>
  </si>
  <si>
    <t>23-000-42-00-4210</t>
  </si>
  <si>
    <t>23-000-42-00-4213</t>
  </si>
  <si>
    <t>ENGINEERING CAPITAL FEE</t>
  </si>
  <si>
    <t>23-000-42-00-4214</t>
  </si>
  <si>
    <t>23-000-42-00-4222</t>
  </si>
  <si>
    <r>
      <t xml:space="preserve">ROAD CONTRIBUTION FEE                            </t>
    </r>
    <r>
      <rPr>
        <b/>
        <sz val="11"/>
        <rFont val="Times New Roman"/>
        <family val="1"/>
      </rPr>
      <t xml:space="preserve"> </t>
    </r>
  </si>
  <si>
    <t>23-000-45-00-4500</t>
  </si>
  <si>
    <t>23-000-46-00-4690</t>
  </si>
  <si>
    <t>23-000-49-00-4900</t>
  </si>
  <si>
    <t>BOND PROCEEDS</t>
  </si>
  <si>
    <t>23-230-54-00-5462</t>
  </si>
  <si>
    <t>23-230-60-00-6041</t>
  </si>
  <si>
    <t>23-230-60-00-6073</t>
  </si>
  <si>
    <t>23-230-60-00-6075</t>
  </si>
  <si>
    <t>RIVER ROAD BRIDGE PROJECT</t>
  </si>
  <si>
    <t>23-230-60-00-6092</t>
  </si>
  <si>
    <t>SAFE ROUTE TO SCHOOL PROJECT</t>
  </si>
  <si>
    <t>23-230-97-00-8000</t>
  </si>
  <si>
    <t xml:space="preserve">PROPERTY TAXES - 2005A BOND                  </t>
  </si>
  <si>
    <t>42-000-42-00-4208</t>
  </si>
  <si>
    <t>RECAPTURE FEES - WATER &amp; SEWER</t>
  </si>
  <si>
    <t>42-000-49-00-4901</t>
  </si>
  <si>
    <t>42-420-54-00-5498</t>
  </si>
  <si>
    <t>PAYING AGENT FEES</t>
  </si>
  <si>
    <t>42-420-81-00-8000</t>
  </si>
  <si>
    <t>42-420-81-00-8050</t>
  </si>
  <si>
    <t>42-420-82-00-8000</t>
  </si>
  <si>
    <t>42-420-82-00-8050</t>
  </si>
  <si>
    <t xml:space="preserve">PROPERTY TAXES - 2007A BOND             </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</si>
  <si>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</si>
  <si>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</si>
  <si>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</si>
  <si>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</si>
  <si>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</si>
  <si>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</si>
  <si>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</si>
  <si>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</si>
  <si>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</si>
  <si>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</si>
  <si>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</si>
  <si>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</si>
  <si>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</si>
  <si>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</si>
  <si>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</si>
  <si>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</si>
  <si>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</si>
  <si>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</si>
  <si>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</si>
  <si>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</si>
  <si>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</si>
  <si>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</si>
  <si>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</si>
  <si>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</si>
  <si>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</si>
  <si>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</si>
  <si>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</si>
  <si>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51-510-54-00-5466</t>
  </si>
  <si>
    <t>51-510-54-00-5480</t>
  </si>
  <si>
    <t>51-510-54-00-5483</t>
  </si>
  <si>
    <t>JULIE SERVICES</t>
  </si>
  <si>
    <t>51-510-54-00-5485</t>
  </si>
  <si>
    <t>51-510-54-00-5499</t>
  </si>
  <si>
    <t>51-510-56-00-5600</t>
  </si>
  <si>
    <t>51-510-56-00-5620</t>
  </si>
  <si>
    <t>51-510-56-00-5630</t>
  </si>
  <si>
    <t>51-510-56-00-5635</t>
  </si>
  <si>
    <t>51-510-56-00-5638</t>
  </si>
  <si>
    <t>TREATMENT FACILITY SUPPLIES</t>
  </si>
  <si>
    <t>51-510-56-00-5640</t>
  </si>
  <si>
    <t>51-510-56-00-5664</t>
  </si>
  <si>
    <t>51-510-56-00-5695</t>
  </si>
  <si>
    <t>51-510-60-00-6079</t>
  </si>
  <si>
    <t>51-510-75-00-7502</t>
  </si>
  <si>
    <t>GRANDE RESERVE COURT ORDER</t>
  </si>
  <si>
    <t>Debt Service - 2007A Bond</t>
  </si>
  <si>
    <t>51-510-83-00-8000</t>
  </si>
  <si>
    <t>51-510-83-00-8050</t>
  </si>
  <si>
    <t>Debt Service - 2002 Capital Appreciation Debt Certificates</t>
  </si>
  <si>
    <t>51-510-85-00-8000</t>
  </si>
  <si>
    <t>Debt Service - 2003 Debt Certificates</t>
  </si>
  <si>
    <t>51-510-86-00-8000</t>
  </si>
  <si>
    <t>51-510-86-00-8050</t>
  </si>
  <si>
    <t>Debt Service - 2006A Refunding Debt Certificates</t>
  </si>
  <si>
    <t>51-510-87-00-8000</t>
  </si>
  <si>
    <t>51-510-87-00-8050</t>
  </si>
  <si>
    <t>Debt Service - 2005C Bond</t>
  </si>
  <si>
    <t>51-510-88-00-8000</t>
  </si>
  <si>
    <t>51-510-88-00-8050</t>
  </si>
  <si>
    <t>Debt Service - IEPA Loan L17-156300</t>
  </si>
  <si>
    <t>51-510-89-00-8000</t>
  </si>
  <si>
    <t>51-510-89-00-8050</t>
  </si>
  <si>
    <t>TRANSFER TO GENERAL</t>
  </si>
  <si>
    <t>52-000-40-00-4009</t>
  </si>
  <si>
    <t xml:space="preserve">PROPERTY TAXES - 2004B BOND            </t>
  </si>
  <si>
    <t>52-000-40-00-4013</t>
  </si>
  <si>
    <t xml:space="preserve">PROPERTY TAXES - 2005D BOND            </t>
  </si>
  <si>
    <t>52-000-40-00-4014</t>
  </si>
  <si>
    <t xml:space="preserve">PROPERTY TAXES - 2008 BOND            </t>
  </si>
  <si>
    <t>52-000-44-00-4435</t>
  </si>
  <si>
    <t>SEWER MAINTENANCE FEES</t>
  </si>
  <si>
    <t>52-000-44-00-4455</t>
  </si>
  <si>
    <t>SW CONNECTION FEES - OPERATIONS</t>
  </si>
  <si>
    <t>52-000-44-00-4456</t>
  </si>
  <si>
    <t>SW CONNECTION FEES - CAPITAL</t>
  </si>
  <si>
    <t>52-000-44-00-4457</t>
  </si>
  <si>
    <t>SW CONNECTION FEES - ROB ROY</t>
  </si>
  <si>
    <t>52-000-44-00-4465</t>
  </si>
  <si>
    <t>RIVER CROSSING FEES</t>
  </si>
  <si>
    <t>52-000-45-00-4500</t>
  </si>
  <si>
    <t>52-000-46-00-4690</t>
  </si>
  <si>
    <t>52-000-49-00-4901</t>
  </si>
  <si>
    <t>52-520-50-00-5010</t>
  </si>
  <si>
    <t>52-520-50-00-5020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</si>
  <si>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</si>
  <si>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</si>
  <si>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</si>
  <si>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</si>
  <si>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</si>
  <si>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</si>
  <si>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</si>
  <si>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</si>
  <si>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</si>
  <si>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</si>
  <si>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</si>
  <si>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</si>
  <si>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</si>
  <si>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</si>
  <si>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52-520-56-00-5635</t>
  </si>
  <si>
    <t>52-520-56-00-5640</t>
  </si>
  <si>
    <t>52-520-56-00-5695</t>
  </si>
  <si>
    <t>52-520-60-00-6079</t>
  </si>
  <si>
    <t>52-520-75-00-7500</t>
  </si>
  <si>
    <t>LENNAR - RAINTREE SEWER RECPATURE</t>
  </si>
  <si>
    <t>Debt Service - 2004B Bond</t>
  </si>
  <si>
    <t>52-520-84-00-8000</t>
  </si>
  <si>
    <t>52-520-84-00-8050</t>
  </si>
  <si>
    <t>52-520-90-00-8000</t>
  </si>
  <si>
    <t>52-520-90-00-8050</t>
  </si>
  <si>
    <t>Debt Service - 2004A Bond</t>
  </si>
  <si>
    <t>52-520-91-00-8000</t>
  </si>
  <si>
    <t>52-520-91-00-8050</t>
  </si>
  <si>
    <t>Debt Service - 2005D Bond</t>
  </si>
  <si>
    <t>52-520-93-00-8050</t>
  </si>
  <si>
    <t>Debt Service - 2008 Refunding Bond</t>
  </si>
  <si>
    <t>52-520-94-00-8050</t>
  </si>
  <si>
    <t>Debt Service - 2011 Refunding Bond</t>
  </si>
  <si>
    <t>Debt Service - IEPA Loan L17-013000</t>
  </si>
  <si>
    <t>52-520-95-00-8000</t>
  </si>
  <si>
    <t>52-520-95-00-8050</t>
  </si>
  <si>
    <t>Debt Service - IEPA Loan L17-115300</t>
  </si>
  <si>
    <t>52-520-96-00-8000</t>
  </si>
  <si>
    <t>52-520-96-00-8050</t>
  </si>
  <si>
    <t>72-000-47-00-4703</t>
  </si>
  <si>
    <t>AUTUMN CREEK</t>
  </si>
  <si>
    <t>72-000-47-00-4704</t>
  </si>
  <si>
    <t>BLACKBERRY WOODS</t>
  </si>
  <si>
    <t>72-000-47-00-4706</t>
  </si>
  <si>
    <t>CALEDONIA</t>
  </si>
  <si>
    <t>72-720-60-00-6032</t>
  </si>
  <si>
    <t>MOSIER HOLDING COSTS</t>
  </si>
  <si>
    <t>72-720-60-00-6036</t>
  </si>
  <si>
    <t>RAINTREE VILLAGE</t>
  </si>
  <si>
    <t>72-720-60-00-6044</t>
  </si>
  <si>
    <t>72-720-60-00-6045</t>
  </si>
  <si>
    <t>RIVERFRONT PARK</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</si>
  <si>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</si>
  <si>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</si>
  <si>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</si>
  <si>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</si>
  <si>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</si>
  <si>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</si>
  <si>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</si>
  <si>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</si>
  <si>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</si>
  <si>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</si>
  <si>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</si>
  <si>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</si>
  <si>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</si>
  <si>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</si>
  <si>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</si>
  <si>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</si>
  <si>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</si>
  <si>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</si>
  <si>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</si>
  <si>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</si>
  <si>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</si>
  <si>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79-790-56-00-5610</t>
  </si>
  <si>
    <t>79-790-56-00-5620</t>
  </si>
  <si>
    <t>79-790-56-00-5630</t>
  </si>
  <si>
    <t>79-790-56-00-5635</t>
  </si>
  <si>
    <t>79-790-56-00-5640</t>
  </si>
  <si>
    <t>CONCESSION WAGES</t>
  </si>
  <si>
    <t>PRE-SCHOOL WAGES</t>
  </si>
  <si>
    <t>INSTRUCTORS WAGES</t>
  </si>
  <si>
    <t>SCHOLARSHIPS</t>
  </si>
  <si>
    <t>PROGRAM REFUNDS</t>
  </si>
  <si>
    <t>HOMETOWN DAYS SUPPLIES</t>
  </si>
  <si>
    <t>PROGRAM SUPPLIES</t>
  </si>
  <si>
    <t>CONCESSION SUPPLIES</t>
  </si>
  <si>
    <t>80-000-44-00-4441</t>
  </si>
  <si>
    <t>80-000-44-00-4444</t>
  </si>
  <si>
    <t>MEMBERSHIP FEES</t>
  </si>
  <si>
    <t>80-000-44-00-4445</t>
  </si>
  <si>
    <t>GUEST FEES</t>
  </si>
  <si>
    <t>80-000-44-00-4446</t>
  </si>
  <si>
    <t>SWIM CLASS FEES</t>
  </si>
  <si>
    <t>80-000-44-00-4447</t>
  </si>
  <si>
    <t>PERSONAL TRAINING FEES</t>
  </si>
  <si>
    <t>80-000-44-00-4448</t>
  </si>
  <si>
    <t>TANNING SESSION FEES</t>
  </si>
  <si>
    <t>80-000-48-00-4820</t>
  </si>
  <si>
    <t>80-000-48-00-4846</t>
  </si>
  <si>
    <t>80-000-48-00-4850</t>
  </si>
  <si>
    <t>80-800-50-00-5010</t>
  </si>
  <si>
    <t>80-800-50-00-5015</t>
  </si>
  <si>
    <t>80-800-50-00-5046</t>
  </si>
  <si>
    <t>80-800-50-00-5052</t>
  </si>
  <si>
    <t>80-800-52-00-5212</t>
  </si>
  <si>
    <t>80-800-52-00-5214</t>
  </si>
  <si>
    <t>80-800-54-00-5426</t>
  </si>
  <si>
    <t>80-800-54-00-5440</t>
  </si>
  <si>
    <t>80-800-54-00-5452</t>
  </si>
  <si>
    <t>80-800-54-00-5462</t>
  </si>
  <si>
    <t>80-800-54-00-5480</t>
  </si>
  <si>
    <t>80-800-54-00-5485</t>
  </si>
  <si>
    <t>80-800-54-00-5495</t>
  </si>
  <si>
    <t>80-800-54-00-5496</t>
  </si>
  <si>
    <t>80-800-54-00-5497</t>
  </si>
  <si>
    <t>PROPERTY TAX PAYMENT</t>
  </si>
  <si>
    <t>80-800-56-00-5606</t>
  </si>
  <si>
    <t>80-800-56-00-5607</t>
  </si>
  <si>
    <t>80-800-56-00-5610</t>
  </si>
  <si>
    <t>80-800-56-00-5620</t>
  </si>
  <si>
    <t>80-800-56-00-5635</t>
  </si>
  <si>
    <t>80-800-56-00-5640</t>
  </si>
  <si>
    <t>80-800-56-00-5645</t>
  </si>
  <si>
    <t>80-800-56-00-5695</t>
  </si>
  <si>
    <t>82-000-41-00-4120</t>
  </si>
  <si>
    <t>82-000-41-00-4170</t>
  </si>
  <si>
    <t>82-000-42-00-4211</t>
  </si>
  <si>
    <t>DEVELOPMENT FEES - BOOKS</t>
  </si>
  <si>
    <t>82-000-43-00-4330</t>
  </si>
  <si>
    <t>LIBRARY FINES</t>
  </si>
  <si>
    <t>82-000-44-00-4401</t>
  </si>
  <si>
    <t>LIBRARY SUBSCRIPTION CARDS</t>
  </si>
  <si>
    <t>82-000-44-00-4422</t>
  </si>
  <si>
    <t>COPY FEES</t>
  </si>
  <si>
    <t>82-000-44-00-4440</t>
  </si>
  <si>
    <t>82-000-45-00-4500</t>
  </si>
  <si>
    <t>82-000-48-00-4820</t>
  </si>
  <si>
    <t>82-000-48-00-4824</t>
  </si>
  <si>
    <t>DVD RENTAL INCOME</t>
  </si>
  <si>
    <t>82-000-48-00-4832</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</si>
  <si>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</si>
  <si>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</si>
  <si>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</si>
  <si>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</si>
  <si>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</si>
  <si>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</si>
  <si>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</si>
  <si>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</si>
  <si>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</si>
  <si>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</si>
  <si>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</si>
  <si>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</si>
  <si>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</si>
  <si>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</si>
  <si>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</si>
  <si>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</si>
  <si>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</si>
  <si>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</si>
  <si>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</si>
  <si>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</si>
  <si>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</si>
  <si>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</si>
  <si>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82-820-56-00-5635</t>
  </si>
  <si>
    <t>82-820-56-00-5640</t>
  </si>
  <si>
    <t>82-820-56-00-5671</t>
  </si>
  <si>
    <t>LIBRARY PROGRAMMING</t>
  </si>
  <si>
    <t>82-820-56-00-5676</t>
  </si>
  <si>
    <t>EMPLOYEE RECOGNITION</t>
  </si>
  <si>
    <t>82-820-56-00-5680</t>
  </si>
  <si>
    <t>ADULT BOOKS</t>
  </si>
  <si>
    <t>82-820-56-00-5681</t>
  </si>
  <si>
    <t>JUVENILE BOOKS</t>
  </si>
  <si>
    <t>82-820-56-00-5682</t>
  </si>
  <si>
    <t>REFERENCE BOOKS</t>
  </si>
  <si>
    <t>82-820-56-00-5683</t>
  </si>
  <si>
    <t>AUDIO BOOKS</t>
  </si>
  <si>
    <t>82-820-56-00-5684</t>
  </si>
  <si>
    <t>82-820-56-00-5685</t>
  </si>
  <si>
    <t>DVD'S</t>
  </si>
  <si>
    <t>82-820-56-00-5686</t>
  </si>
  <si>
    <t>82-820-56-00-5698</t>
  </si>
  <si>
    <t>82-820-56-00-5699</t>
  </si>
  <si>
    <t>Debt Service - 2005B Bond</t>
  </si>
  <si>
    <t>Debt Service - 2006 Bond</t>
  </si>
  <si>
    <t>82-820-99-00-9984</t>
  </si>
  <si>
    <t>Library Debt Service</t>
  </si>
  <si>
    <t>85-000-45-00-4500</t>
  </si>
  <si>
    <t>85-850-54-00-5420</t>
  </si>
  <si>
    <t>ADMINISTRATIVE FEES</t>
  </si>
  <si>
    <t>Debt Service - 2002 Bond</t>
  </si>
  <si>
    <t>85-850-98-00-8000</t>
  </si>
  <si>
    <t>85-850-98-00-8050</t>
  </si>
  <si>
    <t>87-000-45-00-4500</t>
  </si>
  <si>
    <t>Countryside TIF</t>
  </si>
  <si>
    <t>87-870-54-00-5420</t>
  </si>
  <si>
    <t>87-870-54-00-5498</t>
  </si>
  <si>
    <t>Debt Service - 2005 Bond</t>
  </si>
  <si>
    <t>87-870-80-00-8000</t>
  </si>
  <si>
    <t>87-870-80-00-8050</t>
  </si>
  <si>
    <t>Downtown TIF</t>
  </si>
  <si>
    <t>88-880-54-00-5420</t>
  </si>
  <si>
    <t>88-880-60-00-6079</t>
  </si>
  <si>
    <t>Revenue</t>
  </si>
  <si>
    <t>Finance</t>
  </si>
  <si>
    <t>Police</t>
  </si>
  <si>
    <t>Expenditures</t>
  </si>
  <si>
    <t>Surplus(Deficit)</t>
  </si>
  <si>
    <t>Expenses</t>
  </si>
  <si>
    <t>Fund Balance</t>
  </si>
  <si>
    <t>01-640-99-00-9982</t>
  </si>
  <si>
    <t>TRANSFER TO LIBRARY OPERATIONS</t>
  </si>
  <si>
    <t>82-000-49-00-4901</t>
  </si>
  <si>
    <t>83-830-83-00-8000</t>
  </si>
  <si>
    <t>83-830-83-00-8050</t>
  </si>
  <si>
    <t>83-830-84-00-8000</t>
  </si>
  <si>
    <t>83-830-84-00-8050</t>
  </si>
  <si>
    <t>Administration</t>
  </si>
  <si>
    <t>Engineering</t>
  </si>
  <si>
    <t>Fund Balance Equiv</t>
  </si>
  <si>
    <t>Recreation Center</t>
  </si>
  <si>
    <t>GENERAL FUND - 01</t>
  </si>
  <si>
    <t>Fox Hill SSA - 11</t>
  </si>
  <si>
    <t>Sunflower SSA - 12</t>
  </si>
  <si>
    <t>Municipal Building - 16</t>
  </si>
  <si>
    <t>City-Wide Capital - 23</t>
  </si>
  <si>
    <t>Debt Service - 42</t>
  </si>
  <si>
    <t>Land Cash - 72</t>
  </si>
  <si>
    <t>Parks and Recreation - 79</t>
  </si>
  <si>
    <t>Water - 51</t>
  </si>
  <si>
    <t>Sewer - 52</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</si>
  <si>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</si>
  <si>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</si>
  <si>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</si>
  <si>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</si>
  <si>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</si>
  <si>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</si>
  <si>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</si>
  <si>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</si>
  <si>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</si>
  <si>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</si>
  <si>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</si>
  <si>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</si>
  <si>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</si>
  <si>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</si>
  <si>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</si>
  <si>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</si>
  <si>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</si>
  <si>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</si>
  <si>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</si>
  <si>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</si>
  <si>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</si>
  <si>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</si>
  <si>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</si>
  <si>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</si>
  <si>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</si>
  <si>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</si>
  <si>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</si>
  <si>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</si>
  <si>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80-800-52-00-5216</t>
  </si>
  <si>
    <t>80-800-52-00-5222</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</si>
  <si>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</si>
  <si>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</si>
  <si>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</si>
  <si>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</si>
  <si>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</si>
  <si>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</si>
  <si>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</si>
  <si>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</si>
  <si>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</si>
  <si>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</si>
  <si>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</si>
  <si>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</si>
  <si>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</si>
  <si>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01-000-46-00-4672</t>
  </si>
  <si>
    <t>REIMB - LIBRARY INSURANCE</t>
  </si>
  <si>
    <t>51-000-46-00-4670</t>
  </si>
  <si>
    <t>52-000-46-00-4670</t>
  </si>
  <si>
    <t>79-000-46-00-4670</t>
  </si>
  <si>
    <t>82-000-46-00-4670</t>
  </si>
  <si>
    <t>Administrative Services</t>
  </si>
  <si>
    <t>Library Operations</t>
  </si>
  <si>
    <t>Community Development</t>
  </si>
  <si>
    <t>51-000-46-00-4671</t>
  </si>
  <si>
    <t>82-000-46-00-4671</t>
  </si>
  <si>
    <t>01-000-49-00-4984</t>
  </si>
  <si>
    <t>84-000-49-00-4982</t>
  </si>
  <si>
    <t>TRANSFER FROM LIBRARY OPS</t>
  </si>
  <si>
    <t>84-840-99-00-9901</t>
  </si>
  <si>
    <t>Cash Flow - Surplus(Deficit)</t>
  </si>
  <si>
    <t>General</t>
  </si>
  <si>
    <t>Fox Hill</t>
  </si>
  <si>
    <t>Sunflower</t>
  </si>
  <si>
    <t>Water</t>
  </si>
  <si>
    <t>Sewer</t>
  </si>
  <si>
    <t>Land Cash</t>
  </si>
  <si>
    <t>NON-HOME RULE SALES TAX</t>
  </si>
  <si>
    <t>01-220-50-00-5015</t>
  </si>
  <si>
    <t>85-850-56-00-5619</t>
  </si>
  <si>
    <t>2004C Bond</t>
  </si>
  <si>
    <t>2005A Bond</t>
  </si>
  <si>
    <t>Clark Property</t>
  </si>
  <si>
    <t>2015 Bond</t>
  </si>
  <si>
    <t>01-410-54-00-5454</t>
  </si>
  <si>
    <t>SIDEWALK PROGRAM</t>
  </si>
  <si>
    <t>52-520-99-00-9999</t>
  </si>
  <si>
    <t>79-795-50-00-5010</t>
  </si>
  <si>
    <t>79-795-50-00-5015</t>
  </si>
  <si>
    <t>79-795-50-00-5020</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</si>
  <si>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</si>
  <si>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</si>
  <si>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</si>
  <si>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</si>
  <si>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</si>
  <si>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</si>
  <si>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</si>
  <si>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</si>
  <si>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</si>
  <si>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</si>
  <si>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</si>
  <si>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</si>
  <si>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</si>
  <si>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</si>
  <si>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</si>
  <si>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</si>
  <si>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</si>
  <si>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</si>
  <si>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</si>
  <si>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79-795-54-00-5496</t>
  </si>
  <si>
    <t>79-795-56-00-5602</t>
  </si>
  <si>
    <t>79-795-56-00-5606</t>
  </si>
  <si>
    <t>79-795-56-00-5607</t>
  </si>
  <si>
    <t>79-795-56-00-5610</t>
  </si>
  <si>
    <t>79-795-56-00-5620</t>
  </si>
  <si>
    <t>79-795-56-00-5630</t>
  </si>
  <si>
    <t>79-795-56-00-5635</t>
  </si>
  <si>
    <t>79-795-56-00-5640</t>
  </si>
  <si>
    <t>79-795-56-00-5695</t>
  </si>
  <si>
    <t>SEIZED VEHICLE PROCEEDS</t>
  </si>
  <si>
    <t>15-155-60-00-6075</t>
  </si>
  <si>
    <t>OTHER LICENSES &amp; PERMITS</t>
  </si>
  <si>
    <t>01-110-54-00-5485</t>
  </si>
  <si>
    <t>01-150-54-00-5485</t>
  </si>
  <si>
    <t>01-210-54-00-5485</t>
  </si>
  <si>
    <t>01-220-54-00-5485</t>
  </si>
  <si>
    <t>11-000-45-00-4500</t>
  </si>
  <si>
    <t>12-000-45-00-4500</t>
  </si>
  <si>
    <t>42-000-45-00-4500</t>
  </si>
  <si>
    <t>51-000-46-00-4690</t>
  </si>
  <si>
    <t>01-000-40-00-4044</t>
  </si>
  <si>
    <t>23-230-60-00-6094</t>
  </si>
  <si>
    <t>KENCOM</t>
  </si>
  <si>
    <t>01-640-54-00-5449</t>
  </si>
  <si>
    <t>88-880-54-00-5466</t>
  </si>
  <si>
    <t>88-880-60-00-6000</t>
  </si>
  <si>
    <t>PROJECT COSTS</t>
  </si>
  <si>
    <t>72-000-41-00-4171</t>
  </si>
  <si>
    <t>72-000-41-00-4173</t>
  </si>
  <si>
    <t>72-000-41-00-4174</t>
  </si>
  <si>
    <t>72-000-41-00-4175</t>
  </si>
  <si>
    <t>01-640-54-00-5450</t>
  </si>
  <si>
    <t>INFORMATION TECHNOLOGY SERVICES</t>
  </si>
  <si>
    <t>GRANDE RESERVE PARK A</t>
  </si>
  <si>
    <t>GRANDE RESERVE PARK B</t>
  </si>
  <si>
    <t>72-720-60-00-6046</t>
  </si>
  <si>
    <t>72-720-60-00-6047</t>
  </si>
  <si>
    <t>79-000-48-00-4825</t>
  </si>
  <si>
    <t>79-790-54-00-5495</t>
  </si>
  <si>
    <t>88-000-45-00-4500</t>
  </si>
  <si>
    <t>23-000-41-00-4176</t>
  </si>
  <si>
    <t>83-000-45-00-4500</t>
  </si>
  <si>
    <t>84-000-45-00-4500</t>
  </si>
  <si>
    <t>82-820-52-00-5231</t>
  </si>
  <si>
    <t>CITY</t>
  </si>
  <si>
    <t>Park &amp; Recreation</t>
  </si>
  <si>
    <t xml:space="preserve">Park &amp; Rec </t>
  </si>
  <si>
    <t>Rec Ctr</t>
  </si>
  <si>
    <t>Library</t>
  </si>
  <si>
    <t>Library Ops</t>
  </si>
  <si>
    <t>TIF LIQUIDATION</t>
  </si>
  <si>
    <t>01-220-56-00-5695</t>
  </si>
  <si>
    <t>OSLAD GRANT - PRAIRIE MEADOWS</t>
  </si>
  <si>
    <t>OSLAD GRANT - RAINTREE</t>
  </si>
  <si>
    <t>OSLAD GRANT - RIVERFRONT GRANT</t>
  </si>
  <si>
    <t>85-850-99-00-9942</t>
  </si>
  <si>
    <t>42-000-49-00-4985</t>
  </si>
  <si>
    <t>TRANSFER FROM FOX INDUSTRIAL TIF</t>
  </si>
  <si>
    <t>42-420-98-00-8000</t>
  </si>
  <si>
    <t>42-420-98-00-8050</t>
  </si>
  <si>
    <t>79-000-46-00-4690</t>
  </si>
  <si>
    <t>01-640-54-00-5462</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</si>
  <si>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</si>
  <si>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</si>
  <si>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</si>
  <si>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</si>
  <si>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</si>
  <si>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</si>
  <si>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</si>
  <si>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</si>
  <si>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</si>
  <si>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</si>
  <si>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</si>
  <si>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</si>
  <si>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</si>
  <si>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</si>
  <si>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</si>
  <si>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</si>
  <si>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</si>
  <si>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01-640-54-00-5479</t>
  </si>
  <si>
    <t>82-820-54-00-5498</t>
  </si>
  <si>
    <t>82-820-99-00-9983</t>
  </si>
  <si>
    <t>TRANSFER TO LIBRARY DEBT SERVICE</t>
  </si>
  <si>
    <t>83-000-49-00-4982</t>
  </si>
  <si>
    <t>84-840-60-00-6020</t>
  </si>
  <si>
    <t>BUILDINGS &amp; STRUCTURES</t>
  </si>
  <si>
    <t>Non-Abatement of Debt Service</t>
  </si>
  <si>
    <t>Fox Industrial TIF</t>
  </si>
  <si>
    <t>23-000-41-00-4178</t>
  </si>
  <si>
    <t>Budget</t>
  </si>
  <si>
    <t xml:space="preserve">DEVELOPMENT FEES </t>
  </si>
  <si>
    <t>84-000-42-00-4214</t>
  </si>
  <si>
    <t>01-410-54-00-5446</t>
  </si>
  <si>
    <t>PROPERTY &amp; BLDG MAINT SERVICES</t>
  </si>
  <si>
    <t>PROPERTY &amp; BLDG MAINT SUPPLIES</t>
  </si>
  <si>
    <t>51-510-54-00-5445</t>
  </si>
  <si>
    <t>TREATMENT FACILITY SERVICES</t>
  </si>
  <si>
    <t>52-520-54-00-5444</t>
  </si>
  <si>
    <t>LIFT STATION SERVICES</t>
  </si>
  <si>
    <t>01-110-52-00-5235</t>
  </si>
  <si>
    <t>01-110-52-00-5236</t>
  </si>
  <si>
    <t>01-110-52-00-5237</t>
  </si>
  <si>
    <t>01-110-52-00-5238</t>
  </si>
  <si>
    <t>01-540-54-00-5441</t>
  </si>
  <si>
    <t>GARBAGE SERVICES - SENIOR SUBSIDY</t>
  </si>
  <si>
    <t>01-210-50-00-5011</t>
  </si>
  <si>
    <t>SALARIES - POLICE CHIEF &amp; DEPUTIES</t>
  </si>
  <si>
    <t>SALARIES - SERGEANTS</t>
  </si>
  <si>
    <t>.</t>
  </si>
  <si>
    <t>MDT - ALERTS FEE</t>
  </si>
  <si>
    <t>01-210-56-00-5650</t>
  </si>
  <si>
    <t>COMMUNITY SERVICES</t>
  </si>
  <si>
    <t>OFFENDER REGISTRATION FEES</t>
  </si>
  <si>
    <t>ELECTED OFFICIAL - GROUP HEALTH INSURANCE</t>
  </si>
  <si>
    <t>ELECTED OFFICIAL - GROUP LIFE INSURANCE</t>
  </si>
  <si>
    <t>ELECTED OFFICIAL - DENTAL INSURANCE</t>
  </si>
  <si>
    <t>ELECTED OFFICIAL - VISION INSURANCE</t>
  </si>
  <si>
    <t>Motor Fuel Tax</t>
  </si>
  <si>
    <t>Municipal Bldg</t>
  </si>
  <si>
    <t>Police Capital</t>
  </si>
  <si>
    <t>City Wide Capital</t>
  </si>
  <si>
    <t>City</t>
  </si>
  <si>
    <t>EE Ins Contributions</t>
  </si>
  <si>
    <t>Net Ins Costs</t>
  </si>
  <si>
    <t>COBRA Contri</t>
  </si>
  <si>
    <t>Retiree Contri</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</si>
  <si>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</si>
  <si>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</si>
  <si>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</si>
  <si>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</si>
  <si>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</si>
  <si>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</si>
  <si>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</si>
  <si>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</si>
  <si>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</si>
  <si>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</si>
  <si>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 xml:space="preserve">Revenue </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</si>
  <si>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</si>
  <si>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</si>
  <si>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</si>
  <si>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</si>
  <si>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</si>
  <si>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</si>
  <si>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</si>
  <si>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</si>
  <si>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</si>
  <si>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</si>
  <si>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</si>
  <si>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</si>
  <si>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</si>
  <si>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</si>
  <si>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</si>
  <si>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Contingencies</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</si>
  <si>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</si>
  <si>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</si>
  <si>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</si>
  <si>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</si>
  <si>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</si>
  <si>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</si>
  <si>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</si>
  <si>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</si>
  <si>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</si>
  <si>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Municipal Building Fund (16)</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</si>
  <si>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</si>
  <si>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</si>
  <si>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</si>
  <si>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</si>
  <si>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</si>
  <si>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</si>
  <si>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</si>
  <si>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</si>
  <si>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</si>
  <si>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</si>
  <si>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 xml:space="preserve">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</si>
  <si>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</si>
  <si>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</si>
  <si>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</si>
  <si>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Recreation Center Fund (80)</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</si>
  <si>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</si>
  <si>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</si>
  <si>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Debt Service Fund (83)</t>
  </si>
  <si>
    <t>Library Capital Fund (84)</t>
  </si>
  <si>
    <t>Fox Industrial TIF Fund (85)</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</si>
  <si>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</si>
  <si>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</si>
  <si>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</si>
  <si>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</si>
  <si>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The Fox Industrial TIF was created in 2001, in order to finance public infrastructure improvements for the Fox Industrial area.  This TIF was closed out in fiscal year 2012.</t>
  </si>
  <si>
    <t>ADMINISTRATION DEPARTMENT</t>
  </si>
  <si>
    <t>Total Administration</t>
  </si>
  <si>
    <t>FINANCE DEPARTMENT</t>
  </si>
  <si>
    <t>ENGINEERING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</si>
  <si>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</si>
  <si>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</si>
  <si>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</si>
  <si>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</si>
  <si>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</si>
  <si>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</si>
  <si>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</si>
  <si>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Revenue Budget Summary - All Funds</t>
  </si>
  <si>
    <t>FUND</t>
  </si>
  <si>
    <t>General Fund</t>
  </si>
  <si>
    <t>Special Revenue Funds</t>
  </si>
  <si>
    <t>Parks and Recreation</t>
  </si>
  <si>
    <t>Fox Hill SSA</t>
  </si>
  <si>
    <t>Sunflower SSA</t>
  </si>
  <si>
    <t>Debt Service Fund</t>
  </si>
  <si>
    <t>Capital Project Funds</t>
  </si>
  <si>
    <t>Municipal Building</t>
  </si>
  <si>
    <t>Public Works Capital</t>
  </si>
  <si>
    <t>City-Wide Capital</t>
  </si>
  <si>
    <t>Enterprise Funds</t>
  </si>
  <si>
    <t>Library Funds</t>
  </si>
  <si>
    <t>Library Capital</t>
  </si>
  <si>
    <t>Expenditure Budget Summary - All Funds</t>
  </si>
  <si>
    <t>Library Fund</t>
  </si>
  <si>
    <t>Revenues by Category</t>
  </si>
  <si>
    <t xml:space="preserve">Other </t>
  </si>
  <si>
    <t>Inter-</t>
  </si>
  <si>
    <t>Licenses &amp;</t>
  </si>
  <si>
    <t>Fines &amp;</t>
  </si>
  <si>
    <t xml:space="preserve">Charges </t>
  </si>
  <si>
    <t>Investment</t>
  </si>
  <si>
    <t>Reimb-</t>
  </si>
  <si>
    <t>Miscel-</t>
  </si>
  <si>
    <t>Land</t>
  </si>
  <si>
    <t xml:space="preserve">Financing </t>
  </si>
  <si>
    <t>Fund</t>
  </si>
  <si>
    <t>governmental</t>
  </si>
  <si>
    <t>Permits</t>
  </si>
  <si>
    <t>Forfeits</t>
  </si>
  <si>
    <t>for Services</t>
  </si>
  <si>
    <t>Earnings</t>
  </si>
  <si>
    <t>ursements</t>
  </si>
  <si>
    <t>laneous</t>
  </si>
  <si>
    <t>Cash</t>
  </si>
  <si>
    <t>Sources</t>
  </si>
  <si>
    <t>Total</t>
  </si>
  <si>
    <t>Expenditures by Category</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</si>
  <si>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</si>
  <si>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</si>
  <si>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</si>
  <si>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</si>
  <si>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</si>
  <si>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</si>
  <si>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</si>
  <si>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</si>
  <si>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</si>
  <si>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</si>
  <si>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</si>
  <si>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</si>
  <si>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</si>
  <si>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</si>
  <si>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</si>
  <si>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</si>
  <si>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</si>
  <si>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</si>
  <si>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</si>
  <si>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</si>
  <si>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</si>
  <si>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</si>
  <si>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</si>
  <si>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16-000-42-00-4216</t>
  </si>
  <si>
    <t>BUILD PROGRAM</t>
  </si>
  <si>
    <t>16-160-54-00-5405</t>
  </si>
  <si>
    <t>51-000-42-00-4216</t>
  </si>
  <si>
    <t>51-510-54-00-5405</t>
  </si>
  <si>
    <t>52-000-42-00-4216</t>
  </si>
  <si>
    <t>52-520-54-00-5405</t>
  </si>
  <si>
    <t>Motor Fuel Tax  - 15</t>
  </si>
  <si>
    <t>Cash Flow - Fund Balance</t>
  </si>
  <si>
    <t>TOTAL REVENUES</t>
  </si>
  <si>
    <t>TOTAL EXPENDITURES</t>
  </si>
  <si>
    <t>52-520-92-00-8000</t>
  </si>
  <si>
    <t>52-520-92-00-8050</t>
  </si>
  <si>
    <t xml:space="preserve">KENNEDY RD BIKE TRAIL </t>
  </si>
  <si>
    <t>PARK RENTALS</t>
  </si>
  <si>
    <t>51-000-48-00-4820</t>
  </si>
  <si>
    <t xml:space="preserve">RENTAL INCOME </t>
  </si>
  <si>
    <t>23-230-81-00-8000</t>
  </si>
  <si>
    <t>23-230-81-00-8050</t>
  </si>
  <si>
    <t>2002 Fox Industrial TIF Bond</t>
  </si>
  <si>
    <t>TRANSFER TO 2011 BOND ESCROW</t>
  </si>
  <si>
    <t>52-520-99-00-9951</t>
  </si>
  <si>
    <t>23-000-49-00-4905</t>
  </si>
  <si>
    <t>Kendall County Loan - River Road Bridge</t>
  </si>
  <si>
    <t>Route 47 Expansion Project</t>
  </si>
  <si>
    <t>ELECTRONIC CITATION FEES</t>
  </si>
  <si>
    <t>TRANSFER TO LAND CASH</t>
  </si>
  <si>
    <t>84-840-56-00-5683</t>
  </si>
  <si>
    <t>84-840-56-00-5684</t>
  </si>
  <si>
    <t>84-840-56-00-5685</t>
  </si>
  <si>
    <t>84-840-56-00-5635</t>
  </si>
  <si>
    <t>BOOKS</t>
  </si>
  <si>
    <t>84-840-56-00-5686</t>
  </si>
  <si>
    <t>23-000-42-00-4216</t>
  </si>
  <si>
    <t>BUILD PROGRAM PERMITS</t>
  </si>
  <si>
    <t>23-230-54-00-5405</t>
  </si>
  <si>
    <t>79-000-44-00-4402</t>
  </si>
  <si>
    <t>SPECIAL EVENTS</t>
  </si>
  <si>
    <t>79-000-44-00-4403</t>
  </si>
  <si>
    <t>CHILD DEVELOPMENT</t>
  </si>
  <si>
    <t>79-000-44-00-4404</t>
  </si>
  <si>
    <t>MFT</t>
  </si>
  <si>
    <t>79-790-56-00-5695</t>
  </si>
  <si>
    <t>FY 2018</t>
  </si>
  <si>
    <t>CIRCUIT COURT FINES</t>
  </si>
  <si>
    <t>Total Finance</t>
  </si>
  <si>
    <t>Total Engineering</t>
  </si>
  <si>
    <t xml:space="preserve">Total Police </t>
  </si>
  <si>
    <t xml:space="preserve">Total Public Works </t>
  </si>
  <si>
    <t>Total Admin Services &amp; Transfers</t>
  </si>
  <si>
    <t xml:space="preserve">Library Capital </t>
  </si>
  <si>
    <t>SALARIES &amp; WAGES</t>
  </si>
  <si>
    <t>01-110-50-00-5015</t>
  </si>
  <si>
    <t>EXCISE TAX</t>
  </si>
  <si>
    <t>23-230-60-00-6058</t>
  </si>
  <si>
    <t xml:space="preserve">US 34 (IL 47 / ORCHARD RD) PROJECT </t>
  </si>
  <si>
    <t>23-230-60-00-6059</t>
  </si>
  <si>
    <t>RTP GRANT - CLARK PARK</t>
  </si>
  <si>
    <t>CLARK PARK</t>
  </si>
  <si>
    <t>TRANSFER FROM LIBRARY CAPITAL</t>
  </si>
  <si>
    <t>TRANSFER TO LIBRARY CAPITAL</t>
  </si>
  <si>
    <t xml:space="preserve">TRANSFER TO GENERAL </t>
  </si>
  <si>
    <t>01-150-52-00-5216</t>
  </si>
  <si>
    <t>01-150-52-00-5222</t>
  </si>
  <si>
    <t>01-150-52-00-5223</t>
  </si>
  <si>
    <t>01-150-52-00-5224</t>
  </si>
  <si>
    <t>01-000-44-00-4451</t>
  </si>
  <si>
    <t>01-000-44-00-4452</t>
  </si>
  <si>
    <t>51-510-54-00-5401</t>
  </si>
  <si>
    <t>52-520-54-00-5401</t>
  </si>
  <si>
    <t>79-000-48-00-4843</t>
  </si>
  <si>
    <t>01-000-44-00-4472</t>
  </si>
  <si>
    <t>WATER CHARGEBACK</t>
  </si>
  <si>
    <t>SEWER CHARGEBACK</t>
  </si>
  <si>
    <t>LAND CASH CHARGEBACK</t>
  </si>
  <si>
    <t>ADMINISTRATIVE CHARGEBACK</t>
  </si>
  <si>
    <t>72-720-54-00-5401</t>
  </si>
  <si>
    <t>TRANSFER TO PARKS &amp; RECREATION</t>
  </si>
  <si>
    <t>16-000-49-00-4901</t>
  </si>
  <si>
    <t>01-640-99-00-9916</t>
  </si>
  <si>
    <t>TRANSFER TO MUNICIPAL BUILDING</t>
  </si>
  <si>
    <t>23-000-42-00-4218</t>
  </si>
  <si>
    <t>DEVELOPMENT FEES - MUNICIPAL BLDG</t>
  </si>
  <si>
    <t>Fund Balance - Municipal Building</t>
  </si>
  <si>
    <t>Fund Balance - City Wide Capital</t>
  </si>
  <si>
    <t xml:space="preserve">Check figure </t>
  </si>
  <si>
    <t>Vehicle &amp; Equipment - 25</t>
  </si>
  <si>
    <t>PD</t>
  </si>
  <si>
    <t>DEVELOPMENT FEES - POLICE CAPITAL</t>
  </si>
  <si>
    <t>PW</t>
  </si>
  <si>
    <t>DEVELOPMENT FEES - PW CAPITAL</t>
  </si>
  <si>
    <t>PK</t>
  </si>
  <si>
    <t>25-205-54-00-5462</t>
  </si>
  <si>
    <t>25-205-54-00-5495</t>
  </si>
  <si>
    <t>25-205-60-00-6060</t>
  </si>
  <si>
    <t>25-205-60-00-6070</t>
  </si>
  <si>
    <t>25-215-54-00-5405</t>
  </si>
  <si>
    <t>25-215-54-00-5448</t>
  </si>
  <si>
    <t>25-215-54-00-5485</t>
  </si>
  <si>
    <t>25-215-56-00-5620</t>
  </si>
  <si>
    <t>25-215-60-00-6060</t>
  </si>
  <si>
    <t>25-215-60-00-6070</t>
  </si>
  <si>
    <t>25-215-92-00-8000</t>
  </si>
  <si>
    <t>25-215-92-00-8050</t>
  </si>
  <si>
    <t>25-225-60-00-6035</t>
  </si>
  <si>
    <t>25-225-60-00-6060</t>
  </si>
  <si>
    <t>25-225-99-00-9921</t>
  </si>
  <si>
    <t>25-225-99-00-9972</t>
  </si>
  <si>
    <t>25-225-92-00-8000</t>
  </si>
  <si>
    <t>Check Figure for PW Building Loan - 185 Wolf Street</t>
  </si>
  <si>
    <t>25-225-92-00-8050</t>
  </si>
  <si>
    <t>Vehicle &amp; Equipment</t>
  </si>
  <si>
    <t>Vehicle and Equipment Fund (25)</t>
  </si>
  <si>
    <t>Vehicle &amp; Equip</t>
  </si>
  <si>
    <t>72-000-49-00-4925</t>
  </si>
  <si>
    <t>TRANSFER FROM VEHICLE &amp; EQUIPMENT</t>
  </si>
  <si>
    <t>Police Capital Expenditures</t>
  </si>
  <si>
    <t>Public Works Capital Expenditures</t>
  </si>
  <si>
    <t>Police Capital Fund Balance</t>
  </si>
  <si>
    <t>Public Works Capital Fund Balance</t>
  </si>
  <si>
    <t>City-Wide Capital Expenditures</t>
  </si>
  <si>
    <t>Sub-Total Expenditures</t>
  </si>
  <si>
    <t>Total Public Works</t>
  </si>
  <si>
    <t>Account Number</t>
  </si>
  <si>
    <t>Municipal Building Fund Balance</t>
  </si>
  <si>
    <t>City-Wide Capital Fund Balance</t>
  </si>
  <si>
    <t>185 Wolf Street Building</t>
  </si>
  <si>
    <t>Parks &amp; Recreation Capital</t>
  </si>
  <si>
    <t>85-850-54-00-5400</t>
  </si>
  <si>
    <t>Fund Balance Equivalent</t>
  </si>
  <si>
    <t>87-870-54-00-5425</t>
  </si>
  <si>
    <t>FY 2010</t>
  </si>
  <si>
    <t>FY 2009</t>
  </si>
  <si>
    <t>01-110-54-00-5460</t>
  </si>
  <si>
    <t>15-155-54-00-5438</t>
  </si>
  <si>
    <t>SALT STORAGE</t>
  </si>
  <si>
    <t>84-840-54-00-5460</t>
  </si>
  <si>
    <t>DEVELOPMENT FEES - PARK CAPITAL</t>
  </si>
  <si>
    <t>MISCELLANEOUS INCOME - PW CAPITAL</t>
  </si>
  <si>
    <t>INVESTMENT EARNINGS - PW CAPITAL</t>
  </si>
  <si>
    <t>INVESTMENT EARNINGS - PARK CAPITAL</t>
  </si>
  <si>
    <t>REIMB - MISCELLANEOUS - PARK CAPITAL</t>
  </si>
  <si>
    <t>INVESTMENT EARNINGS - POLICE CAPITAL</t>
  </si>
  <si>
    <t>MISCELLANEOUS INCOME - POLICE CAPITAL</t>
  </si>
  <si>
    <t>LATE PENALTIES - GARBAGE</t>
  </si>
  <si>
    <t>15-000-46-00-4690</t>
  </si>
  <si>
    <t>LATE PENALTIES - SEWER</t>
  </si>
  <si>
    <t>72-000-47-00-4708</t>
  </si>
  <si>
    <t>COUNTRY HILLS</t>
  </si>
  <si>
    <t xml:space="preserve">INFORMATIONAL </t>
  </si>
  <si>
    <t>LATE PENALTIES - WATER</t>
  </si>
  <si>
    <t>01-410-54-00-5490</t>
  </si>
  <si>
    <t>VEHICLE MAINTENANCE SERVICES</t>
  </si>
  <si>
    <t>01-410-56-00-5628</t>
  </si>
  <si>
    <t>VEHICLE MAINTENANCE SUPPLIES</t>
  </si>
  <si>
    <t>51-510-54-00-5490</t>
  </si>
  <si>
    <t>51-510-56-00-5628</t>
  </si>
  <si>
    <t>52-520-54-00-5490</t>
  </si>
  <si>
    <t>52-520-56-00-5628</t>
  </si>
  <si>
    <t>51-510-60-00-6070</t>
  </si>
  <si>
    <t>15-155-60-00-6003</t>
  </si>
  <si>
    <t>MATERIAL STORAGE BLDG CONSTRUCTION</t>
  </si>
  <si>
    <t>15-155-60-00-6025</t>
  </si>
  <si>
    <t>15-155-60-00-6089</t>
  </si>
  <si>
    <t>CANNONBALL LAFO PROJECT</t>
  </si>
  <si>
    <t>01-410-54-00-5435</t>
  </si>
  <si>
    <t>TRAFFIC SIGNAL MAINTENANCE</t>
  </si>
  <si>
    <t>ADJUDICATION SERVICES</t>
  </si>
  <si>
    <t>79-795-54-00-5497</t>
  </si>
  <si>
    <t>80-000-49-00-4979</t>
  </si>
  <si>
    <t>TRANSFER FROM PARKS &amp; REC</t>
  </si>
  <si>
    <t>79-795-99-00-9980</t>
  </si>
  <si>
    <t>TRANSFER TO RECREATION CENTER</t>
  </si>
  <si>
    <t>Fund Balance - Police Capital</t>
  </si>
  <si>
    <t>Fund Balance - Public Works Capital</t>
  </si>
  <si>
    <t>Fund Balance - Parks &amp; Rec Capital</t>
  </si>
  <si>
    <t>12-112-54-00-5416</t>
  </si>
  <si>
    <t>POND MAINTENANCE</t>
  </si>
  <si>
    <t>TRAIL MAINTENANCE</t>
  </si>
  <si>
    <t>11-111-54-00-5417</t>
  </si>
  <si>
    <t>FY 2019</t>
  </si>
  <si>
    <t>FY 20</t>
  </si>
  <si>
    <t>FY 21</t>
  </si>
  <si>
    <t>FY 22</t>
  </si>
  <si>
    <t>FY 23</t>
  </si>
  <si>
    <t>FY 24</t>
  </si>
  <si>
    <t>INFORMATIONAL ONLY</t>
  </si>
  <si>
    <t>01-210-54-00-5422</t>
  </si>
  <si>
    <t>VEHICLE &amp; EQUIPMENT CHARGEBACK</t>
  </si>
  <si>
    <t>POLICE CHARGEBACK</t>
  </si>
  <si>
    <t>52-520-60-00-6070</t>
  </si>
  <si>
    <t>PUBLIC WORKS CHARGEBACK</t>
  </si>
  <si>
    <t>01-410-54-00-5422</t>
  </si>
  <si>
    <t>01-640-54-00-5439</t>
  </si>
  <si>
    <t>AMUSEMENT TAX REBATE</t>
  </si>
  <si>
    <t>23-230-54-00-5465</t>
  </si>
  <si>
    <t>Operating Funds</t>
  </si>
  <si>
    <t>51-000-44-00-4426</t>
  </si>
  <si>
    <t>01-000-44-00-4407</t>
  </si>
  <si>
    <t>01-000-49-00-4916</t>
  </si>
  <si>
    <t>01-000-43-00-4323</t>
  </si>
  <si>
    <t>23-216-99-00-9901</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</si>
  <si>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</si>
  <si>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</si>
  <si>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</si>
  <si>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</si>
  <si>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</si>
  <si>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</si>
  <si>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</si>
  <si>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</si>
  <si>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</si>
  <si>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</si>
  <si>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</si>
  <si>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Variance from Target of 15% F/B percentage - Informational Only</t>
  </si>
  <si>
    <t>Check Figures</t>
  </si>
  <si>
    <t>United City of Yorkville - Consolidated Budget</t>
  </si>
  <si>
    <t>Yorkville Public Library - Consolidated Budget</t>
  </si>
  <si>
    <t>Yorkville Parks and Recreation - Consolidated Budget</t>
  </si>
  <si>
    <t xml:space="preserve">BUSINESS DISTRICT REBATE </t>
  </si>
  <si>
    <t>79-795-54-00-5460</t>
  </si>
  <si>
    <t>The table and graph below present the Library's funds in aggregate, similar to that of a private business (for illustrative purposes only).  All budgeted Library funds are included:  Library Operations (82); Library Debt Service (83); and Library Capital (84).</t>
  </si>
  <si>
    <t>The table and graph below present the Park &amp; Recreation funds in aggregate, similar to that of a private business (for illustrative purposes only).  All budgeted Park &amp; Recreation funds are included:  Parks &amp; Recreation (79); Recreation Center (80); and the Parks &amp; Recreation Capital portion of Vehicle &amp; Equipment (25).</t>
  </si>
  <si>
    <t>FY 2020</t>
  </si>
  <si>
    <t>FY 2021</t>
  </si>
  <si>
    <t>FY 2022</t>
  </si>
  <si>
    <t>FY 2023</t>
  </si>
  <si>
    <t>FY 2024</t>
  </si>
  <si>
    <t>FY 2025</t>
  </si>
  <si>
    <t>FY 2026</t>
  </si>
  <si>
    <t>FY 2027</t>
  </si>
  <si>
    <t>FY 2028</t>
  </si>
  <si>
    <t>FY 2029</t>
  </si>
  <si>
    <t>FY 2030</t>
  </si>
  <si>
    <t>FY 2031</t>
  </si>
  <si>
    <t>FY 2032</t>
  </si>
  <si>
    <t>FY 2033</t>
  </si>
  <si>
    <t>FY 2034</t>
  </si>
  <si>
    <t>FY 2035</t>
  </si>
  <si>
    <t>INFORMATIONAL ONLY - PROPOSED BOND SALE</t>
  </si>
  <si>
    <t xml:space="preserve">INFORMATIONAL ONLY </t>
  </si>
  <si>
    <t>ties to Budget Detail worksheet</t>
  </si>
  <si>
    <t>Variance</t>
  </si>
  <si>
    <t>foot</t>
  </si>
  <si>
    <t>variance</t>
  </si>
  <si>
    <t>Fund Cover Sheets</t>
  </si>
  <si>
    <t>Ties to</t>
  </si>
  <si>
    <t>footed against Fund Cover numbers</t>
  </si>
  <si>
    <t>cross foot</t>
  </si>
  <si>
    <t>Fund Cover Sums</t>
  </si>
  <si>
    <t xml:space="preserve">Cross Foot </t>
  </si>
  <si>
    <t>Total Budget Summary</t>
  </si>
  <si>
    <t>Ties to F/B History - FY 14 proj</t>
  </si>
  <si>
    <t xml:space="preserve">Beg F/B + </t>
  </si>
  <si>
    <t>Rev - Exp</t>
  </si>
  <si>
    <t>Beg F/B + S(D)</t>
  </si>
  <si>
    <t>Ties to Budget Detail - check figure - HIDE</t>
  </si>
  <si>
    <t>Variance - check figure - HIDE</t>
  </si>
  <si>
    <t>83-830-99-00-8000</t>
  </si>
  <si>
    <t>83-830-99-00-8050</t>
  </si>
  <si>
    <t>23-230-60-00-6048</t>
  </si>
  <si>
    <t xml:space="preserve">The Debt Service Fund accumulates monies for payment of the 2005A bonds, which were issued to finance road improvement projects.  </t>
  </si>
  <si>
    <t>The Library Capital Fund derives its revenue from monies collected from building permits.  The revenue is used for Library building maintenance and associated capital, contractual and supply purchases.</t>
  </si>
  <si>
    <t>01-210-50-00-5008</t>
  </si>
  <si>
    <t>80-800-54-00-5460</t>
  </si>
  <si>
    <t>Property Taxes</t>
  </si>
  <si>
    <t>Corporate</t>
  </si>
  <si>
    <t>Police Pension</t>
  </si>
  <si>
    <t>Total City</t>
  </si>
  <si>
    <t>Total City Capped</t>
  </si>
  <si>
    <t>Building Permits Revenue</t>
  </si>
  <si>
    <t>72-720-60-00-6049</t>
  </si>
  <si>
    <t>RAINTREE PARK C</t>
  </si>
  <si>
    <t>23-230-60-00-6025</t>
  </si>
  <si>
    <t>79-000-44-00-4439</t>
  </si>
  <si>
    <t>80-000-44-00-4439</t>
  </si>
  <si>
    <t>TRAVEL &amp; LODGING</t>
  </si>
  <si>
    <t>PRINTING &amp; DUPLICATING</t>
  </si>
  <si>
    <t>DUES &amp; SUBSCRIPTIONS</t>
  </si>
  <si>
    <t>REPAIR &amp; MAINTENANCE</t>
  </si>
  <si>
    <t>OUTSIDE REPAIR &amp; MAINTENANCE</t>
  </si>
  <si>
    <t>BOOKS &amp; PUBLICATIONS</t>
  </si>
  <si>
    <t>METERS &amp; PARTS</t>
  </si>
  <si>
    <t>ATHLETICS &amp; FITNESS</t>
  </si>
  <si>
    <t>SPONSORSHIPS &amp; DONATIONS</t>
  </si>
  <si>
    <t>SCHOLARSHIPS &amp; DONATIONS</t>
  </si>
  <si>
    <t>COMPACT DISCS &amp; OTHER MUSIC</t>
  </si>
  <si>
    <t>MEMORIALS &amp; GIFTS</t>
  </si>
  <si>
    <t>ROAD TO BETTER ROADS PROGRAM</t>
  </si>
  <si>
    <t>Gen Fd Dept Cover Sheets</t>
  </si>
  <si>
    <t>Gen Fd Cover Sheet</t>
  </si>
  <si>
    <t>Water Operations</t>
  </si>
  <si>
    <t>Sewer Operations</t>
  </si>
  <si>
    <t>51-510-60-00-6025</t>
  </si>
  <si>
    <t>52-520-60-00-6025</t>
  </si>
  <si>
    <t>01-000-40-00-4012</t>
  </si>
  <si>
    <t>82-000-40-00-4012</t>
  </si>
  <si>
    <t>Fiscal Year 2015</t>
  </si>
  <si>
    <t>Fiscal Years 2012 - 2019</t>
  </si>
  <si>
    <t>Fiscal Year 2015 Budget</t>
  </si>
  <si>
    <t>01-110-50-00-5010</t>
  </si>
  <si>
    <t>23-000-46-00-4660</t>
  </si>
  <si>
    <t>REIMB - PUSH FOR THE PATH</t>
  </si>
  <si>
    <t>01-000-41-00-4115</t>
  </si>
  <si>
    <t>VIDEO GAMING TAX</t>
  </si>
  <si>
    <t>23-000-46-00-4620</t>
  </si>
  <si>
    <t>REIMB - PULTE (AUTUMN CREEK)</t>
  </si>
  <si>
    <t>23-230-60-00-6007</t>
  </si>
  <si>
    <t>KENNEDY RD - AUTUMN CREEK</t>
  </si>
  <si>
    <t>Debt Service - 2003A IRBB Debt Certificates</t>
  </si>
  <si>
    <t>25-000-42-20-4215</t>
  </si>
  <si>
    <t>25-000-42-21-4218</t>
  </si>
  <si>
    <t>25-000-42-21-4219</t>
  </si>
  <si>
    <t>25-000-42-22-4220</t>
  </si>
  <si>
    <t>25-000-43-20-4315</t>
  </si>
  <si>
    <t>25-000-43-20-4316</t>
  </si>
  <si>
    <t>25-000-43-20-4340</t>
  </si>
  <si>
    <t>25-000-44-21-4418</t>
  </si>
  <si>
    <t>25-000-44-20-4420</t>
  </si>
  <si>
    <t>25-000-44-21-4421</t>
  </si>
  <si>
    <t>25-000-45-20-4520</t>
  </si>
  <si>
    <t>25-000-45-21-4521</t>
  </si>
  <si>
    <t>25-000-45-22-4522</t>
  </si>
  <si>
    <t>25-000-46-22-4622</t>
  </si>
  <si>
    <t>25-000-48-20-4852</t>
  </si>
  <si>
    <t>25-000-48-21-4854</t>
  </si>
  <si>
    <t>25-000-49-21-4922</t>
  </si>
  <si>
    <t>SALE OF CAPITAL ASSETS - POLICE CAPITAL</t>
  </si>
  <si>
    <t>SALE OF CAPITAL ASSETS - PARKS CAPITAL</t>
  </si>
  <si>
    <t>SALE OF CAPITAL ASSETS</t>
  </si>
  <si>
    <t>INTEREST EXPENSE</t>
  </si>
  <si>
    <t>01-410-54-00-5495</t>
  </si>
  <si>
    <t>OUTSIDE REPAIR &amp; MAINTENCE</t>
  </si>
  <si>
    <t>51-510-54-00-5495</t>
  </si>
  <si>
    <t>52-520-54-00-5495</t>
  </si>
  <si>
    <t>23-216-54-00-5446</t>
  </si>
  <si>
    <t>23-216-56-00-5656</t>
  </si>
  <si>
    <t>15-155-60-00-6004</t>
  </si>
  <si>
    <t>BASELINE ROAD BRIDGE REPAIRS</t>
  </si>
  <si>
    <t>51-510-56-00-5665</t>
  </si>
  <si>
    <t>JULIE SUPPLIES</t>
  </si>
  <si>
    <t>11-111-54-00-5466</t>
  </si>
  <si>
    <t>E-BOOKS SUBSCRIPTION</t>
  </si>
  <si>
    <t>SALE OF CAPITAL ASSETS - PW CAPITAL</t>
  </si>
  <si>
    <t>25-225-60-00-6070</t>
  </si>
  <si>
    <t>25-225-60-00-6065</t>
  </si>
  <si>
    <t>25-000-49-20-4910</t>
  </si>
  <si>
    <t>25-000-49-21-4910</t>
  </si>
  <si>
    <t>25-000-49-22-4910</t>
  </si>
  <si>
    <t>52-000-49-00-4910</t>
  </si>
  <si>
    <t>88-000-49-00-4910</t>
  </si>
  <si>
    <t>12-000-40-00-4000</t>
  </si>
  <si>
    <t xml:space="preserve">PROPERTY TAXES                        </t>
  </si>
  <si>
    <t>11-000-40-00-4000</t>
  </si>
  <si>
    <t xml:space="preserve">PROPERTY TAXES                             </t>
  </si>
  <si>
    <t>42-000-40-00-4000</t>
  </si>
  <si>
    <t>51-000-40-00-4000</t>
  </si>
  <si>
    <t>82-000-40-00-4000</t>
  </si>
  <si>
    <t xml:space="preserve">PROPERTY TAXES                    </t>
  </si>
  <si>
    <t>83-000-40-00-4000</t>
  </si>
  <si>
    <t xml:space="preserve">PROPERTY TAXES           </t>
  </si>
  <si>
    <t>85-000-40-00-4000</t>
  </si>
  <si>
    <t xml:space="preserve">PROPERTY TAXES                         </t>
  </si>
  <si>
    <t>87-000-40-00-4000</t>
  </si>
  <si>
    <t>88-000-40-00-4000</t>
  </si>
  <si>
    <t>PARKS &amp; RECREATION CHARGEBACK</t>
  </si>
  <si>
    <t>79-790-54-00-5422</t>
  </si>
  <si>
    <t>Target of 15 F/B percentage - Informational Only</t>
  </si>
  <si>
    <t>The Municipal Building Fund was used to maintain existing City owned buildings and to fund land acquisition, design and construction of new buildings.  This fund was closed out in fiscal year 2014.</t>
  </si>
  <si>
    <t>Parks &amp; Rec Capital Expenditures</t>
  </si>
  <si>
    <t>Parks &amp; Rec Capital Fund Balance</t>
  </si>
  <si>
    <t>23-000-41-00-4161</t>
  </si>
  <si>
    <t>88-880-60-00-6048</t>
  </si>
  <si>
    <t>72-720-60-00-6028</t>
  </si>
  <si>
    <t>CANNONBALL PARK</t>
  </si>
  <si>
    <t>Variance - Budget Detail Fund Balance Summary</t>
  </si>
  <si>
    <t>Ties to F/B History - FY 15 proj</t>
  </si>
  <si>
    <t>01-000-41-00-4168</t>
  </si>
  <si>
    <t>BRIDGE PARK</t>
  </si>
  <si>
    <t>BUSINESS DISTRICT TAX</t>
  </si>
  <si>
    <t>88-000-40-00-4070</t>
  </si>
  <si>
    <t>LOAN PROCEEDS - RIVER ROAD BRIDGE</t>
  </si>
  <si>
    <t>01-110-54-00-5436</t>
  </si>
  <si>
    <t>4TH OF JULY CONTRIBUTION</t>
  </si>
  <si>
    <t>23-216-54-00-5405</t>
  </si>
  <si>
    <t>25-205-54-00-5405</t>
  </si>
  <si>
    <t>25-225-54-00-5405</t>
  </si>
  <si>
    <t>42-420-54-00-5405</t>
  </si>
  <si>
    <t>72-000-42-00-4216</t>
  </si>
  <si>
    <t>25-000-42-00-4216</t>
  </si>
  <si>
    <t>42-000-42-00-4216</t>
  </si>
  <si>
    <t>72-720-54-00-5405</t>
  </si>
  <si>
    <t>51-510-60-00-6066</t>
  </si>
  <si>
    <t>RTE 71 WATERMAIN RELOCATION</t>
  </si>
  <si>
    <t>23-000-49-23-4901</t>
  </si>
  <si>
    <t>TRANSFER FROM GENERAL - CW CAPITAL</t>
  </si>
  <si>
    <t>23-000-49-16-4901</t>
  </si>
  <si>
    <t>01-640-99-16-9923</t>
  </si>
  <si>
    <t>01-640-99-23-9923</t>
  </si>
  <si>
    <t>Check figure - Total Fund Balance</t>
  </si>
  <si>
    <t>Check figure - Fund Balance &amp; Surplus(Deficit)</t>
  </si>
  <si>
    <t>15-000-41-00-4183</t>
  </si>
  <si>
    <t>KENDALL AREA TRANSIT</t>
  </si>
  <si>
    <t>15-000-41-00-4184</t>
  </si>
  <si>
    <t>23-000-41-00-4162</t>
  </si>
  <si>
    <t>FEDERAL GRANTS - RIVER RD BRIDGE</t>
  </si>
  <si>
    <t>FEDERAL GRANTS - ITEP DOWNTOWN</t>
  </si>
  <si>
    <t>15-000-41-00-4185</t>
  </si>
  <si>
    <t>23-230-60-00-6095</t>
  </si>
  <si>
    <t>FEDERAL GRANTS - SAFE ROUTE TO SCHOOL</t>
  </si>
  <si>
    <t>15-155-54-00-5482</t>
  </si>
  <si>
    <t>STREET LIGHTING</t>
  </si>
  <si>
    <t>88-880-54-00-5493</t>
  </si>
  <si>
    <t>72-000-45-00-4500</t>
  </si>
  <si>
    <t>72-000-47-00-4736</t>
  </si>
  <si>
    <t>BRIARWOOD</t>
  </si>
  <si>
    <t>EMPLOYER CONTRIBUTION - POLICE PENSION</t>
  </si>
  <si>
    <t>STATE GRANTS - DOWNTOWN PARKING LOT</t>
  </si>
  <si>
    <t>STATE GRANTS - MATERIALS STORAGE FACILITY</t>
  </si>
  <si>
    <t>DEVELOPMENT FEES - CW CAPITAL</t>
  </si>
  <si>
    <t>DOWNTOWN STREETSCAPE IMPROVEMENT</t>
  </si>
  <si>
    <t>SUNFLOWER ESTATES - DRAINAGE IMPROVEMENT</t>
  </si>
  <si>
    <t>ROUTE 71 (RTE 47 / ORCHARD RD) PROJECT</t>
  </si>
  <si>
    <t xml:space="preserve">City-Wide </t>
  </si>
  <si>
    <t>Grant Proceeds</t>
  </si>
  <si>
    <t>TRANSFER TO LIBRARY OPERATIONS - P-TAX</t>
  </si>
  <si>
    <t>TRANSFER FROM GENERAL - P-TAX</t>
  </si>
  <si>
    <t>Kennedy Road Bike Trails</t>
  </si>
  <si>
    <t>P4P Proceeds</t>
  </si>
  <si>
    <t>Kennedy Road - Autumn Creek</t>
  </si>
  <si>
    <t>Pulte Reimbursement</t>
  </si>
  <si>
    <t>Road to Better Roads Program</t>
  </si>
  <si>
    <t>Selected Capital Projects - Aggregated</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</si>
  <si>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</si>
  <si>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</si>
  <si>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 xml:space="preserve">The Engineering Department was closed out at the beginning of fiscal year 2012.  Expenditures are now budgeted out of the Administrative Services Department.  </t>
  </si>
  <si>
    <t>The mission of the Yorkville Police Department is to work in partnership with the community to protect life and property, assist neighborhoods with solving their problems and enhance the quality of life in our City.</t>
  </si>
  <si>
    <t xml:space="preserve">The Administrative Services Department accounts for General Fund expenditures that are shared by all departments and cannot be easily classified in one department or the other.  These expenditures include such items as tax rebates, bad debt, engineering services, corporate legal expenditures and interfund transfers. </t>
  </si>
  <si>
    <t xml:space="preserve">This fund was created in Fiscal Year 2014, consolidating the Police Capital, Public Works Capital and Park &amp; Recreation Capital funds.  This fund primarily derives its revenue from monies collected from building permits and development fees.  The revenue is used to purchase vehicles and equipment for use in the operations of the Police, Public Works and Parks &amp; Recreation Departments.  </t>
  </si>
  <si>
    <t>The Motor Fuel Tax Fund is used to maintain existing and construct new City owned roadways, alleys and parking lots.  The fund also purchases materials used in the maintenance and operation of those facilities.</t>
  </si>
  <si>
    <t>See separate spreadsheet tab for Vehicle &amp; Equipment Fund explanation</t>
  </si>
  <si>
    <t xml:space="preserve">The REC Center is a 38,000 square foot, full-service fitness and recreation facility leased by the City and operated by the Parks and Recreation Department.  This fund was closed out in fiscal year 2014. </t>
  </si>
  <si>
    <t xml:space="preserve">The Library Debt Service Fund accumulates monies for payment of the 2006 and 2013 refinancing bonds, which were issued to finance construction of the Library building.  </t>
  </si>
  <si>
    <t>The table and graph below present the City's funds in aggregate, similar to that of a private business (for illustrative purposes only).  All budgeted funds are included except for the following:  Park &amp; Recreation Capital portion of Vehicle and Equipment (25); Library Operations (82); Library Debt Service (83); Library Capital (84); Park &amp; Recreation (79); and Recreation Center (80).</t>
  </si>
  <si>
    <t>51-510-50-00-5015</t>
  </si>
  <si>
    <t>52-520-50-00-5015</t>
  </si>
  <si>
    <t>TRANSFER FROM CW MUNICIPAL BUILDING</t>
  </si>
  <si>
    <t>Check Figure</t>
  </si>
  <si>
    <t>Downtown Streetscape Improvement</t>
  </si>
  <si>
    <t>25-000-44-22-4421</t>
  </si>
  <si>
    <t>25-000-42-20-4217</t>
  </si>
  <si>
    <t>Game Farm Road Project</t>
  </si>
  <si>
    <t>City-Wide Building &amp; Grounds Expenditures</t>
  </si>
  <si>
    <t>TRANSFER FROM GENERAL - CW B&amp;G</t>
  </si>
  <si>
    <t>ALL</t>
  </si>
  <si>
    <t>87-000-40-00-4070</t>
  </si>
  <si>
    <t>87-870-54-00-5493</t>
  </si>
  <si>
    <t>TRANSFER TO CW CAP BLDG &amp; GROUNDS</t>
  </si>
  <si>
    <t>Ties to Budget Cat Sum</t>
  </si>
  <si>
    <t>Ties to Budget Sum</t>
  </si>
  <si>
    <t>PUBLIC WORKS DEPARTMENT - STREET OPERATIONS / HEALTH &amp; SANITATION</t>
  </si>
  <si>
    <t>79-795-56-00-5645</t>
  </si>
  <si>
    <t xml:space="preserve">The City-Wide Capital Fund is used to maintain existing and construct new public and municipal infrastructure, and to fund other improvements that benefit the public.  </t>
  </si>
  <si>
    <t>Public Works - Street Operations</t>
  </si>
  <si>
    <t>Public Works - Health &amp; Sanitation</t>
  </si>
  <si>
    <t>Allocated Insurance Expenditures - Aggregated</t>
  </si>
  <si>
    <t>Aggregated Salary &amp; Wage Information</t>
  </si>
  <si>
    <t>01-410-50-00-5015</t>
  </si>
  <si>
    <t>FEDERAL GRANTS - GAME FARM RD ROW</t>
  </si>
  <si>
    <t>FEDERAL GRANTS - ITEP KENNEDY RD TRAIL</t>
  </si>
</sst>
</file>

<file path=xl/styles.xml><?xml version="1.0" encoding="utf-8"?>
<styleSheet xmlns="http://schemas.openxmlformats.org/spreadsheetml/2006/main">
  <numFmts count="1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409]#,##0"/>
    <numFmt numFmtId="166" formatCode="&quot;$&quot;#,##0.00"/>
    <numFmt numFmtId="167" formatCode="0.0%"/>
    <numFmt numFmtId="168" formatCode="_(&quot;$&quot;* #,##0_);_(&quot;$&quot;* \(#,##0\);_(&quot;$&quot;* &quot;-&quot;??_);_(@_)"/>
    <numFmt numFmtId="169" formatCode="_(* #,##0.00_);_(* \(#,##0.00\);_(* &quot;-&quot;_);_(@_)"/>
  </numFmts>
  <fonts count="61">
    <font>
      <sz val="10"/>
      <color indexed="8"/>
      <name val="ARIAL"/>
      <charset val="1"/>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12"/>
      <color indexed="8"/>
      <name val="Times New Roman"/>
      <family val="1"/>
    </font>
    <font>
      <sz val="11"/>
      <color rgb="FF000000"/>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12"/>
      <name val="Arial"/>
      <family val="2"/>
    </font>
    <font>
      <sz val="7"/>
      <name val="Univers (WN)"/>
    </font>
    <font>
      <b/>
      <i/>
      <u/>
      <sz val="7"/>
      <name val="Univers (WN)"/>
    </font>
    <font>
      <sz val="10"/>
      <name val="Times New Roman"/>
      <family val="1"/>
    </font>
    <font>
      <i/>
      <sz val="10"/>
      <name val="Times New Roman"/>
      <family val="1"/>
    </font>
    <font>
      <i/>
      <sz val="10"/>
      <color indexed="8"/>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sz val="11"/>
      <color rgb="FFFF0000"/>
      <name val="Times New Roman"/>
      <family val="1"/>
    </font>
    <font>
      <sz val="11"/>
      <color rgb="FFFF0000"/>
      <name val="Times New Roman"/>
      <family val="1"/>
    </font>
    <font>
      <b/>
      <sz val="20"/>
      <color indexed="8"/>
      <name val="Times New Roman"/>
      <family val="1"/>
    </font>
    <font>
      <i/>
      <sz val="20"/>
      <color indexed="8"/>
      <name val="Times New Roman"/>
      <family val="1"/>
    </font>
    <font>
      <i/>
      <u/>
      <sz val="11"/>
      <color indexed="8"/>
      <name val="Times New Roman"/>
      <family val="1"/>
    </font>
    <font>
      <b/>
      <i/>
      <u/>
      <sz val="11"/>
      <color indexed="8"/>
      <name val="Times New Roman"/>
      <family val="1"/>
    </font>
    <font>
      <sz val="10"/>
      <name val="Arial Black"/>
      <family val="2"/>
    </font>
    <font>
      <b/>
      <i/>
      <sz val="10"/>
      <color indexed="8"/>
      <name val="Arial"/>
      <family val="2"/>
    </font>
    <font>
      <b/>
      <i/>
      <u/>
      <sz val="10"/>
      <color indexed="8"/>
      <name val="Times New Roman"/>
      <family val="1"/>
    </font>
    <font>
      <i/>
      <sz val="10"/>
      <color indexed="8"/>
      <name val="Arial"/>
      <family val="2"/>
    </font>
    <font>
      <b/>
      <u/>
      <sz val="11"/>
      <color theme="0"/>
      <name val="Times New Roman"/>
      <family val="1"/>
    </font>
    <font>
      <sz val="11"/>
      <color theme="0"/>
      <name val="Times New Roman"/>
      <family val="1"/>
    </font>
    <font>
      <b/>
      <sz val="11"/>
      <color theme="0"/>
      <name val="Times New Roman"/>
      <family val="1"/>
    </font>
    <font>
      <i/>
      <sz val="11"/>
      <color theme="0"/>
      <name val="Times New Roman"/>
      <family val="1"/>
    </font>
    <font>
      <u val="singleAccounting"/>
      <sz val="11"/>
      <color theme="0"/>
      <name val="Times New Roman"/>
      <family val="1"/>
    </font>
    <font>
      <b/>
      <i/>
      <u/>
      <sz val="11"/>
      <color theme="0"/>
      <name val="Times New Roman"/>
      <family val="1"/>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color theme="0"/>
      <name val="Times New Roman"/>
      <family val="1"/>
    </font>
    <font>
      <i/>
      <sz val="9"/>
      <color theme="0"/>
      <name val="Times New Roman"/>
      <family val="1"/>
    </font>
    <font>
      <b/>
      <i/>
      <sz val="11"/>
      <color theme="0"/>
      <name val="Times New Roman"/>
      <family val="1"/>
    </font>
    <font>
      <u val="singleAccounting"/>
      <sz val="11"/>
      <color rgb="FFFF0000"/>
      <name val="Times New Roman"/>
      <family val="1"/>
    </font>
  </fonts>
  <fills count="10">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1"/>
        <bgColor indexed="64"/>
      </patternFill>
    </fill>
    <fill>
      <patternFill patternType="solid">
        <fgColor rgb="FF92D050"/>
        <bgColor indexed="64"/>
      </patternFill>
    </fill>
  </fills>
  <borders count="8">
    <border>
      <left/>
      <right/>
      <top/>
      <bottom/>
      <diagonal/>
    </border>
    <border>
      <left/>
      <right/>
      <top style="thin">
        <color theme="0"/>
      </top>
      <bottom style="thin">
        <color theme="0"/>
      </bottom>
      <diagonal/>
    </border>
    <border>
      <left/>
      <right/>
      <top style="thin">
        <color theme="0"/>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s>
  <cellStyleXfs count="6">
    <xf numFmtId="0" fontId="0" fillId="0" borderId="0">
      <alignment vertical="top"/>
    </xf>
    <xf numFmtId="0" fontId="4" fillId="0" borderId="0">
      <alignment horizontal="center"/>
    </xf>
    <xf numFmtId="37" fontId="5" fillId="2" borderId="0"/>
    <xf numFmtId="43" fontId="1" fillId="0" borderId="0" applyFont="0" applyFill="0" applyBorder="0" applyAlignment="0" applyProtection="0"/>
    <xf numFmtId="9" fontId="11" fillId="0" borderId="0" applyFont="0" applyFill="0" applyBorder="0" applyAlignment="0" applyProtection="0"/>
    <xf numFmtId="44" fontId="19" fillId="0" borderId="0" applyFont="0" applyFill="0" applyBorder="0" applyAlignment="0" applyProtection="0"/>
  </cellStyleXfs>
  <cellXfs count="753">
    <xf numFmtId="0" fontId="0" fillId="0" borderId="0" xfId="0">
      <alignment vertical="top"/>
    </xf>
    <xf numFmtId="0" fontId="2" fillId="0" borderId="0" xfId="0" applyFont="1" applyFill="1" applyAlignment="1">
      <alignment vertical="center"/>
    </xf>
    <xf numFmtId="164" fontId="2" fillId="0" borderId="0" xfId="3" applyNumberFormat="1" applyFont="1" applyFill="1" applyAlignment="1">
      <alignment vertical="center"/>
    </xf>
    <xf numFmtId="164" fontId="2" fillId="0" borderId="0" xfId="3" applyNumberFormat="1" applyFont="1" applyFill="1" applyBorder="1" applyAlignment="1">
      <alignment vertical="center"/>
    </xf>
    <xf numFmtId="164" fontId="3" fillId="0" borderId="0" xfId="3" applyNumberFormat="1" applyFont="1" applyFill="1" applyBorder="1" applyAlignment="1">
      <alignment vertical="center"/>
    </xf>
    <xf numFmtId="0" fontId="2" fillId="0" borderId="0" xfId="0" applyFont="1" applyFill="1" applyAlignment="1">
      <alignment horizontal="left" vertical="center"/>
    </xf>
    <xf numFmtId="41" fontId="2" fillId="0" borderId="0" xfId="0" applyNumberFormat="1" applyFont="1" applyFill="1" applyAlignment="1">
      <alignment vertical="center"/>
    </xf>
    <xf numFmtId="164" fontId="2" fillId="0" borderId="0" xfId="3" applyNumberFormat="1" applyFont="1" applyFill="1" applyAlignment="1">
      <alignment horizontal="right" vertical="center"/>
    </xf>
    <xf numFmtId="0" fontId="3" fillId="0" borderId="0" xfId="0" applyFont="1" applyFill="1" applyAlignment="1">
      <alignment vertical="center"/>
    </xf>
    <xf numFmtId="164" fontId="16" fillId="0" borderId="0" xfId="3" applyNumberFormat="1" applyFont="1" applyFill="1" applyBorder="1" applyAlignment="1">
      <alignment vertical="center"/>
    </xf>
    <xf numFmtId="0" fontId="18"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pplyProtection="1">
      <alignment horizontal="center"/>
    </xf>
    <xf numFmtId="0" fontId="2" fillId="0" borderId="0" xfId="0" applyFont="1" applyFill="1" applyBorder="1" applyAlignment="1"/>
    <xf numFmtId="0" fontId="2" fillId="0" borderId="0" xfId="0" applyFont="1" applyFill="1" applyAlignment="1" applyProtection="1">
      <alignment horizontal="left" indent="1"/>
    </xf>
    <xf numFmtId="0" fontId="2" fillId="0" borderId="0" xfId="0" applyFont="1" applyFill="1" applyBorder="1" applyAlignment="1" applyProtection="1">
      <alignment horizontal="left" indent="1"/>
    </xf>
    <xf numFmtId="0" fontId="3" fillId="0" borderId="0" xfId="0" applyFont="1" applyFill="1" applyBorder="1" applyAlignment="1" applyProtection="1">
      <alignment horizontal="left" indent="1"/>
    </xf>
    <xf numFmtId="0" fontId="3" fillId="0" borderId="0" xfId="1" applyFont="1" applyFill="1" applyBorder="1" applyAlignment="1"/>
    <xf numFmtId="0" fontId="2" fillId="0" borderId="0" xfId="0" applyFont="1" applyFill="1" applyBorder="1" applyAlignment="1" applyProtection="1">
      <alignment horizontal="left"/>
    </xf>
    <xf numFmtId="0" fontId="0" fillId="0" borderId="0" xfId="0" applyAlignment="1">
      <alignment vertical="center" wrapText="1"/>
    </xf>
    <xf numFmtId="0" fontId="0" fillId="0" borderId="0" xfId="0" applyAlignment="1">
      <alignment horizontal="left" vertical="center" wrapText="1"/>
    </xf>
    <xf numFmtId="164" fontId="2" fillId="0" borderId="0" xfId="3" applyNumberFormat="1" applyFont="1" applyFill="1" applyAlignment="1"/>
    <xf numFmtId="164" fontId="2" fillId="0" borderId="0" xfId="3" applyNumberFormat="1" applyFont="1" applyFill="1" applyBorder="1" applyAlignment="1"/>
    <xf numFmtId="0" fontId="2" fillId="0" borderId="0" xfId="0" applyFont="1" applyFill="1" applyBorder="1" applyAlignment="1" applyProtection="1">
      <alignment horizontal="center"/>
    </xf>
    <xf numFmtId="164" fontId="2" fillId="0" borderId="0" xfId="3" applyNumberFormat="1" applyFont="1" applyFill="1" applyAlignment="1">
      <alignment vertical="center" wrapText="1"/>
    </xf>
    <xf numFmtId="164" fontId="2" fillId="0" borderId="0" xfId="3" applyNumberFormat="1" applyFont="1" applyFill="1" applyBorder="1" applyAlignment="1" applyProtection="1">
      <alignment horizontal="center"/>
    </xf>
    <xf numFmtId="164" fontId="0" fillId="0" borderId="0" xfId="3" applyNumberFormat="1" applyFont="1" applyFill="1" applyAlignment="1">
      <alignment vertical="center" wrapText="1"/>
    </xf>
    <xf numFmtId="164" fontId="0" fillId="0" borderId="0" xfId="3" applyNumberFormat="1" applyFont="1" applyAlignment="1">
      <alignment vertical="center" wrapText="1"/>
    </xf>
    <xf numFmtId="164" fontId="0" fillId="0" borderId="0" xfId="3" applyNumberFormat="1" applyFont="1" applyFill="1" applyAlignment="1">
      <alignment vertical="top"/>
    </xf>
    <xf numFmtId="164" fontId="0" fillId="0" borderId="0" xfId="3" applyNumberFormat="1" applyFont="1" applyAlignment="1">
      <alignment vertical="top"/>
    </xf>
    <xf numFmtId="0" fontId="0" fillId="0" borderId="0" xfId="0" applyBorder="1">
      <alignment vertical="top"/>
    </xf>
    <xf numFmtId="0" fontId="2" fillId="0" borderId="0" xfId="0" applyFont="1" applyFill="1" applyBorder="1" applyAlignment="1">
      <alignment horizontal="center"/>
    </xf>
    <xf numFmtId="0" fontId="2" fillId="0" borderId="0" xfId="0" applyFont="1" applyFill="1" applyBorder="1" applyAlignment="1">
      <alignment vertical="center" wrapText="1"/>
    </xf>
    <xf numFmtId="164" fontId="2" fillId="0" borderId="0" xfId="3" applyNumberFormat="1" applyFont="1" applyFill="1" applyBorder="1" applyAlignment="1">
      <alignment vertical="center" wrapText="1"/>
    </xf>
    <xf numFmtId="0" fontId="2" fillId="0" borderId="0" xfId="0" applyFont="1" applyFill="1" applyBorder="1" applyAlignment="1">
      <alignment horizontal="left" vertical="center"/>
    </xf>
    <xf numFmtId="164" fontId="2" fillId="0" borderId="0" xfId="3" applyNumberFormat="1" applyFont="1" applyFill="1" applyBorder="1" applyAlignment="1">
      <alignment horizontal="center"/>
    </xf>
    <xf numFmtId="164" fontId="2" fillId="3" borderId="0" xfId="3" applyNumberFormat="1" applyFont="1" applyFill="1" applyBorder="1" applyAlignment="1" applyProtection="1">
      <alignment horizontal="center"/>
    </xf>
    <xf numFmtId="0" fontId="3" fillId="0" borderId="0" xfId="0" applyFont="1" applyFill="1" applyBorder="1" applyAlignment="1" applyProtection="1">
      <alignment horizontal="left"/>
    </xf>
    <xf numFmtId="0" fontId="2" fillId="0" borderId="0" xfId="1" applyFont="1" applyFill="1" applyBorder="1" applyAlignment="1">
      <alignment horizontal="left" indent="1"/>
    </xf>
    <xf numFmtId="0" fontId="2" fillId="0" borderId="0" xfId="0" applyFont="1" applyFill="1" applyBorder="1" applyAlignment="1">
      <alignment horizontal="left" indent="1"/>
    </xf>
    <xf numFmtId="164" fontId="0" fillId="0" borderId="0" xfId="3" applyNumberFormat="1" applyFont="1" applyFill="1" applyBorder="1" applyAlignment="1">
      <alignment vertical="top"/>
    </xf>
    <xf numFmtId="164" fontId="0" fillId="0" borderId="0" xfId="3" applyNumberFormat="1" applyFont="1" applyBorder="1" applyAlignment="1">
      <alignment vertical="top"/>
    </xf>
    <xf numFmtId="0" fontId="20" fillId="0" borderId="0" xfId="0" applyFont="1" applyAlignment="1">
      <alignment horizontal="center" wrapText="1"/>
    </xf>
    <xf numFmtId="0" fontId="2" fillId="0" borderId="0" xfId="0" applyFont="1" applyAlignment="1"/>
    <xf numFmtId="0" fontId="2" fillId="0" borderId="0" xfId="0" applyFont="1" applyAlignment="1">
      <alignment horizontal="left" vertical="center" wrapText="1" indent="2"/>
    </xf>
    <xf numFmtId="0" fontId="2" fillId="0" borderId="4" xfId="0" applyFont="1" applyFill="1" applyBorder="1" applyAlignment="1">
      <alignment horizontal="center"/>
    </xf>
    <xf numFmtId="0" fontId="3" fillId="0" borderId="0" xfId="0" applyFont="1" applyFill="1" applyAlignment="1">
      <alignment horizontal="left"/>
    </xf>
    <xf numFmtId="0" fontId="2" fillId="0" borderId="3" xfId="0" applyFont="1" applyFill="1" applyBorder="1" applyAlignment="1" applyProtection="1">
      <alignment horizontal="left" indent="1"/>
    </xf>
    <xf numFmtId="0" fontId="2" fillId="0" borderId="0" xfId="0" applyFont="1" applyAlignment="1">
      <alignment horizontal="left" vertical="center" wrapText="1"/>
    </xf>
    <xf numFmtId="164" fontId="2" fillId="0" borderId="0" xfId="3" applyNumberFormat="1" applyFont="1" applyFill="1"/>
    <xf numFmtId="0" fontId="2" fillId="0" borderId="0" xfId="0" applyFont="1" applyAlignment="1">
      <alignment vertical="center" wrapText="1"/>
    </xf>
    <xf numFmtId="0" fontId="0" fillId="0" borderId="0" xfId="0" applyAlignment="1">
      <alignment horizontal="left"/>
    </xf>
    <xf numFmtId="0" fontId="2" fillId="0" borderId="0" xfId="0" applyFont="1" applyAlignment="1">
      <alignment horizontal="left" vertical="center" indent="2"/>
    </xf>
    <xf numFmtId="0" fontId="2" fillId="0" borderId="0" xfId="0" applyFont="1" applyFill="1" applyAlignment="1">
      <alignment vertical="top"/>
    </xf>
    <xf numFmtId="0" fontId="2" fillId="0" borderId="0" xfId="0" applyFont="1" applyAlignment="1">
      <alignment horizontal="center"/>
    </xf>
    <xf numFmtId="0" fontId="0" fillId="0" borderId="0" xfId="0" applyAlignment="1">
      <alignment wrapText="1"/>
    </xf>
    <xf numFmtId="0" fontId="25" fillId="0" borderId="0" xfId="0" applyFont="1" applyAlignment="1">
      <alignment vertical="center"/>
    </xf>
    <xf numFmtId="164" fontId="20" fillId="0" borderId="0" xfId="3" applyNumberFormat="1" applyFont="1" applyAlignment="1">
      <alignment horizontal="center" wrapText="1"/>
    </xf>
    <xf numFmtId="164" fontId="21" fillId="0" borderId="0" xfId="3" applyNumberFormat="1" applyFont="1" applyAlignment="1">
      <alignment horizontal="center" wrapText="1"/>
    </xf>
    <xf numFmtId="164" fontId="2" fillId="0" borderId="0" xfId="3" applyNumberFormat="1" applyFont="1" applyAlignment="1"/>
    <xf numFmtId="164" fontId="2" fillId="0" borderId="0" xfId="3" applyNumberFormat="1" applyFont="1" applyAlignment="1">
      <alignment horizontal="left" vertical="center" wrapText="1" indent="2"/>
    </xf>
    <xf numFmtId="164" fontId="2" fillId="0" borderId="0" xfId="3" applyNumberFormat="1" applyFont="1" applyFill="1" applyBorder="1"/>
    <xf numFmtId="164" fontId="2" fillId="0" borderId="0" xfId="3" applyNumberFormat="1" applyFont="1" applyAlignment="1">
      <alignment horizontal="left" vertical="center" wrapText="1"/>
    </xf>
    <xf numFmtId="164" fontId="2" fillId="0" borderId="0" xfId="3" applyNumberFormat="1" applyFont="1" applyAlignment="1">
      <alignment vertical="center" wrapText="1"/>
    </xf>
    <xf numFmtId="164" fontId="0" fillId="0" borderId="0" xfId="3" applyNumberFormat="1" applyFont="1" applyAlignment="1">
      <alignment horizontal="left"/>
    </xf>
    <xf numFmtId="164" fontId="2" fillId="0" borderId="0" xfId="3" applyNumberFormat="1" applyFont="1" applyAlignment="1">
      <alignment horizontal="left" vertical="center" indent="2"/>
    </xf>
    <xf numFmtId="164" fontId="24" fillId="0" borderId="0" xfId="3" applyNumberFormat="1" applyFont="1" applyAlignment="1">
      <alignment horizontal="left" vertical="center" indent="2"/>
    </xf>
    <xf numFmtId="164" fontId="2" fillId="0" borderId="0" xfId="3" applyNumberFormat="1" applyFont="1" applyFill="1" applyAlignment="1">
      <alignment vertical="top"/>
    </xf>
    <xf numFmtId="164" fontId="0" fillId="0" borderId="0" xfId="3" applyNumberFormat="1" applyFont="1" applyAlignment="1">
      <alignment wrapText="1"/>
    </xf>
    <xf numFmtId="0" fontId="2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pplyProtection="1">
      <alignment horizontal="center" vertical="center"/>
    </xf>
    <xf numFmtId="0" fontId="2" fillId="0" borderId="4" xfId="0" applyFont="1" applyFill="1" applyBorder="1" applyAlignment="1" applyProtection="1">
      <alignment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7" fillId="0" borderId="0" xfId="0" applyFont="1" applyFill="1" applyAlignment="1" applyProtection="1">
      <alignment vertical="center"/>
    </xf>
    <xf numFmtId="0" fontId="2" fillId="0" borderId="0" xfId="0" applyFont="1" applyAlignment="1">
      <alignment vertical="center"/>
    </xf>
    <xf numFmtId="164" fontId="2" fillId="0" borderId="0" xfId="3" applyNumberFormat="1" applyFont="1" applyFill="1" applyBorder="1" applyAlignment="1" applyProtection="1">
      <alignment vertical="center"/>
    </xf>
    <xf numFmtId="0" fontId="2" fillId="0" borderId="0" xfId="0" applyFont="1" applyBorder="1" applyAlignment="1">
      <alignment vertical="center"/>
    </xf>
    <xf numFmtId="0" fontId="3" fillId="0" borderId="6" xfId="0" applyFont="1" applyFill="1" applyBorder="1" applyAlignment="1" applyProtection="1">
      <alignment vertical="center"/>
    </xf>
    <xf numFmtId="164" fontId="3" fillId="0" borderId="6" xfId="3" applyNumberFormat="1" applyFont="1" applyFill="1" applyBorder="1" applyAlignment="1" applyProtection="1">
      <alignment vertical="center"/>
    </xf>
    <xf numFmtId="37" fontId="2" fillId="0" borderId="0" xfId="0" applyNumberFormat="1" applyFont="1" applyFill="1" applyAlignment="1" applyProtection="1">
      <alignment vertical="center"/>
    </xf>
    <xf numFmtId="0" fontId="28" fillId="0" borderId="0" xfId="0" applyFont="1" applyAlignment="1">
      <alignment horizontal="center" vertical="center"/>
    </xf>
    <xf numFmtId="168" fontId="2" fillId="0" borderId="0" xfId="5" applyNumberFormat="1" applyFont="1" applyFill="1" applyAlignment="1">
      <alignment vertical="center"/>
    </xf>
    <xf numFmtId="37" fontId="2" fillId="0" borderId="4" xfId="2" applyFont="1" applyFill="1" applyBorder="1" applyAlignment="1">
      <alignment horizontal="center" vertical="center"/>
    </xf>
    <xf numFmtId="37" fontId="2" fillId="0" borderId="0" xfId="2" applyFont="1" applyFill="1" applyBorder="1" applyAlignment="1">
      <alignment horizontal="center" vertical="center"/>
    </xf>
    <xf numFmtId="164" fontId="2" fillId="0" borderId="0" xfId="3" applyNumberFormat="1" applyFont="1" applyFill="1" applyAlignment="1">
      <alignment horizontal="center" vertical="center"/>
    </xf>
    <xf numFmtId="164" fontId="2" fillId="0" borderId="0" xfId="3" applyNumberFormat="1" applyFont="1" applyFill="1" applyBorder="1" applyAlignment="1">
      <alignment horizontal="center" vertical="center"/>
    </xf>
    <xf numFmtId="164" fontId="3" fillId="0" borderId="6" xfId="3" applyNumberFormat="1" applyFont="1" applyFill="1" applyBorder="1" applyAlignment="1">
      <alignment vertical="center"/>
    </xf>
    <xf numFmtId="10" fontId="2" fillId="0" borderId="0" xfId="4" applyNumberFormat="1" applyFont="1" applyFill="1" applyAlignment="1">
      <alignment vertical="center"/>
    </xf>
    <xf numFmtId="41" fontId="2" fillId="0" borderId="0" xfId="0" applyNumberFormat="1" applyFont="1" applyFill="1" applyAlignment="1">
      <alignment horizontal="center" vertical="center"/>
    </xf>
    <xf numFmtId="41" fontId="2" fillId="0" borderId="0" xfId="0" applyNumberFormat="1" applyFont="1" applyFill="1" applyBorder="1" applyAlignment="1">
      <alignment vertical="center"/>
    </xf>
    <xf numFmtId="164" fontId="2" fillId="0" borderId="0" xfId="0" applyNumberFormat="1" applyFont="1" applyFill="1" applyAlignment="1">
      <alignment vertical="center"/>
    </xf>
    <xf numFmtId="0" fontId="2" fillId="0" borderId="0" xfId="0" applyFont="1" applyAlignment="1">
      <alignment horizontal="center" vertical="center"/>
    </xf>
    <xf numFmtId="14" fontId="2" fillId="0" borderId="0" xfId="0" applyNumberFormat="1" applyFont="1" applyFill="1" applyAlignment="1">
      <alignment horizontal="center"/>
    </xf>
    <xf numFmtId="0" fontId="2" fillId="0" borderId="4" xfId="0" applyFont="1" applyFill="1" applyBorder="1" applyAlignment="1" applyProtection="1">
      <alignment horizontal="center"/>
    </xf>
    <xf numFmtId="37" fontId="2" fillId="0" borderId="4" xfId="2" applyFont="1" applyFill="1" applyBorder="1" applyAlignment="1">
      <alignment horizontal="center"/>
    </xf>
    <xf numFmtId="37" fontId="2" fillId="0" borderId="0" xfId="2" applyFont="1" applyFill="1" applyBorder="1" applyAlignment="1">
      <alignment horizontal="center"/>
    </xf>
    <xf numFmtId="164" fontId="2" fillId="0" borderId="0" xfId="3" applyNumberFormat="1" applyFont="1" applyFill="1" applyAlignment="1" applyProtection="1">
      <alignment vertical="center"/>
    </xf>
    <xf numFmtId="164" fontId="2" fillId="0" borderId="0" xfId="3" applyNumberFormat="1" applyFont="1" applyAlignment="1">
      <alignment vertical="center"/>
    </xf>
    <xf numFmtId="164" fontId="2" fillId="0" borderId="0" xfId="3" applyNumberFormat="1" applyFont="1" applyAlignment="1">
      <alignment horizontal="center" vertical="center"/>
    </xf>
    <xf numFmtId="41" fontId="2" fillId="0" borderId="0" xfId="0" applyNumberFormat="1" applyFont="1" applyFill="1" applyBorder="1" applyAlignment="1" applyProtection="1">
      <alignment vertical="center"/>
    </xf>
    <xf numFmtId="164" fontId="16" fillId="0" borderId="0" xfId="3" applyNumberFormat="1" applyFont="1" applyFill="1" applyBorder="1" applyAlignment="1" applyProtection="1">
      <alignment vertical="center"/>
    </xf>
    <xf numFmtId="164" fontId="18" fillId="0" borderId="0" xfId="3" applyNumberFormat="1" applyFont="1" applyFill="1" applyBorder="1" applyAlignment="1" applyProtection="1">
      <alignment vertical="center"/>
    </xf>
    <xf numFmtId="164" fontId="18" fillId="0" borderId="0" xfId="3" applyNumberFormat="1" applyFont="1" applyFill="1" applyBorder="1" applyAlignment="1">
      <alignment vertical="center"/>
    </xf>
    <xf numFmtId="0" fontId="3" fillId="4" borderId="6" xfId="0" applyFont="1" applyFill="1" applyBorder="1" applyAlignment="1" applyProtection="1">
      <alignment vertical="center"/>
    </xf>
    <xf numFmtId="41" fontId="3" fillId="4" borderId="6" xfId="0" applyNumberFormat="1" applyFont="1" applyFill="1" applyBorder="1" applyAlignment="1" applyProtection="1">
      <alignment vertical="center"/>
    </xf>
    <xf numFmtId="164" fontId="3" fillId="4" borderId="6" xfId="3" applyNumberFormat="1" applyFont="1" applyFill="1" applyBorder="1" applyAlignment="1" applyProtection="1">
      <alignment vertical="center"/>
    </xf>
    <xf numFmtId="37" fontId="2" fillId="0" borderId="0" xfId="0" applyNumberFormat="1" applyFont="1" applyFill="1" applyAlignment="1" applyProtection="1"/>
    <xf numFmtId="0" fontId="29" fillId="0" borderId="0" xfId="0" applyFont="1" applyAlignment="1"/>
    <xf numFmtId="0" fontId="30" fillId="0" borderId="0" xfId="0" applyFont="1" applyFill="1" applyAlignment="1"/>
    <xf numFmtId="0" fontId="29" fillId="0" borderId="0" xfId="0" applyFont="1" applyFill="1" applyAlignment="1"/>
    <xf numFmtId="0" fontId="20" fillId="0" borderId="0" xfId="0" applyFont="1" applyFill="1" applyAlignment="1">
      <alignment horizontal="center"/>
    </xf>
    <xf numFmtId="0" fontId="27" fillId="0" borderId="0" xfId="0" applyFont="1" applyFill="1" applyAlignment="1" applyProtection="1">
      <alignment horizontal="left"/>
    </xf>
    <xf numFmtId="164" fontId="2" fillId="0" borderId="0" xfId="3" applyNumberFormat="1" applyFont="1"/>
    <xf numFmtId="164" fontId="2" fillId="0" borderId="0" xfId="3" applyNumberFormat="1" applyFont="1" applyBorder="1" applyAlignment="1">
      <alignment vertical="center"/>
    </xf>
    <xf numFmtId="0" fontId="29" fillId="0" borderId="0" xfId="0" applyFont="1" applyBorder="1" applyAlignment="1"/>
    <xf numFmtId="164" fontId="2" fillId="0" borderId="3" xfId="3" applyNumberFormat="1" applyFont="1" applyFill="1" applyBorder="1" applyAlignment="1">
      <alignment vertical="center"/>
    </xf>
    <xf numFmtId="164" fontId="2" fillId="0" borderId="3" xfId="3" applyNumberFormat="1" applyFont="1" applyBorder="1" applyAlignment="1">
      <alignment vertical="center"/>
    </xf>
    <xf numFmtId="0" fontId="31" fillId="0" borderId="0" xfId="0" applyFont="1" applyAlignment="1">
      <alignment horizontal="center"/>
    </xf>
    <xf numFmtId="0" fontId="31" fillId="0" borderId="0" xfId="0" applyFont="1" applyFill="1" applyAlignment="1">
      <alignment vertical="center"/>
    </xf>
    <xf numFmtId="0" fontId="3" fillId="0" borderId="0" xfId="0" applyFont="1" applyFill="1" applyBorder="1" applyAlignment="1"/>
    <xf numFmtId="0" fontId="3" fillId="0" borderId="7" xfId="0" applyFont="1" applyFill="1" applyBorder="1" applyAlignment="1" applyProtection="1">
      <alignment horizontal="left" indent="1"/>
    </xf>
    <xf numFmtId="0" fontId="14" fillId="0" borderId="0" xfId="0" applyFont="1" applyBorder="1">
      <alignment vertical="top"/>
    </xf>
    <xf numFmtId="0" fontId="3" fillId="0" borderId="6" xfId="0" applyFont="1" applyFill="1" applyBorder="1" applyAlignment="1" applyProtection="1">
      <alignment horizontal="left" indent="1"/>
    </xf>
    <xf numFmtId="0" fontId="3" fillId="0" borderId="6" xfId="0" applyFont="1" applyFill="1" applyBorder="1" applyAlignment="1" applyProtection="1">
      <alignment horizontal="left" indent="1" shrinkToFit="1"/>
    </xf>
    <xf numFmtId="164" fontId="18" fillId="0" borderId="0" xfId="3" applyNumberFormat="1" applyFont="1" applyFill="1" applyAlignment="1">
      <alignment vertical="center"/>
    </xf>
    <xf numFmtId="0" fontId="18" fillId="0" borderId="0" xfId="0" applyFont="1" applyAlignment="1"/>
    <xf numFmtId="0" fontId="43" fillId="0" borderId="0" xfId="0" applyFont="1" applyAlignment="1"/>
    <xf numFmtId="0" fontId="43" fillId="0" borderId="0" xfId="0" applyFont="1" applyAlignment="1">
      <alignment horizontal="center"/>
    </xf>
    <xf numFmtId="37" fontId="18" fillId="0" borderId="0" xfId="0" applyNumberFormat="1" applyFont="1" applyFill="1" applyAlignment="1" applyProtection="1">
      <alignment vertical="center"/>
    </xf>
    <xf numFmtId="0" fontId="18" fillId="0" borderId="0" xfId="0" applyFont="1" applyAlignment="1">
      <alignment vertical="center"/>
    </xf>
    <xf numFmtId="0" fontId="18" fillId="0" borderId="0" xfId="0" applyFont="1" applyAlignment="1">
      <alignment horizontal="center" vertical="center"/>
    </xf>
    <xf numFmtId="168" fontId="18" fillId="0" borderId="0" xfId="5" applyNumberFormat="1" applyFont="1" applyFill="1" applyAlignment="1">
      <alignment horizontal="center" vertical="center"/>
    </xf>
    <xf numFmtId="0" fontId="18" fillId="0" borderId="0" xfId="0" applyFont="1" applyFill="1" applyAlignment="1">
      <alignment horizontal="center" vertical="center"/>
    </xf>
    <xf numFmtId="164" fontId="18" fillId="0" borderId="0" xfId="3" applyNumberFormat="1" applyFont="1" applyFill="1" applyAlignment="1">
      <alignment horizontal="center" vertical="center"/>
    </xf>
    <xf numFmtId="0" fontId="2" fillId="5" borderId="0" xfId="0" applyFont="1" applyFill="1" applyAlignment="1"/>
    <xf numFmtId="0" fontId="3" fillId="5" borderId="0" xfId="0" applyFont="1" applyFill="1" applyBorder="1" applyAlignment="1" applyProtection="1">
      <alignment horizontal="left" indent="1"/>
    </xf>
    <xf numFmtId="0" fontId="0" fillId="5" borderId="0" xfId="0" applyFill="1">
      <alignment vertical="top"/>
    </xf>
    <xf numFmtId="0" fontId="2" fillId="9" borderId="0" xfId="0" applyFont="1" applyFill="1" applyAlignment="1"/>
    <xf numFmtId="0" fontId="3" fillId="9" borderId="0" xfId="0" applyFont="1" applyFill="1" applyBorder="1" applyAlignment="1" applyProtection="1">
      <alignment horizontal="left" indent="1"/>
    </xf>
    <xf numFmtId="0" fontId="0" fillId="9" borderId="0" xfId="0" applyFill="1">
      <alignment vertical="top"/>
    </xf>
    <xf numFmtId="164" fontId="2" fillId="9" borderId="0" xfId="3" applyNumberFormat="1" applyFont="1" applyFill="1" applyBorder="1" applyAlignment="1"/>
    <xf numFmtId="164" fontId="18" fillId="5" borderId="0" xfId="3" applyNumberFormat="1" applyFont="1" applyFill="1" applyBorder="1" applyAlignment="1">
      <alignment vertical="center"/>
    </xf>
    <xf numFmtId="164" fontId="3" fillId="9" borderId="0" xfId="3" applyNumberFormat="1" applyFont="1" applyFill="1" applyBorder="1" applyAlignment="1">
      <alignment vertical="center"/>
    </xf>
    <xf numFmtId="0" fontId="0" fillId="0" borderId="0" xfId="0" applyAlignment="1">
      <alignment vertical="top"/>
    </xf>
    <xf numFmtId="0" fontId="44" fillId="5" borderId="0" xfId="0" applyFont="1" applyFill="1" applyAlignment="1">
      <alignment vertical="top"/>
    </xf>
    <xf numFmtId="0" fontId="44" fillId="9" borderId="0" xfId="0" applyFont="1" applyFill="1" applyAlignment="1">
      <alignment vertical="top"/>
    </xf>
    <xf numFmtId="164" fontId="3" fillId="0" borderId="0" xfId="3" applyNumberFormat="1" applyFont="1" applyFill="1" applyBorder="1"/>
    <xf numFmtId="0" fontId="3" fillId="5" borderId="0" xfId="0" applyFont="1" applyFill="1" applyBorder="1" applyAlignment="1"/>
    <xf numFmtId="164" fontId="18" fillId="5" borderId="0" xfId="3" applyNumberFormat="1" applyFont="1" applyFill="1" applyBorder="1"/>
    <xf numFmtId="0" fontId="14" fillId="5" borderId="0" xfId="0" applyFont="1" applyFill="1" applyBorder="1">
      <alignment vertical="top"/>
    </xf>
    <xf numFmtId="0" fontId="18" fillId="5" borderId="0" xfId="0" applyFont="1" applyFill="1" applyBorder="1" applyAlignment="1" applyProtection="1">
      <alignment horizontal="center"/>
    </xf>
    <xf numFmtId="0" fontId="46" fillId="5" borderId="0" xfId="0" applyFont="1" applyFill="1" applyBorder="1">
      <alignment vertical="top"/>
    </xf>
    <xf numFmtId="164" fontId="18" fillId="5" borderId="0" xfId="3" applyNumberFormat="1" applyFont="1" applyFill="1"/>
    <xf numFmtId="0" fontId="0" fillId="5" borderId="0" xfId="0" applyFill="1" applyBorder="1">
      <alignment vertical="top"/>
    </xf>
    <xf numFmtId="0" fontId="3" fillId="9" borderId="0" xfId="0" applyFont="1" applyFill="1" applyBorder="1" applyAlignment="1"/>
    <xf numFmtId="164" fontId="3" fillId="9" borderId="0" xfId="3" applyNumberFormat="1" applyFont="1" applyFill="1" applyBorder="1"/>
    <xf numFmtId="0" fontId="14" fillId="9" borderId="0" xfId="0" applyFont="1" applyFill="1" applyBorder="1">
      <alignment vertical="top"/>
    </xf>
    <xf numFmtId="0" fontId="2" fillId="9" borderId="0" xfId="0" applyFont="1" applyFill="1" applyBorder="1" applyAlignment="1" applyProtection="1">
      <alignment horizontal="center"/>
    </xf>
    <xf numFmtId="164" fontId="2" fillId="9" borderId="0" xfId="3" applyNumberFormat="1" applyFont="1" applyFill="1" applyBorder="1"/>
    <xf numFmtId="0" fontId="0" fillId="9" borderId="0" xfId="0" applyFill="1" applyBorder="1">
      <alignment vertical="top"/>
    </xf>
    <xf numFmtId="164" fontId="2" fillId="9" borderId="0" xfId="3" applyNumberFormat="1" applyFont="1" applyFill="1"/>
    <xf numFmtId="0" fontId="2" fillId="5" borderId="0" xfId="0" applyFont="1" applyFill="1" applyBorder="1" applyAlignment="1">
      <alignment horizontal="left" indent="1"/>
    </xf>
    <xf numFmtId="164" fontId="2" fillId="5" borderId="0" xfId="3" applyNumberFormat="1" applyFont="1" applyFill="1" applyBorder="1" applyAlignment="1"/>
    <xf numFmtId="0" fontId="2" fillId="9" borderId="0" xfId="0" applyFont="1" applyFill="1" applyBorder="1" applyAlignment="1" applyProtection="1">
      <alignment horizontal="left" indent="1"/>
    </xf>
    <xf numFmtId="164" fontId="3" fillId="0" borderId="5" xfId="3" applyNumberFormat="1" applyFont="1" applyFill="1" applyBorder="1" applyAlignment="1">
      <alignment vertical="center"/>
    </xf>
    <xf numFmtId="0" fontId="0" fillId="0" borderId="0" xfId="0" applyAlignment="1">
      <alignment vertical="center"/>
    </xf>
    <xf numFmtId="0" fontId="3" fillId="0" borderId="6"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0" fillId="5" borderId="0" xfId="0" applyFill="1" applyAlignment="1">
      <alignment vertical="center"/>
    </xf>
    <xf numFmtId="0" fontId="3" fillId="5" borderId="0" xfId="0" applyFont="1" applyFill="1" applyBorder="1" applyAlignment="1" applyProtection="1">
      <alignment horizontal="left" vertical="center"/>
    </xf>
    <xf numFmtId="0" fontId="0" fillId="9" borderId="0" xfId="0" applyFill="1" applyAlignment="1">
      <alignment vertical="center"/>
    </xf>
    <xf numFmtId="0" fontId="3" fillId="9" borderId="0"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Border="1" applyAlignment="1" applyProtection="1">
      <alignment horizontal="left" vertical="center"/>
    </xf>
    <xf numFmtId="0" fontId="2" fillId="5" borderId="0" xfId="1" applyFont="1" applyFill="1" applyBorder="1" applyAlignment="1">
      <alignment vertical="center"/>
    </xf>
    <xf numFmtId="0" fontId="2" fillId="9" borderId="0" xfId="1" applyFont="1" applyFill="1" applyBorder="1" applyAlignment="1">
      <alignment vertical="center"/>
    </xf>
    <xf numFmtId="164" fontId="18" fillId="9" borderId="0" xfId="3" applyNumberFormat="1" applyFont="1" applyFill="1" applyBorder="1" applyAlignment="1">
      <alignment vertical="center"/>
    </xf>
    <xf numFmtId="0" fontId="3" fillId="0" borderId="0" xfId="1" applyFont="1" applyFill="1" applyBorder="1" applyAlignment="1">
      <alignment vertical="center"/>
    </xf>
    <xf numFmtId="0" fontId="2" fillId="0" borderId="0" xfId="0" applyFont="1" applyFill="1" applyBorder="1" applyAlignment="1" applyProtection="1">
      <alignment horizontal="left" vertical="center"/>
    </xf>
    <xf numFmtId="10" fontId="18" fillId="0" borderId="0" xfId="4" applyNumberFormat="1" applyFont="1" applyFill="1" applyBorder="1" applyAlignment="1">
      <alignment vertical="center"/>
    </xf>
    <xf numFmtId="164" fontId="0" fillId="0" borderId="0" xfId="3" applyNumberFormat="1" applyFont="1" applyFill="1" applyAlignment="1">
      <alignment vertical="center"/>
    </xf>
    <xf numFmtId="164" fontId="0" fillId="0" borderId="0" xfId="3" applyNumberFormat="1" applyFont="1" applyAlignment="1">
      <alignment vertical="center"/>
    </xf>
    <xf numFmtId="0" fontId="2" fillId="0" borderId="4" xfId="0" applyFont="1" applyFill="1" applyBorder="1" applyAlignment="1">
      <alignment vertical="center"/>
    </xf>
    <xf numFmtId="164" fontId="2" fillId="0" borderId="0" xfId="3" applyNumberFormat="1" applyFont="1" applyFill="1" applyBorder="1" applyAlignment="1" applyProtection="1">
      <alignment horizontal="center" vertical="center"/>
    </xf>
    <xf numFmtId="164" fontId="2" fillId="9" borderId="0" xfId="3" applyNumberFormat="1" applyFont="1" applyFill="1" applyBorder="1" applyAlignment="1">
      <alignment vertical="center"/>
    </xf>
    <xf numFmtId="0" fontId="0" fillId="0" borderId="0" xfId="0" applyFill="1" applyAlignment="1">
      <alignment vertical="center"/>
    </xf>
    <xf numFmtId="10" fontId="2" fillId="0" borderId="0" xfId="4" applyNumberFormat="1" applyFont="1" applyFill="1" applyBorder="1" applyAlignment="1">
      <alignment vertical="center"/>
    </xf>
    <xf numFmtId="0" fontId="2" fillId="0" borderId="3" xfId="1" applyFont="1" applyFill="1" applyBorder="1" applyAlignment="1">
      <alignment vertical="center"/>
    </xf>
    <xf numFmtId="0" fontId="18" fillId="0" borderId="0" xfId="1" applyFont="1" applyFill="1" applyBorder="1" applyAlignment="1">
      <alignment vertical="center"/>
    </xf>
    <xf numFmtId="0" fontId="18" fillId="5" borderId="0" xfId="1" applyFont="1" applyFill="1" applyBorder="1" applyAlignment="1">
      <alignment vertical="center"/>
    </xf>
    <xf numFmtId="0" fontId="18" fillId="9" borderId="0" xfId="1" applyFont="1" applyFill="1" applyBorder="1" applyAlignment="1">
      <alignment vertical="center"/>
    </xf>
    <xf numFmtId="164" fontId="18" fillId="0" borderId="5" xfId="3" applyNumberFormat="1" applyFont="1" applyFill="1" applyBorder="1" applyAlignment="1">
      <alignment vertical="center"/>
    </xf>
    <xf numFmtId="167" fontId="2" fillId="0" borderId="0" xfId="4" applyNumberFormat="1" applyFont="1" applyFill="1" applyBorder="1" applyAlignment="1">
      <alignment vertical="center"/>
    </xf>
    <xf numFmtId="0" fontId="2" fillId="5" borderId="0" xfId="0" applyFont="1" applyFill="1" applyAlignment="1">
      <alignment vertical="center"/>
    </xf>
    <xf numFmtId="0" fontId="2" fillId="9" borderId="0" xfId="0" applyFont="1" applyFill="1" applyAlignment="1">
      <alignment vertical="center"/>
    </xf>
    <xf numFmtId="0" fontId="6" fillId="7" borderId="0" xfId="0" applyFont="1" applyFill="1" applyAlignment="1" applyProtection="1">
      <alignment vertical="center"/>
      <protection locked="0"/>
    </xf>
    <xf numFmtId="0" fontId="6" fillId="6" borderId="0" xfId="0" applyFont="1" applyFill="1" applyAlignment="1" applyProtection="1">
      <alignment vertical="center"/>
      <protection locked="0"/>
    </xf>
    <xf numFmtId="0" fontId="6" fillId="5"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7" fillId="7"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12" fillId="7" borderId="0" xfId="0" applyFont="1" applyFill="1" applyAlignment="1" applyProtection="1">
      <alignment horizontal="left" vertical="center"/>
      <protection locked="0"/>
    </xf>
    <xf numFmtId="164" fontId="6" fillId="7" borderId="0" xfId="3" applyNumberFormat="1" applyFont="1" applyFill="1" applyAlignment="1" applyProtection="1">
      <alignment vertical="center"/>
      <protection locked="0"/>
    </xf>
    <xf numFmtId="41" fontId="2" fillId="7" borderId="0" xfId="3" applyNumberFormat="1" applyFont="1" applyFill="1" applyAlignment="1" applyProtection="1">
      <alignment vertical="center"/>
      <protection locked="0"/>
    </xf>
    <xf numFmtId="41" fontId="2" fillId="0" borderId="0" xfId="3" applyNumberFormat="1" applyFont="1" applyFill="1" applyAlignment="1" applyProtection="1">
      <alignment vertical="center"/>
      <protection locked="0"/>
    </xf>
    <xf numFmtId="41" fontId="2" fillId="6" borderId="0" xfId="3" applyNumberFormat="1" applyFont="1" applyFill="1" applyAlignment="1" applyProtection="1">
      <alignment vertical="center"/>
      <protection locked="0"/>
    </xf>
    <xf numFmtId="0" fontId="10" fillId="0" borderId="0" xfId="0" applyFont="1" applyFill="1" applyAlignment="1" applyProtection="1">
      <alignment vertical="center"/>
      <protection locked="0"/>
    </xf>
    <xf numFmtId="41" fontId="2" fillId="7" borderId="1" xfId="3" applyNumberFormat="1" applyFont="1" applyFill="1" applyBorder="1" applyAlignment="1" applyProtection="1">
      <alignment vertical="center"/>
      <protection locked="0"/>
    </xf>
    <xf numFmtId="41" fontId="2" fillId="0" borderId="1" xfId="3" applyNumberFormat="1" applyFont="1" applyFill="1" applyBorder="1" applyAlignment="1" applyProtection="1">
      <alignment vertical="center"/>
      <protection locked="0"/>
    </xf>
    <xf numFmtId="41" fontId="2" fillId="6" borderId="1" xfId="3" applyNumberFormat="1" applyFont="1" applyFill="1" applyBorder="1" applyAlignment="1" applyProtection="1">
      <alignment vertical="center"/>
      <protection locked="0"/>
    </xf>
    <xf numFmtId="0" fontId="18" fillId="0" borderId="0" xfId="0" applyFont="1" applyFill="1" applyAlignment="1" applyProtection="1">
      <alignment vertical="center"/>
      <protection locked="0"/>
    </xf>
    <xf numFmtId="164" fontId="6" fillId="7" borderId="0" xfId="3" applyNumberFormat="1" applyFont="1" applyFill="1" applyAlignment="1" applyProtection="1">
      <alignment horizontal="left" vertical="center"/>
      <protection locked="0"/>
    </xf>
    <xf numFmtId="0" fontId="18" fillId="0" borderId="0" xfId="0" applyFont="1" applyFill="1" applyAlignment="1" applyProtection="1">
      <alignment horizontal="left" vertical="center"/>
      <protection locked="0"/>
    </xf>
    <xf numFmtId="41" fontId="2" fillId="7" borderId="0" xfId="3" applyNumberFormat="1" applyFont="1" applyFill="1" applyBorder="1" applyAlignment="1" applyProtection="1">
      <alignment vertical="center"/>
      <protection locked="0"/>
    </xf>
    <xf numFmtId="41" fontId="2" fillId="0" borderId="0" xfId="3" applyNumberFormat="1" applyFont="1" applyFill="1" applyBorder="1" applyAlignment="1" applyProtection="1">
      <alignment vertical="center"/>
      <protection locked="0"/>
    </xf>
    <xf numFmtId="41" fontId="2" fillId="7" borderId="2" xfId="3" applyNumberFormat="1" applyFont="1" applyFill="1" applyBorder="1" applyAlignment="1" applyProtection="1">
      <alignment vertical="center"/>
      <protection locked="0"/>
    </xf>
    <xf numFmtId="41" fontId="2" fillId="0" borderId="2" xfId="3" applyNumberFormat="1" applyFont="1" applyFill="1" applyBorder="1" applyAlignment="1" applyProtection="1">
      <alignment vertical="center"/>
      <protection locked="0"/>
    </xf>
    <xf numFmtId="41" fontId="2" fillId="6" borderId="2" xfId="3" applyNumberFormat="1" applyFont="1" applyFill="1" applyBorder="1" applyAlignment="1" applyProtection="1">
      <alignment vertical="center"/>
      <protection locked="0"/>
    </xf>
    <xf numFmtId="41" fontId="2" fillId="6" borderId="0" xfId="3" applyNumberFormat="1" applyFont="1" applyFill="1" applyBorder="1" applyAlignment="1" applyProtection="1">
      <alignment vertical="center"/>
      <protection locked="0"/>
    </xf>
    <xf numFmtId="41" fontId="2" fillId="7" borderId="0" xfId="0" applyNumberFormat="1" applyFont="1" applyFill="1" applyAlignment="1" applyProtection="1">
      <alignment vertical="center"/>
      <protection locked="0"/>
    </xf>
    <xf numFmtId="41" fontId="2" fillId="0" borderId="0" xfId="0" applyNumberFormat="1" applyFont="1" applyFill="1" applyAlignment="1" applyProtection="1">
      <alignment vertical="center"/>
      <protection locked="0"/>
    </xf>
    <xf numFmtId="41" fontId="2" fillId="6" borderId="0" xfId="0" applyNumberFormat="1" applyFont="1" applyFill="1" applyAlignment="1" applyProtection="1">
      <alignment vertical="center"/>
      <protection locked="0"/>
    </xf>
    <xf numFmtId="164" fontId="2" fillId="7" borderId="0" xfId="3" applyNumberFormat="1" applyFont="1" applyFill="1" applyAlignment="1" applyProtection="1">
      <alignment vertical="center"/>
      <protection locked="0"/>
    </xf>
    <xf numFmtId="0" fontId="32" fillId="0" borderId="0" xfId="0" applyFont="1" applyFill="1" applyAlignment="1" applyProtection="1">
      <alignment vertical="center"/>
      <protection locked="0"/>
    </xf>
    <xf numFmtId="0" fontId="10" fillId="0" borderId="0" xfId="0" applyFont="1" applyFill="1" applyAlignment="1" applyProtection="1">
      <alignment horizontal="left" vertical="center"/>
      <protection locked="0"/>
    </xf>
    <xf numFmtId="164" fontId="16" fillId="7" borderId="0" xfId="3" applyNumberFormat="1" applyFont="1" applyFill="1" applyAlignment="1" applyProtection="1">
      <alignment vertical="center"/>
      <protection locked="0"/>
    </xf>
    <xf numFmtId="41" fontId="16" fillId="0" borderId="0" xfId="3" applyNumberFormat="1" applyFont="1" applyFill="1" applyAlignment="1" applyProtection="1">
      <alignment vertical="center"/>
      <protection locked="0"/>
    </xf>
    <xf numFmtId="41" fontId="16" fillId="0" borderId="0" xfId="3" applyNumberFormat="1" applyFont="1" applyFill="1" applyBorder="1" applyAlignment="1" applyProtection="1">
      <alignment vertical="center"/>
      <protection locked="0"/>
    </xf>
    <xf numFmtId="41" fontId="16" fillId="6" borderId="0" xfId="3" applyNumberFormat="1" applyFont="1" applyFill="1" applyBorder="1" applyAlignment="1" applyProtection="1">
      <alignment vertical="center"/>
      <protection locked="0"/>
    </xf>
    <xf numFmtId="164" fontId="7" fillId="7" borderId="0" xfId="3" applyNumberFormat="1" applyFont="1" applyFill="1" applyAlignment="1" applyProtection="1">
      <alignment horizontal="left" vertical="center"/>
      <protection locked="0"/>
    </xf>
    <xf numFmtId="41" fontId="6" fillId="0" borderId="0" xfId="0" applyNumberFormat="1" applyFont="1" applyFill="1" applyAlignment="1" applyProtection="1">
      <alignment vertical="center"/>
      <protection locked="0"/>
    </xf>
    <xf numFmtId="41" fontId="6" fillId="6" borderId="0" xfId="0" applyNumberFormat="1" applyFont="1" applyFill="1" applyAlignment="1" applyProtection="1">
      <alignment vertical="center"/>
      <protection locked="0"/>
    </xf>
    <xf numFmtId="0" fontId="7" fillId="0" borderId="0" xfId="0" applyFont="1" applyFill="1" applyAlignment="1" applyProtection="1">
      <alignment vertical="center"/>
      <protection locked="0"/>
    </xf>
    <xf numFmtId="164" fontId="7" fillId="7" borderId="0" xfId="3" applyNumberFormat="1" applyFont="1" applyFill="1" applyAlignment="1" applyProtection="1">
      <alignment vertical="center"/>
      <protection locked="0"/>
    </xf>
    <xf numFmtId="41" fontId="7" fillId="7" borderId="0" xfId="0" applyNumberFormat="1" applyFont="1" applyFill="1" applyAlignment="1" applyProtection="1">
      <alignment vertical="center"/>
      <protection locked="0"/>
    </xf>
    <xf numFmtId="41" fontId="7" fillId="0" borderId="0" xfId="0" applyNumberFormat="1" applyFont="1" applyFill="1" applyAlignment="1" applyProtection="1">
      <alignment vertical="center"/>
      <protection locked="0"/>
    </xf>
    <xf numFmtId="41" fontId="7" fillId="6" borderId="0" xfId="0" applyNumberFormat="1" applyFont="1" applyFill="1" applyAlignment="1" applyProtection="1">
      <alignment vertical="center"/>
      <protection locked="0"/>
    </xf>
    <xf numFmtId="0" fontId="9" fillId="0" borderId="0" xfId="0" applyFont="1" applyFill="1" applyAlignment="1" applyProtection="1">
      <alignment vertical="center"/>
      <protection locked="0"/>
    </xf>
    <xf numFmtId="164" fontId="2" fillId="7" borderId="0" xfId="3" applyNumberFormat="1" applyFont="1" applyFill="1" applyAlignment="1" applyProtection="1">
      <alignment horizontal="left" vertical="center" shrinkToFit="1"/>
      <protection locked="0"/>
    </xf>
    <xf numFmtId="41" fontId="16" fillId="7" borderId="0" xfId="3" applyNumberFormat="1" applyFont="1" applyFill="1" applyBorder="1" applyAlignment="1" applyProtection="1">
      <alignment vertical="center"/>
      <protection locked="0"/>
    </xf>
    <xf numFmtId="164" fontId="2" fillId="7" borderId="1" xfId="3" applyNumberFormat="1" applyFont="1" applyFill="1" applyBorder="1" applyAlignment="1" applyProtection="1">
      <alignment vertical="center"/>
      <protection locked="0"/>
    </xf>
    <xf numFmtId="164" fontId="2" fillId="7" borderId="0" xfId="3" applyNumberFormat="1" applyFont="1" applyFill="1" applyAlignment="1" applyProtection="1">
      <alignment horizontal="right" vertical="center"/>
      <protection locked="0"/>
    </xf>
    <xf numFmtId="41" fontId="2" fillId="0" borderId="0" xfId="3" applyNumberFormat="1" applyFont="1" applyFill="1" applyAlignment="1" applyProtection="1">
      <alignment horizontal="right" vertical="center"/>
      <protection locked="0"/>
    </xf>
    <xf numFmtId="41" fontId="2" fillId="6" borderId="0" xfId="3" applyNumberFormat="1" applyFont="1" applyFill="1" applyAlignment="1" applyProtection="1">
      <alignment horizontal="right" vertical="center"/>
      <protection locked="0"/>
    </xf>
    <xf numFmtId="164" fontId="2" fillId="0" borderId="0" xfId="3" applyNumberFormat="1" applyFont="1" applyFill="1" applyAlignment="1" applyProtection="1">
      <alignment vertical="center"/>
      <protection locked="0"/>
    </xf>
    <xf numFmtId="41" fontId="16" fillId="6" borderId="0" xfId="3" applyNumberFormat="1" applyFont="1" applyFill="1" applyAlignment="1" applyProtection="1">
      <alignment vertical="center"/>
      <protection locked="0"/>
    </xf>
    <xf numFmtId="164" fontId="2" fillId="7" borderId="0" xfId="3" applyNumberFormat="1" applyFont="1" applyFill="1" applyBorder="1" applyAlignment="1" applyProtection="1">
      <alignment vertical="center"/>
      <protection locked="0"/>
    </xf>
    <xf numFmtId="164" fontId="16" fillId="7" borderId="1" xfId="3" applyNumberFormat="1" applyFont="1" applyFill="1" applyBorder="1" applyAlignment="1" applyProtection="1">
      <alignment vertical="center"/>
      <protection locked="0"/>
    </xf>
    <xf numFmtId="41" fontId="16" fillId="0" borderId="1" xfId="3" applyNumberFormat="1" applyFont="1" applyFill="1" applyBorder="1" applyAlignment="1" applyProtection="1">
      <alignment vertical="center"/>
      <protection locked="0"/>
    </xf>
    <xf numFmtId="41" fontId="16" fillId="6" borderId="1" xfId="3" applyNumberFormat="1" applyFont="1" applyFill="1" applyBorder="1" applyAlignment="1" applyProtection="1">
      <alignment vertical="center"/>
      <protection locked="0"/>
    </xf>
    <xf numFmtId="41" fontId="3" fillId="6" borderId="0" xfId="3" applyNumberFormat="1" applyFont="1" applyFill="1" applyBorder="1" applyAlignment="1" applyProtection="1">
      <alignment horizontal="right" vertical="center"/>
      <protection locked="0"/>
    </xf>
    <xf numFmtId="41" fontId="3" fillId="0" borderId="0" xfId="3" applyNumberFormat="1" applyFont="1" applyFill="1" applyBorder="1" applyAlignment="1" applyProtection="1">
      <alignment horizontal="right" vertical="center"/>
      <protection locked="0"/>
    </xf>
    <xf numFmtId="164" fontId="6" fillId="7" borderId="0" xfId="3" applyNumberFormat="1" applyFont="1" applyFill="1" applyAlignment="1" applyProtection="1">
      <alignment horizontal="right" vertical="center"/>
      <protection locked="0"/>
    </xf>
    <xf numFmtId="41" fontId="6" fillId="0" borderId="0" xfId="3" applyNumberFormat="1" applyFont="1" applyFill="1" applyAlignment="1" applyProtection="1">
      <alignment horizontal="right" vertical="center"/>
      <protection locked="0"/>
    </xf>
    <xf numFmtId="41" fontId="16" fillId="0" borderId="2" xfId="3" applyNumberFormat="1" applyFont="1" applyFill="1" applyBorder="1" applyAlignment="1" applyProtection="1">
      <alignment vertical="center"/>
      <protection locked="0"/>
    </xf>
    <xf numFmtId="41" fontId="16" fillId="6" borderId="2" xfId="3" applyNumberFormat="1" applyFont="1" applyFill="1" applyBorder="1" applyAlignment="1" applyProtection="1">
      <alignment vertical="center"/>
      <protection locked="0"/>
    </xf>
    <xf numFmtId="0" fontId="33" fillId="0" borderId="0" xfId="0" applyFont="1" applyFill="1" applyAlignment="1" applyProtection="1">
      <alignment vertical="center"/>
      <protection locked="0"/>
    </xf>
    <xf numFmtId="164" fontId="2" fillId="7" borderId="2" xfId="3" applyNumberFormat="1" applyFont="1" applyFill="1" applyBorder="1" applyAlignment="1" applyProtection="1">
      <alignment vertical="center"/>
      <protection locked="0"/>
    </xf>
    <xf numFmtId="0" fontId="37" fillId="0" borderId="0" xfId="0" applyFont="1" applyFill="1" applyAlignment="1" applyProtection="1">
      <alignment vertical="center"/>
      <protection locked="0"/>
    </xf>
    <xf numFmtId="164" fontId="6" fillId="0" borderId="0" xfId="3" applyNumberFormat="1" applyFont="1" applyFill="1" applyAlignment="1" applyProtection="1">
      <alignment vertical="center"/>
      <protection locked="0"/>
    </xf>
    <xf numFmtId="164" fontId="2" fillId="0" borderId="1" xfId="3" applyNumberFormat="1" applyFont="1" applyFill="1" applyBorder="1" applyAlignment="1" applyProtection="1">
      <alignment vertical="center"/>
      <protection locked="0"/>
    </xf>
    <xf numFmtId="41" fontId="6" fillId="0" borderId="0" xfId="3" applyNumberFormat="1" applyFont="1" applyFill="1" applyAlignment="1" applyProtection="1">
      <alignment vertical="center"/>
      <protection locked="0"/>
    </xf>
    <xf numFmtId="41" fontId="6" fillId="6" borderId="0" xfId="3" applyNumberFormat="1" applyFont="1" applyFill="1" applyAlignment="1" applyProtection="1">
      <alignment vertical="center"/>
      <protection locked="0"/>
    </xf>
    <xf numFmtId="41" fontId="6" fillId="6" borderId="0" xfId="3" applyNumberFormat="1" applyFont="1" applyFill="1" applyAlignment="1" applyProtection="1">
      <alignment horizontal="right" vertical="center"/>
      <protection locked="0"/>
    </xf>
    <xf numFmtId="164" fontId="16" fillId="7" borderId="0" xfId="3" applyNumberFormat="1" applyFont="1" applyFill="1" applyBorder="1" applyAlignment="1" applyProtection="1">
      <alignment vertical="center"/>
      <protection locked="0"/>
    </xf>
    <xf numFmtId="164" fontId="3" fillId="7" borderId="0" xfId="3" applyNumberFormat="1" applyFont="1" applyFill="1" applyBorder="1" applyAlignment="1" applyProtection="1">
      <alignment horizontal="right" vertical="center"/>
      <protection locked="0"/>
    </xf>
    <xf numFmtId="164" fontId="7" fillId="7" borderId="0" xfId="3" applyNumberFormat="1" applyFont="1" applyFill="1" applyAlignment="1" applyProtection="1">
      <alignment horizontal="center" vertical="center"/>
      <protection locked="0"/>
    </xf>
    <xf numFmtId="0" fontId="18" fillId="0" borderId="0" xfId="0" applyFont="1" applyFill="1" applyAlignment="1" applyProtection="1">
      <alignment vertical="center" readingOrder="1"/>
      <protection locked="0"/>
    </xf>
    <xf numFmtId="164" fontId="2" fillId="0" borderId="0" xfId="3" applyNumberFormat="1" applyFont="1" applyFill="1" applyBorder="1" applyAlignment="1" applyProtection="1">
      <alignment vertical="center"/>
      <protection locked="0"/>
    </xf>
    <xf numFmtId="164" fontId="3" fillId="7" borderId="0" xfId="3" applyNumberFormat="1" applyFont="1" applyFill="1" applyBorder="1" applyAlignment="1" applyProtection="1">
      <alignment vertical="center"/>
      <protection locked="0"/>
    </xf>
    <xf numFmtId="0" fontId="7" fillId="7" borderId="0" xfId="0" applyFont="1" applyFill="1" applyAlignment="1" applyProtection="1">
      <alignment vertical="center"/>
      <protection locked="0"/>
    </xf>
    <xf numFmtId="41" fontId="7" fillId="0" borderId="0" xfId="3" applyNumberFormat="1" applyFont="1" applyFill="1" applyAlignment="1" applyProtection="1">
      <alignment vertical="center"/>
      <protection locked="0"/>
    </xf>
    <xf numFmtId="41" fontId="7" fillId="6" borderId="0" xfId="3" applyNumberFormat="1" applyFont="1" applyFill="1" applyAlignment="1" applyProtection="1">
      <alignment vertical="center"/>
      <protection locked="0"/>
    </xf>
    <xf numFmtId="10" fontId="10" fillId="7" borderId="0" xfId="4" applyNumberFormat="1" applyFont="1" applyFill="1" applyAlignment="1" applyProtection="1">
      <alignment vertical="center"/>
      <protection locked="0"/>
    </xf>
    <xf numFmtId="10" fontId="10" fillId="0" borderId="0" xfId="4" applyNumberFormat="1" applyFont="1" applyFill="1" applyAlignment="1" applyProtection="1">
      <alignment vertical="center"/>
      <protection locked="0"/>
    </xf>
    <xf numFmtId="0" fontId="7" fillId="0" borderId="0" xfId="0" applyFont="1" applyFill="1" applyBorder="1" applyAlignment="1" applyProtection="1">
      <alignment horizontal="center" vertical="center"/>
      <protection locked="0"/>
    </xf>
    <xf numFmtId="43" fontId="34" fillId="0" borderId="0" xfId="3" applyFont="1" applyFill="1" applyAlignment="1" applyProtection="1">
      <alignment vertical="center"/>
      <protection locked="0"/>
    </xf>
    <xf numFmtId="164" fontId="15" fillId="7" borderId="0" xfId="3" applyNumberFormat="1" applyFont="1" applyFill="1" applyAlignment="1" applyProtection="1">
      <alignment horizontal="left" vertical="center"/>
      <protection locked="0"/>
    </xf>
    <xf numFmtId="164" fontId="15" fillId="7" borderId="0" xfId="3" applyNumberFormat="1" applyFont="1" applyFill="1" applyAlignment="1" applyProtection="1">
      <alignment horizontal="right" vertical="center"/>
      <protection locked="0"/>
    </xf>
    <xf numFmtId="43" fontId="6" fillId="0" borderId="0" xfId="3" applyFont="1" applyFill="1" applyAlignment="1" applyProtection="1">
      <alignment vertical="center"/>
      <protection locked="0"/>
    </xf>
    <xf numFmtId="164" fontId="17" fillId="7" borderId="0" xfId="3" applyNumberFormat="1" applyFont="1" applyFill="1" applyAlignment="1" applyProtection="1">
      <alignment horizontal="right" vertical="center"/>
      <protection locked="0"/>
    </xf>
    <xf numFmtId="41" fontId="17" fillId="0" borderId="0" xfId="3" applyNumberFormat="1" applyFont="1" applyFill="1" applyAlignment="1" applyProtection="1">
      <alignment horizontal="right" vertical="center"/>
      <protection locked="0"/>
    </xf>
    <xf numFmtId="41" fontId="17" fillId="6" borderId="0" xfId="3" applyNumberFormat="1" applyFont="1" applyFill="1" applyAlignment="1" applyProtection="1">
      <alignment horizontal="right" vertical="center"/>
      <protection locked="0"/>
    </xf>
    <xf numFmtId="164" fontId="17" fillId="0" borderId="0" xfId="3" applyNumberFormat="1" applyFont="1" applyFill="1" applyAlignment="1" applyProtection="1">
      <alignment vertical="center"/>
      <protection locked="0"/>
    </xf>
    <xf numFmtId="0" fontId="13" fillId="0" borderId="0" xfId="0" applyFont="1" applyFill="1" applyBorder="1" applyAlignment="1" applyProtection="1">
      <alignment horizontal="center" vertical="center"/>
      <protection locked="0"/>
    </xf>
    <xf numFmtId="164" fontId="7" fillId="7" borderId="0" xfId="0" applyNumberFormat="1" applyFont="1" applyFill="1" applyAlignment="1" applyProtection="1">
      <alignment vertical="center"/>
      <protection locked="0"/>
    </xf>
    <xf numFmtId="164" fontId="18" fillId="0" borderId="0" xfId="3" applyNumberFormat="1" applyFont="1" applyFill="1" applyAlignment="1" applyProtection="1">
      <alignment vertical="center"/>
      <protection locked="0"/>
    </xf>
    <xf numFmtId="164" fontId="13" fillId="7" borderId="0" xfId="3" applyNumberFormat="1" applyFont="1" applyFill="1" applyAlignment="1" applyProtection="1">
      <alignment vertical="center"/>
      <protection locked="0"/>
    </xf>
    <xf numFmtId="164" fontId="27" fillId="7" borderId="0" xfId="3" applyNumberFormat="1" applyFont="1" applyFill="1" applyAlignment="1" applyProtection="1">
      <alignment vertical="center"/>
      <protection locked="0"/>
    </xf>
    <xf numFmtId="41" fontId="27" fillId="0" borderId="0" xfId="3" applyNumberFormat="1" applyFont="1" applyFill="1" applyBorder="1" applyAlignment="1" applyProtection="1">
      <alignment vertical="center"/>
      <protection locked="0"/>
    </xf>
    <xf numFmtId="41" fontId="27" fillId="6" borderId="0" xfId="3" applyNumberFormat="1" applyFont="1" applyFill="1" applyBorder="1" applyAlignment="1" applyProtection="1">
      <alignment vertical="center"/>
      <protection locked="0"/>
    </xf>
    <xf numFmtId="41" fontId="2" fillId="7" borderId="0" xfId="3" applyNumberFormat="1" applyFont="1" applyFill="1" applyAlignment="1" applyProtection="1">
      <alignment horizontal="right" vertical="center"/>
      <protection locked="0"/>
    </xf>
    <xf numFmtId="41" fontId="16" fillId="7" borderId="2" xfId="3" applyNumberFormat="1" applyFont="1" applyFill="1" applyBorder="1" applyAlignment="1" applyProtection="1">
      <alignment vertical="center"/>
      <protection locked="0"/>
    </xf>
    <xf numFmtId="164" fontId="16" fillId="7" borderId="0" xfId="3" applyNumberFormat="1" applyFont="1" applyFill="1" applyAlignment="1" applyProtection="1">
      <alignment horizontal="right" vertical="center"/>
      <protection locked="0"/>
    </xf>
    <xf numFmtId="41" fontId="16" fillId="0" borderId="0" xfId="3" applyNumberFormat="1" applyFont="1" applyFill="1" applyAlignment="1" applyProtection="1">
      <alignment horizontal="right" vertical="center"/>
      <protection locked="0"/>
    </xf>
    <xf numFmtId="41" fontId="16" fillId="6" borderId="0" xfId="3" applyNumberFormat="1" applyFont="1" applyFill="1" applyAlignment="1" applyProtection="1">
      <alignment horizontal="right" vertical="center"/>
      <protection locked="0"/>
    </xf>
    <xf numFmtId="164" fontId="9" fillId="7" borderId="0" xfId="3" applyNumberFormat="1" applyFont="1" applyFill="1" applyAlignment="1" applyProtection="1">
      <alignment horizontal="left" vertical="center"/>
      <protection locked="0"/>
    </xf>
    <xf numFmtId="164" fontId="10" fillId="0" borderId="0" xfId="3" applyNumberFormat="1" applyFont="1" applyFill="1" applyAlignment="1" applyProtection="1">
      <alignment vertical="center"/>
      <protection locked="0"/>
    </xf>
    <xf numFmtId="164" fontId="16" fillId="7" borderId="2" xfId="3" applyNumberFormat="1" applyFont="1" applyFill="1" applyBorder="1" applyAlignment="1" applyProtection="1">
      <alignment vertical="center"/>
      <protection locked="0"/>
    </xf>
    <xf numFmtId="43" fontId="6" fillId="0" borderId="0" xfId="0" applyNumberFormat="1" applyFont="1" applyFill="1" applyAlignment="1" applyProtection="1">
      <alignment vertical="center"/>
      <protection locked="0"/>
    </xf>
    <xf numFmtId="164" fontId="2" fillId="0" borderId="2" xfId="3" applyNumberFormat="1" applyFont="1" applyFill="1" applyBorder="1" applyAlignment="1" applyProtection="1">
      <alignment vertical="center"/>
      <protection locked="0"/>
    </xf>
    <xf numFmtId="164" fontId="18" fillId="0" borderId="2" xfId="3" applyNumberFormat="1" applyFont="1" applyFill="1" applyBorder="1" applyAlignment="1" applyProtection="1">
      <alignment vertical="center"/>
      <protection locked="0"/>
    </xf>
    <xf numFmtId="165" fontId="7" fillId="7" borderId="0" xfId="0" applyNumberFormat="1" applyFont="1" applyFill="1" applyAlignment="1" applyProtection="1">
      <alignment vertical="center"/>
      <protection locked="0"/>
    </xf>
    <xf numFmtId="41" fontId="16" fillId="7" borderId="1" xfId="3" applyNumberFormat="1" applyFont="1" applyFill="1" applyBorder="1" applyAlignment="1" applyProtection="1">
      <alignment vertical="center"/>
      <protection locked="0"/>
    </xf>
    <xf numFmtId="164" fontId="10" fillId="7" borderId="0" xfId="3" applyNumberFormat="1" applyFont="1" applyFill="1" applyAlignment="1" applyProtection="1">
      <alignment horizontal="left" vertical="center"/>
      <protection locked="0"/>
    </xf>
    <xf numFmtId="164" fontId="17" fillId="7" borderId="0" xfId="3" applyNumberFormat="1" applyFont="1" applyFill="1" applyAlignment="1" applyProtection="1">
      <alignment vertical="center"/>
      <protection locked="0"/>
    </xf>
    <xf numFmtId="41" fontId="17" fillId="0" borderId="0" xfId="3" applyNumberFormat="1" applyFont="1" applyFill="1" applyAlignment="1" applyProtection="1">
      <alignment vertical="center"/>
      <protection locked="0"/>
    </xf>
    <xf numFmtId="41" fontId="17" fillId="6" borderId="0" xfId="3" applyNumberFormat="1" applyFont="1" applyFill="1" applyAlignment="1" applyProtection="1">
      <alignment vertical="center"/>
      <protection locked="0"/>
    </xf>
    <xf numFmtId="164" fontId="10" fillId="7" borderId="0" xfId="3" applyNumberFormat="1" applyFont="1" applyFill="1" applyAlignment="1" applyProtection="1">
      <alignment vertical="center"/>
      <protection locked="0"/>
    </xf>
    <xf numFmtId="0" fontId="7" fillId="0" borderId="0" xfId="0" applyFont="1" applyFill="1" applyAlignment="1" applyProtection="1">
      <alignment wrapText="1"/>
      <protection locked="0"/>
    </xf>
    <xf numFmtId="43" fontId="6" fillId="7" borderId="0" xfId="3" applyFont="1" applyFill="1" applyAlignment="1" applyProtection="1">
      <alignment vertical="center"/>
      <protection locked="0"/>
    </xf>
    <xf numFmtId="10" fontId="10" fillId="7" borderId="0" xfId="4" applyNumberFormat="1" applyFont="1" applyFill="1" applyAlignment="1" applyProtection="1">
      <alignment horizontal="center" vertical="center"/>
      <protection locked="0"/>
    </xf>
    <xf numFmtId="41" fontId="10" fillId="6" borderId="0" xfId="0" applyNumberFormat="1" applyFont="1" applyFill="1" applyAlignment="1" applyProtection="1">
      <alignment vertical="center"/>
      <protection locked="0"/>
    </xf>
    <xf numFmtId="41" fontId="10" fillId="0" borderId="0" xfId="0" applyNumberFormat="1" applyFont="1" applyFill="1" applyAlignment="1" applyProtection="1">
      <alignment vertical="center"/>
      <protection locked="0"/>
    </xf>
    <xf numFmtId="0" fontId="40" fillId="0" borderId="0" xfId="0" applyFont="1" applyFill="1" applyAlignment="1" applyProtection="1">
      <alignment vertical="center"/>
      <protection locked="0"/>
    </xf>
    <xf numFmtId="0" fontId="13" fillId="0" borderId="0" xfId="0" applyFont="1" applyFill="1" applyAlignment="1" applyProtection="1">
      <alignment horizontal="center" vertical="center"/>
      <protection locked="0"/>
    </xf>
    <xf numFmtId="0" fontId="39"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horizontal="left" vertical="center" wrapText="1"/>
      <protection locked="0"/>
    </xf>
    <xf numFmtId="0" fontId="6" fillId="0" borderId="0" xfId="0" applyFont="1" applyFill="1" applyAlignment="1" applyProtection="1">
      <alignment vertical="center"/>
    </xf>
    <xf numFmtId="1" fontId="7" fillId="7" borderId="0" xfId="0" applyNumberFormat="1" applyFont="1" applyFill="1" applyBorder="1" applyAlignment="1" applyProtection="1">
      <alignment horizontal="center" vertical="center"/>
    </xf>
    <xf numFmtId="1" fontId="7" fillId="0" borderId="0" xfId="0" applyNumberFormat="1" applyFont="1" applyFill="1" applyBorder="1" applyAlignment="1" applyProtection="1">
      <alignment horizontal="center" vertical="center"/>
    </xf>
    <xf numFmtId="1" fontId="7" fillId="6" borderId="0" xfId="0" applyNumberFormat="1" applyFont="1" applyFill="1" applyBorder="1" applyAlignment="1" applyProtection="1">
      <alignment horizontal="center" vertical="center"/>
    </xf>
    <xf numFmtId="0" fontId="7" fillId="0" borderId="0" xfId="0" applyFont="1" applyFill="1" applyAlignment="1" applyProtection="1">
      <alignment horizontal="left" vertical="center" wrapText="1"/>
    </xf>
    <xf numFmtId="0" fontId="7" fillId="7" borderId="0" xfId="0" applyFont="1" applyFill="1" applyAlignment="1" applyProtection="1">
      <alignment horizontal="center" vertical="center" wrapText="1"/>
    </xf>
    <xf numFmtId="0" fontId="7" fillId="0" borderId="0" xfId="0" applyFont="1" applyFill="1" applyAlignment="1" applyProtection="1">
      <alignment horizontal="center" vertical="center" wrapText="1"/>
    </xf>
    <xf numFmtId="0" fontId="7" fillId="6" borderId="0" xfId="0" applyFont="1" applyFill="1" applyAlignment="1" applyProtection="1">
      <alignment horizontal="center" vertical="center" wrapText="1"/>
    </xf>
    <xf numFmtId="0" fontId="42" fillId="0" borderId="0" xfId="0" applyFont="1" applyFill="1" applyAlignment="1" applyProtection="1">
      <alignment vertical="center"/>
    </xf>
    <xf numFmtId="41" fontId="2" fillId="0" borderId="0" xfId="3" applyNumberFormat="1" applyFont="1" applyFill="1" applyAlignment="1" applyProtection="1">
      <alignment vertical="center"/>
    </xf>
    <xf numFmtId="41" fontId="2" fillId="6" borderId="0" xfId="3" applyNumberFormat="1" applyFont="1" applyFill="1" applyAlignment="1" applyProtection="1">
      <alignment vertical="center"/>
    </xf>
    <xf numFmtId="41" fontId="2" fillId="0" borderId="1" xfId="3" applyNumberFormat="1" applyFont="1" applyFill="1" applyBorder="1" applyAlignment="1" applyProtection="1">
      <alignment vertical="center"/>
    </xf>
    <xf numFmtId="41" fontId="2" fillId="0" borderId="0" xfId="3" applyNumberFormat="1" applyFont="1" applyFill="1" applyBorder="1" applyAlignment="1" applyProtection="1">
      <alignment vertical="center"/>
    </xf>
    <xf numFmtId="41" fontId="2" fillId="0" borderId="2" xfId="3" applyNumberFormat="1" applyFont="1" applyFill="1" applyBorder="1" applyAlignment="1" applyProtection="1">
      <alignment vertical="center"/>
    </xf>
    <xf numFmtId="41" fontId="2" fillId="6" borderId="0" xfId="3" applyNumberFormat="1" applyFont="1" applyFill="1" applyBorder="1" applyAlignment="1" applyProtection="1">
      <alignment vertical="center"/>
    </xf>
    <xf numFmtId="41" fontId="2" fillId="0" borderId="0" xfId="0" applyNumberFormat="1" applyFont="1" applyFill="1" applyAlignment="1" applyProtection="1">
      <alignment vertical="center"/>
    </xf>
    <xf numFmtId="41" fontId="16" fillId="0" borderId="0" xfId="3" applyNumberFormat="1" applyFont="1" applyFill="1" applyAlignment="1" applyProtection="1">
      <alignment vertical="center"/>
    </xf>
    <xf numFmtId="41" fontId="16" fillId="0" borderId="0" xfId="3" applyNumberFormat="1" applyFont="1" applyFill="1" applyBorder="1" applyAlignment="1" applyProtection="1">
      <alignment vertical="center"/>
    </xf>
    <xf numFmtId="41" fontId="6" fillId="0" borderId="0" xfId="0" applyNumberFormat="1" applyFont="1" applyFill="1" applyAlignment="1" applyProtection="1">
      <alignment vertical="center"/>
    </xf>
    <xf numFmtId="41" fontId="6" fillId="6" borderId="0" xfId="0" applyNumberFormat="1" applyFont="1" applyFill="1" applyAlignment="1" applyProtection="1">
      <alignment vertical="center"/>
    </xf>
    <xf numFmtId="41" fontId="7" fillId="0" borderId="0" xfId="0" applyNumberFormat="1" applyFont="1" applyFill="1" applyAlignment="1" applyProtection="1">
      <alignment vertical="center"/>
    </xf>
    <xf numFmtId="41" fontId="7" fillId="6" borderId="0" xfId="0" applyNumberFormat="1" applyFont="1" applyFill="1" applyAlignment="1" applyProtection="1">
      <alignment vertical="center"/>
    </xf>
    <xf numFmtId="41" fontId="3" fillId="0" borderId="2" xfId="3" applyNumberFormat="1" applyFont="1" applyFill="1" applyBorder="1" applyAlignment="1" applyProtection="1">
      <alignment vertical="center"/>
    </xf>
    <xf numFmtId="41" fontId="3" fillId="6" borderId="0" xfId="0" applyNumberFormat="1" applyFont="1" applyFill="1" applyAlignment="1" applyProtection="1">
      <alignment vertical="center"/>
    </xf>
    <xf numFmtId="41" fontId="2" fillId="0" borderId="0" xfId="3" applyNumberFormat="1" applyFont="1" applyFill="1" applyAlignment="1" applyProtection="1">
      <alignment horizontal="right" vertical="center"/>
    </xf>
    <xf numFmtId="41" fontId="3" fillId="6" borderId="0" xfId="3" applyNumberFormat="1" applyFont="1" applyFill="1" applyAlignment="1" applyProtection="1">
      <alignment vertical="center"/>
    </xf>
    <xf numFmtId="41" fontId="16" fillId="0" borderId="1" xfId="3" applyNumberFormat="1" applyFont="1" applyFill="1" applyBorder="1" applyAlignment="1" applyProtection="1">
      <alignment vertical="center"/>
    </xf>
    <xf numFmtId="41" fontId="3" fillId="6" borderId="0" xfId="3" applyNumberFormat="1" applyFont="1" applyFill="1" applyBorder="1" applyAlignment="1" applyProtection="1">
      <alignment horizontal="right" vertical="center"/>
    </xf>
    <xf numFmtId="41" fontId="6" fillId="0" borderId="0" xfId="3" applyNumberFormat="1" applyFont="1" applyFill="1" applyAlignment="1" applyProtection="1">
      <alignment horizontal="right" vertical="center"/>
    </xf>
    <xf numFmtId="41" fontId="16" fillId="0" borderId="2" xfId="3" applyNumberFormat="1" applyFont="1" applyFill="1" applyBorder="1" applyAlignment="1" applyProtection="1">
      <alignment vertical="center"/>
    </xf>
    <xf numFmtId="41" fontId="3" fillId="6" borderId="0" xfId="3" applyNumberFormat="1" applyFont="1" applyFill="1" applyAlignment="1" applyProtection="1">
      <alignment horizontal="right" vertical="center"/>
    </xf>
    <xf numFmtId="41" fontId="3" fillId="0" borderId="0" xfId="3" applyNumberFormat="1" applyFont="1" applyFill="1" applyAlignment="1" applyProtection="1">
      <alignment horizontal="right" vertical="center"/>
    </xf>
    <xf numFmtId="41" fontId="6" fillId="0" borderId="0" xfId="3" applyNumberFormat="1" applyFont="1" applyFill="1" applyAlignment="1" applyProtection="1">
      <alignment vertical="center"/>
    </xf>
    <xf numFmtId="41" fontId="6" fillId="6" borderId="0" xfId="3" applyNumberFormat="1" applyFont="1" applyFill="1" applyAlignment="1" applyProtection="1">
      <alignment vertical="center"/>
    </xf>
    <xf numFmtId="41" fontId="3" fillId="0" borderId="0" xfId="3" applyNumberFormat="1" applyFont="1" applyFill="1" applyAlignment="1" applyProtection="1">
      <alignment vertical="center"/>
    </xf>
    <xf numFmtId="41" fontId="3" fillId="0" borderId="0" xfId="3" applyNumberFormat="1" applyFont="1" applyFill="1" applyBorder="1" applyAlignment="1" applyProtection="1">
      <alignment horizontal="right" vertical="center"/>
    </xf>
    <xf numFmtId="41" fontId="3" fillId="0" borderId="0" xfId="3" applyNumberFormat="1" applyFont="1" applyFill="1" applyBorder="1" applyAlignment="1" applyProtection="1">
      <alignment vertical="center"/>
    </xf>
    <xf numFmtId="41" fontId="7" fillId="0" borderId="0" xfId="3" applyNumberFormat="1" applyFont="1" applyFill="1" applyAlignment="1" applyProtection="1">
      <alignment vertical="center"/>
    </xf>
    <xf numFmtId="41" fontId="7" fillId="6" borderId="0" xfId="3" applyNumberFormat="1" applyFont="1" applyFill="1" applyAlignment="1" applyProtection="1">
      <alignment vertical="center"/>
    </xf>
    <xf numFmtId="10" fontId="10" fillId="0" borderId="0" xfId="4" applyNumberFormat="1" applyFont="1" applyFill="1" applyAlignment="1" applyProtection="1">
      <alignment vertical="center"/>
    </xf>
    <xf numFmtId="10" fontId="10" fillId="6" borderId="0" xfId="4" applyNumberFormat="1" applyFont="1" applyFill="1" applyAlignment="1" applyProtection="1">
      <alignment vertical="center"/>
    </xf>
    <xf numFmtId="41" fontId="17" fillId="0" borderId="0" xfId="3" applyNumberFormat="1" applyFont="1" applyFill="1" applyAlignment="1" applyProtection="1">
      <alignment horizontal="right" vertical="center"/>
    </xf>
    <xf numFmtId="41" fontId="27" fillId="0" borderId="0" xfId="3" applyNumberFormat="1" applyFont="1" applyFill="1" applyBorder="1" applyAlignment="1" applyProtection="1">
      <alignment vertical="center"/>
    </xf>
    <xf numFmtId="41" fontId="16" fillId="0" borderId="0" xfId="3" applyNumberFormat="1" applyFont="1" applyFill="1" applyAlignment="1" applyProtection="1">
      <alignment horizontal="right" vertical="center"/>
    </xf>
    <xf numFmtId="41" fontId="35" fillId="0" borderId="0" xfId="3" applyNumberFormat="1" applyFont="1" applyFill="1" applyAlignment="1" applyProtection="1">
      <alignment vertical="center"/>
    </xf>
    <xf numFmtId="41" fontId="35" fillId="6" borderId="0" xfId="3" applyNumberFormat="1" applyFont="1" applyFill="1" applyAlignment="1" applyProtection="1">
      <alignment vertical="center"/>
    </xf>
    <xf numFmtId="41" fontId="9" fillId="0" borderId="0" xfId="3" applyNumberFormat="1" applyFont="1" applyFill="1" applyAlignment="1" applyProtection="1">
      <alignment vertical="center"/>
    </xf>
    <xf numFmtId="41" fontId="7" fillId="0" borderId="7" xfId="3" applyNumberFormat="1" applyFont="1" applyFill="1" applyBorder="1" applyAlignment="1" applyProtection="1">
      <alignment vertical="center"/>
    </xf>
    <xf numFmtId="41" fontId="7" fillId="6" borderId="7" xfId="3" applyNumberFormat="1" applyFont="1" applyFill="1" applyBorder="1" applyAlignment="1" applyProtection="1">
      <alignment vertical="center"/>
    </xf>
    <xf numFmtId="41" fontId="10" fillId="6" borderId="0" xfId="4" applyNumberFormat="1" applyFont="1" applyFill="1" applyAlignment="1" applyProtection="1">
      <alignment vertical="center"/>
    </xf>
    <xf numFmtId="41" fontId="10" fillId="0" borderId="0" xfId="4" applyNumberFormat="1" applyFont="1" applyFill="1" applyAlignment="1" applyProtection="1">
      <alignment vertical="center"/>
    </xf>
    <xf numFmtId="41" fontId="17" fillId="0" borderId="0" xfId="3" applyNumberFormat="1" applyFont="1" applyFill="1" applyAlignment="1" applyProtection="1">
      <alignment vertical="center"/>
    </xf>
    <xf numFmtId="41" fontId="17" fillId="6" borderId="0" xfId="3" applyNumberFormat="1" applyFont="1" applyFill="1" applyAlignment="1" applyProtection="1">
      <alignment vertical="center"/>
    </xf>
    <xf numFmtId="41" fontId="3" fillId="6" borderId="0" xfId="3" applyNumberFormat="1" applyFont="1" applyFill="1" applyBorder="1" applyAlignment="1" applyProtection="1">
      <alignment vertical="center"/>
    </xf>
    <xf numFmtId="41" fontId="17" fillId="6" borderId="0" xfId="0" applyNumberFormat="1" applyFont="1" applyFill="1" applyAlignment="1" applyProtection="1">
      <alignment vertical="center"/>
    </xf>
    <xf numFmtId="41" fontId="17" fillId="0" borderId="0" xfId="0" applyNumberFormat="1" applyFont="1" applyFill="1" applyAlignment="1" applyProtection="1">
      <alignment vertical="center"/>
    </xf>
    <xf numFmtId="41" fontId="7" fillId="0" borderId="0" xfId="3" applyNumberFormat="1" applyFont="1" applyFill="1" applyAlignment="1" applyProtection="1">
      <alignment horizontal="center" vertical="center"/>
    </xf>
    <xf numFmtId="41" fontId="7" fillId="6" borderId="0" xfId="3" applyNumberFormat="1" applyFont="1" applyFill="1" applyAlignment="1" applyProtection="1">
      <alignment horizontal="center" vertical="center"/>
    </xf>
    <xf numFmtId="41" fontId="10" fillId="6" borderId="0" xfId="0" applyNumberFormat="1" applyFont="1" applyFill="1" applyAlignment="1" applyProtection="1">
      <alignment vertical="center"/>
    </xf>
    <xf numFmtId="41" fontId="10" fillId="0" borderId="0" xfId="4" applyNumberFormat="1" applyFont="1" applyFill="1" applyAlignment="1" applyProtection="1">
      <alignment horizontal="center" vertical="center"/>
    </xf>
    <xf numFmtId="41" fontId="10" fillId="0" borderId="0" xfId="3" applyNumberFormat="1" applyFont="1" applyFill="1" applyAlignment="1" applyProtection="1">
      <alignment vertical="center"/>
    </xf>
    <xf numFmtId="41" fontId="10" fillId="6" borderId="0" xfId="3" applyNumberFormat="1" applyFont="1" applyFill="1" applyAlignment="1" applyProtection="1">
      <alignment vertical="center"/>
    </xf>
    <xf numFmtId="41" fontId="15" fillId="0" borderId="0" xfId="0" applyNumberFormat="1" applyFont="1" applyFill="1" applyAlignment="1" applyProtection="1">
      <alignment vertical="center"/>
    </xf>
    <xf numFmtId="41" fontId="15" fillId="6" borderId="0" xfId="0" applyNumberFormat="1" applyFont="1" applyFill="1" applyAlignment="1" applyProtection="1">
      <alignment vertical="center"/>
    </xf>
    <xf numFmtId="41" fontId="34" fillId="0" borderId="0" xfId="3" applyNumberFormat="1" applyFont="1" applyFill="1" applyAlignment="1" applyProtection="1">
      <alignment vertical="center"/>
    </xf>
    <xf numFmtId="41" fontId="34" fillId="6" borderId="0" xfId="3" applyNumberFormat="1" applyFont="1" applyFill="1" applyAlignment="1" applyProtection="1">
      <alignment vertical="center"/>
    </xf>
    <xf numFmtId="169" fontId="6" fillId="0" borderId="0" xfId="0" applyNumberFormat="1" applyFont="1" applyFill="1" applyAlignment="1" applyProtection="1">
      <alignment vertical="center"/>
    </xf>
    <xf numFmtId="0" fontId="12"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readingOrder="1"/>
    </xf>
    <xf numFmtId="0" fontId="7" fillId="0" borderId="0" xfId="0" applyFont="1" applyFill="1" applyAlignment="1" applyProtection="1">
      <alignment horizontal="left" vertical="center"/>
    </xf>
    <xf numFmtId="0" fontId="7" fillId="0" borderId="0" xfId="0" applyFont="1" applyFill="1" applyAlignment="1" applyProtection="1">
      <alignment vertical="center"/>
    </xf>
    <xf numFmtId="0" fontId="7" fillId="0" borderId="0" xfId="0" applyFont="1" applyFill="1" applyAlignment="1" applyProtection="1">
      <alignment horizontal="center" vertical="center"/>
    </xf>
    <xf numFmtId="0" fontId="3" fillId="0" borderId="0" xfId="0" applyFont="1" applyFill="1" applyAlignment="1" applyProtection="1">
      <alignment vertical="center"/>
    </xf>
    <xf numFmtId="8" fontId="7" fillId="0" borderId="0" xfId="0" applyNumberFormat="1" applyFont="1" applyFill="1" applyAlignment="1" applyProtection="1">
      <alignment vertical="center"/>
    </xf>
    <xf numFmtId="166" fontId="7" fillId="0" borderId="0" xfId="0" applyNumberFormat="1" applyFont="1" applyFill="1" applyAlignment="1" applyProtection="1">
      <alignment vertical="center"/>
    </xf>
    <xf numFmtId="164" fontId="7" fillId="0" borderId="0" xfId="3" applyNumberFormat="1" applyFont="1" applyFill="1" applyAlignment="1" applyProtection="1">
      <alignment vertical="center"/>
    </xf>
    <xf numFmtId="10" fontId="7" fillId="0" borderId="0" xfId="4" applyNumberFormat="1" applyFont="1" applyFill="1" applyAlignment="1" applyProtection="1">
      <alignment vertical="center"/>
    </xf>
    <xf numFmtId="0" fontId="12" fillId="0" borderId="0" xfId="0" applyFont="1" applyFill="1" applyAlignment="1" applyProtection="1">
      <alignment vertical="center"/>
    </xf>
    <xf numFmtId="0" fontId="15" fillId="0" borderId="0" xfId="0" applyFont="1" applyFill="1" applyAlignment="1" applyProtection="1">
      <alignment horizontal="left" vertical="center"/>
    </xf>
    <xf numFmtId="10" fontId="6" fillId="0" borderId="0" xfId="4" applyNumberFormat="1" applyFont="1" applyFill="1" applyAlignment="1" applyProtection="1">
      <alignment vertical="center"/>
    </xf>
    <xf numFmtId="0" fontId="13" fillId="0" borderId="0" xfId="0" applyFont="1" applyFill="1" applyAlignment="1" applyProtection="1">
      <alignment vertical="center"/>
    </xf>
    <xf numFmtId="0" fontId="9" fillId="0" borderId="0" xfId="0" applyFont="1" applyFill="1" applyAlignment="1" applyProtection="1">
      <alignment horizontal="left" vertical="center"/>
    </xf>
    <xf numFmtId="0" fontId="9" fillId="0" borderId="0" xfId="0" applyFont="1" applyFill="1" applyAlignment="1" applyProtection="1">
      <alignment vertical="center"/>
    </xf>
    <xf numFmtId="0" fontId="8" fillId="0" borderId="0" xfId="0" applyFont="1" applyFill="1" applyAlignment="1" applyProtection="1">
      <alignment horizontal="left" vertical="center" wrapText="1"/>
    </xf>
    <xf numFmtId="0" fontId="10" fillId="0" borderId="0" xfId="0" applyFont="1" applyFill="1" applyAlignment="1" applyProtection="1">
      <alignment horizontal="left" vertical="center"/>
    </xf>
    <xf numFmtId="164" fontId="7" fillId="0" borderId="0" xfId="3" applyNumberFormat="1" applyFont="1" applyFill="1" applyAlignment="1" applyProtection="1">
      <alignment horizontal="left" vertical="center"/>
    </xf>
    <xf numFmtId="0" fontId="2" fillId="0" borderId="0" xfId="0" applyFont="1" applyFill="1" applyAlignment="1" applyProtection="1">
      <alignment horizontal="left" vertical="center" readingOrder="1"/>
    </xf>
    <xf numFmtId="0" fontId="10" fillId="0" borderId="0" xfId="0" applyFont="1" applyFill="1" applyAlignment="1" applyProtection="1">
      <alignment vertical="center"/>
    </xf>
    <xf numFmtId="0" fontId="6" fillId="8" borderId="0" xfId="0" applyFont="1" applyFill="1" applyAlignment="1" applyProtection="1">
      <alignment vertical="center"/>
    </xf>
    <xf numFmtId="0" fontId="10"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41" fillId="0" borderId="0" xfId="0" applyFont="1" applyFill="1" applyAlignment="1" applyProtection="1">
      <alignment vertical="center"/>
    </xf>
    <xf numFmtId="164" fontId="7" fillId="7" borderId="0" xfId="3" applyNumberFormat="1" applyFont="1" applyFill="1" applyAlignment="1" applyProtection="1">
      <alignment vertical="center"/>
    </xf>
    <xf numFmtId="41" fontId="7" fillId="7" borderId="0" xfId="0" applyNumberFormat="1" applyFont="1" applyFill="1" applyAlignment="1" applyProtection="1">
      <alignment vertical="center"/>
    </xf>
    <xf numFmtId="164" fontId="6" fillId="7" borderId="0" xfId="3" applyNumberFormat="1" applyFont="1" applyFill="1" applyAlignment="1" applyProtection="1">
      <alignment vertical="center"/>
    </xf>
    <xf numFmtId="164" fontId="3" fillId="7" borderId="2" xfId="3" applyNumberFormat="1" applyFont="1" applyFill="1" applyBorder="1" applyAlignment="1" applyProtection="1">
      <alignment vertical="center"/>
    </xf>
    <xf numFmtId="41" fontId="3" fillId="0" borderId="0" xfId="0" applyNumberFormat="1" applyFont="1" applyFill="1" applyAlignment="1" applyProtection="1">
      <alignment vertical="center"/>
    </xf>
    <xf numFmtId="164" fontId="3" fillId="7" borderId="0" xfId="3" applyNumberFormat="1" applyFont="1" applyFill="1" applyAlignment="1" applyProtection="1">
      <alignment horizontal="right" vertical="center"/>
    </xf>
    <xf numFmtId="164" fontId="6" fillId="7" borderId="0" xfId="3" applyNumberFormat="1" applyFont="1" applyFill="1" applyAlignment="1" applyProtection="1">
      <alignment horizontal="left" vertical="center"/>
    </xf>
    <xf numFmtId="164" fontId="7" fillId="7" borderId="0" xfId="3" applyNumberFormat="1" applyFont="1" applyFill="1" applyAlignment="1" applyProtection="1">
      <alignment horizontal="left" vertical="center"/>
    </xf>
    <xf numFmtId="164" fontId="3" fillId="7" borderId="0" xfId="3" applyNumberFormat="1" applyFont="1" applyFill="1" applyAlignment="1" applyProtection="1">
      <alignment vertical="center"/>
    </xf>
    <xf numFmtId="164" fontId="3" fillId="7" borderId="0" xfId="3" applyNumberFormat="1" applyFont="1" applyFill="1" applyBorder="1" applyAlignment="1" applyProtection="1">
      <alignment horizontal="right" vertical="center"/>
    </xf>
    <xf numFmtId="164" fontId="7" fillId="7" borderId="0" xfId="3" applyNumberFormat="1" applyFont="1" applyFill="1" applyAlignment="1" applyProtection="1">
      <alignment horizontal="center" vertical="center"/>
    </xf>
    <xf numFmtId="164" fontId="3" fillId="7" borderId="0" xfId="3" applyNumberFormat="1" applyFont="1" applyFill="1" applyBorder="1" applyAlignment="1" applyProtection="1">
      <alignment vertical="center"/>
    </xf>
    <xf numFmtId="164" fontId="2" fillId="7" borderId="0" xfId="3" applyNumberFormat="1" applyFont="1" applyFill="1" applyBorder="1" applyAlignment="1" applyProtection="1">
      <alignment vertical="center"/>
    </xf>
    <xf numFmtId="0" fontId="6" fillId="7" borderId="0" xfId="0" applyFont="1" applyFill="1" applyAlignment="1" applyProtection="1">
      <alignment vertical="center"/>
    </xf>
    <xf numFmtId="0" fontId="7" fillId="7" borderId="0" xfId="0" applyFont="1" applyFill="1" applyAlignment="1" applyProtection="1">
      <alignment vertical="center"/>
    </xf>
    <xf numFmtId="10" fontId="7" fillId="7" borderId="0" xfId="4" applyNumberFormat="1" applyFont="1" applyFill="1" applyAlignment="1" applyProtection="1">
      <alignment vertical="center"/>
    </xf>
    <xf numFmtId="10" fontId="10" fillId="7" borderId="0" xfId="4" applyNumberFormat="1" applyFont="1" applyFill="1" applyAlignment="1" applyProtection="1">
      <alignment vertical="center"/>
    </xf>
    <xf numFmtId="164" fontId="7" fillId="0" borderId="0" xfId="0" applyNumberFormat="1" applyFont="1" applyFill="1" applyAlignment="1" applyProtection="1">
      <alignment vertical="center"/>
    </xf>
    <xf numFmtId="10" fontId="6" fillId="7" borderId="0" xfId="4" applyNumberFormat="1" applyFont="1" applyFill="1" applyAlignment="1" applyProtection="1">
      <alignment vertical="center"/>
    </xf>
    <xf numFmtId="164" fontId="7" fillId="7" borderId="0" xfId="0" applyNumberFormat="1" applyFont="1" applyFill="1" applyAlignment="1" applyProtection="1">
      <alignment vertical="center"/>
    </xf>
    <xf numFmtId="164" fontId="2" fillId="7" borderId="0" xfId="3" applyNumberFormat="1" applyFont="1" applyFill="1" applyAlignment="1" applyProtection="1">
      <alignment vertical="center"/>
    </xf>
    <xf numFmtId="164" fontId="9" fillId="7" borderId="0" xfId="3" applyNumberFormat="1" applyFont="1" applyFill="1" applyAlignment="1" applyProtection="1">
      <alignment horizontal="center" vertical="center"/>
    </xf>
    <xf numFmtId="164" fontId="35" fillId="7" borderId="0" xfId="3" applyNumberFormat="1" applyFont="1" applyFill="1" applyAlignment="1" applyProtection="1">
      <alignment vertical="center"/>
    </xf>
    <xf numFmtId="164" fontId="7" fillId="7" borderId="0" xfId="3" applyNumberFormat="1" applyFont="1" applyFill="1" applyBorder="1" applyAlignment="1" applyProtection="1">
      <alignment vertical="center"/>
    </xf>
    <xf numFmtId="164" fontId="10" fillId="0" borderId="0" xfId="3" applyNumberFormat="1" applyFont="1" applyFill="1" applyAlignment="1" applyProtection="1">
      <alignment vertical="center"/>
    </xf>
    <xf numFmtId="164" fontId="6" fillId="7" borderId="0" xfId="0" applyNumberFormat="1" applyFont="1" applyFill="1" applyAlignment="1" applyProtection="1">
      <alignment vertical="center"/>
    </xf>
    <xf numFmtId="164" fontId="17" fillId="7" borderId="0" xfId="3" applyNumberFormat="1" applyFont="1" applyFill="1" applyAlignment="1" applyProtection="1">
      <alignment vertical="center"/>
    </xf>
    <xf numFmtId="41" fontId="6" fillId="7" borderId="0" xfId="0" applyNumberFormat="1" applyFont="1" applyFill="1" applyAlignment="1" applyProtection="1">
      <alignment vertical="center"/>
    </xf>
    <xf numFmtId="164" fontId="15" fillId="7" borderId="0" xfId="3" applyNumberFormat="1" applyFont="1" applyFill="1" applyAlignment="1" applyProtection="1">
      <alignment vertical="center"/>
    </xf>
    <xf numFmtId="164" fontId="17" fillId="7" borderId="0" xfId="0" applyNumberFormat="1" applyFont="1" applyFill="1" applyAlignment="1" applyProtection="1">
      <alignment vertical="center"/>
    </xf>
    <xf numFmtId="164" fontId="17" fillId="7" borderId="0" xfId="3" applyNumberFormat="1" applyFont="1" applyFill="1" applyAlignment="1" applyProtection="1">
      <alignment horizontal="center" vertical="center"/>
    </xf>
    <xf numFmtId="41" fontId="17" fillId="7" borderId="0" xfId="0" applyNumberFormat="1" applyFont="1" applyFill="1" applyAlignment="1" applyProtection="1">
      <alignment vertical="center"/>
    </xf>
    <xf numFmtId="43" fontId="10" fillId="7" borderId="0" xfId="3" applyFont="1" applyFill="1" applyAlignment="1" applyProtection="1">
      <alignment horizontal="center" vertical="center"/>
    </xf>
    <xf numFmtId="167" fontId="10" fillId="7" borderId="0" xfId="4" applyNumberFormat="1" applyFont="1" applyFill="1" applyAlignment="1" applyProtection="1">
      <alignment vertical="center"/>
    </xf>
    <xf numFmtId="164" fontId="15" fillId="7" borderId="0" xfId="0" applyNumberFormat="1" applyFont="1" applyFill="1" applyAlignment="1" applyProtection="1">
      <alignment vertical="center"/>
    </xf>
    <xf numFmtId="164" fontId="10" fillId="7" borderId="0" xfId="3" applyNumberFormat="1" applyFont="1" applyFill="1" applyAlignment="1" applyProtection="1">
      <alignment horizontal="center" vertical="center"/>
    </xf>
    <xf numFmtId="164" fontId="34" fillId="7" borderId="0" xfId="3" applyNumberFormat="1" applyFont="1" applyFill="1" applyAlignment="1" applyProtection="1">
      <alignment vertical="center"/>
    </xf>
    <xf numFmtId="169" fontId="6" fillId="6" borderId="0" xfId="0" applyNumberFormat="1" applyFont="1" applyFill="1" applyAlignment="1" applyProtection="1">
      <alignment vertical="center"/>
    </xf>
    <xf numFmtId="0" fontId="18" fillId="9" borderId="0" xfId="0" applyFont="1" applyFill="1" applyAlignment="1">
      <alignment vertical="center"/>
    </xf>
    <xf numFmtId="37" fontId="18" fillId="9" borderId="0" xfId="0" applyNumberFormat="1" applyFont="1" applyFill="1" applyAlignment="1" applyProtection="1">
      <alignment vertical="center"/>
    </xf>
    <xf numFmtId="43" fontId="18" fillId="9" borderId="0" xfId="3" applyFont="1" applyFill="1" applyAlignment="1" applyProtection="1">
      <alignment vertical="center"/>
    </xf>
    <xf numFmtId="0" fontId="18" fillId="9" borderId="0" xfId="0" applyFont="1" applyFill="1" applyAlignment="1">
      <alignment horizontal="center" vertical="center"/>
    </xf>
    <xf numFmtId="0" fontId="18" fillId="9" borderId="0" xfId="0" applyFont="1" applyFill="1" applyAlignment="1"/>
    <xf numFmtId="164" fontId="18" fillId="9" borderId="0" xfId="3" applyNumberFormat="1" applyFont="1" applyFill="1" applyAlignment="1" applyProtection="1">
      <alignment vertical="center"/>
    </xf>
    <xf numFmtId="164" fontId="18" fillId="9" borderId="0" xfId="0" applyNumberFormat="1" applyFont="1" applyFill="1" applyAlignment="1">
      <alignment vertical="center"/>
    </xf>
    <xf numFmtId="0" fontId="18" fillId="5" borderId="0" xfId="0" applyFont="1" applyFill="1" applyAlignment="1">
      <alignment vertical="center"/>
    </xf>
    <xf numFmtId="37" fontId="18" fillId="5" borderId="0" xfId="0" applyNumberFormat="1" applyFont="1" applyFill="1" applyAlignment="1" applyProtection="1">
      <alignment vertical="center"/>
    </xf>
    <xf numFmtId="164" fontId="18" fillId="5" borderId="0" xfId="3" applyNumberFormat="1" applyFont="1" applyFill="1" applyAlignment="1" applyProtection="1">
      <alignment vertical="center"/>
    </xf>
    <xf numFmtId="164" fontId="18" fillId="5" borderId="0" xfId="3" applyNumberFormat="1" applyFont="1" applyFill="1" applyAlignment="1">
      <alignment vertical="center"/>
    </xf>
    <xf numFmtId="164" fontId="18" fillId="5" borderId="0" xfId="3" applyNumberFormat="1" applyFont="1" applyFill="1" applyAlignment="1">
      <alignment horizontal="center" vertical="center"/>
    </xf>
    <xf numFmtId="0" fontId="18" fillId="5" borderId="0" xfId="0" applyFont="1" applyFill="1" applyAlignment="1"/>
    <xf numFmtId="43" fontId="18" fillId="5" borderId="0" xfId="3" applyFont="1" applyFill="1" applyAlignment="1" applyProtection="1">
      <alignment vertical="center"/>
    </xf>
    <xf numFmtId="0" fontId="18" fillId="5" borderId="0" xfId="0" applyFont="1" applyFill="1" applyAlignment="1">
      <alignment horizontal="center" vertical="center"/>
    </xf>
    <xf numFmtId="0" fontId="18" fillId="5" borderId="0" xfId="0" applyFont="1" applyFill="1" applyAlignment="1">
      <alignment horizontal="center"/>
    </xf>
    <xf numFmtId="164" fontId="2" fillId="5" borderId="0" xfId="0" applyNumberFormat="1" applyFont="1" applyFill="1" applyAlignment="1"/>
    <xf numFmtId="0" fontId="18" fillId="9" borderId="0" xfId="0" applyFont="1" applyFill="1" applyAlignment="1">
      <alignment horizontal="center"/>
    </xf>
    <xf numFmtId="164" fontId="2" fillId="9" borderId="0" xfId="0" applyNumberFormat="1" applyFont="1" applyFill="1" applyAlignment="1"/>
    <xf numFmtId="0" fontId="29" fillId="9" borderId="0" xfId="0" applyFont="1" applyFill="1" applyAlignment="1"/>
    <xf numFmtId="164" fontId="2" fillId="5" borderId="0" xfId="3" applyNumberFormat="1" applyFont="1" applyFill="1"/>
    <xf numFmtId="0" fontId="29" fillId="5" borderId="0" xfId="0" applyFont="1" applyFill="1" applyAlignment="1"/>
    <xf numFmtId="43" fontId="18" fillId="0" borderId="0" xfId="3" applyFont="1" applyFill="1" applyBorder="1" applyAlignment="1">
      <alignment vertical="center"/>
    </xf>
    <xf numFmtId="0" fontId="3" fillId="0" borderId="0" xfId="0" applyFont="1" applyFill="1" applyBorder="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4" fontId="7" fillId="0" borderId="0" xfId="3" applyNumberFormat="1" applyFont="1" applyFill="1" applyAlignment="1" applyProtection="1">
      <alignment vertical="center"/>
      <protection locked="0"/>
    </xf>
    <xf numFmtId="0" fontId="6" fillId="0" borderId="0" xfId="0" applyFont="1" applyFill="1" applyAlignment="1" applyProtection="1">
      <alignment vertical="center"/>
    </xf>
    <xf numFmtId="0" fontId="10" fillId="0" borderId="0" xfId="0" applyFont="1" applyFill="1" applyAlignment="1" applyProtection="1">
      <alignment horizontal="center" vertical="center"/>
    </xf>
    <xf numFmtId="0" fontId="48" fillId="8" borderId="0" xfId="0" applyFont="1" applyFill="1" applyAlignment="1" applyProtection="1">
      <alignment vertical="center"/>
    </xf>
    <xf numFmtId="164" fontId="48" fillId="8" borderId="0" xfId="3" applyNumberFormat="1" applyFont="1" applyFill="1" applyAlignment="1" applyProtection="1">
      <alignment vertical="center"/>
    </xf>
    <xf numFmtId="41" fontId="48" fillId="8" borderId="0" xfId="0" applyNumberFormat="1" applyFont="1" applyFill="1" applyAlignment="1" applyProtection="1">
      <alignment vertical="center"/>
    </xf>
    <xf numFmtId="164" fontId="48" fillId="8" borderId="0" xfId="0" applyNumberFormat="1" applyFont="1" applyFill="1" applyAlignment="1" applyProtection="1">
      <alignment vertical="center"/>
    </xf>
    <xf numFmtId="0" fontId="48" fillId="8" borderId="0" xfId="0" applyFont="1" applyFill="1" applyAlignment="1" applyProtection="1">
      <alignment horizontal="center" vertical="center"/>
    </xf>
    <xf numFmtId="41" fontId="48" fillId="8" borderId="0" xfId="3" applyNumberFormat="1" applyFont="1" applyFill="1" applyAlignment="1" applyProtection="1">
      <alignment vertical="center"/>
    </xf>
    <xf numFmtId="0" fontId="49" fillId="8" borderId="0" xfId="0" applyFont="1" applyFill="1" applyAlignment="1" applyProtection="1">
      <alignment vertical="center"/>
    </xf>
    <xf numFmtId="164" fontId="49" fillId="8" borderId="0" xfId="3" applyNumberFormat="1" applyFont="1" applyFill="1" applyAlignment="1" applyProtection="1">
      <alignment vertical="center"/>
    </xf>
    <xf numFmtId="41" fontId="49" fillId="8" borderId="0" xfId="0" applyNumberFormat="1" applyFont="1" applyFill="1" applyAlignment="1" applyProtection="1">
      <alignment vertical="center"/>
    </xf>
    <xf numFmtId="41" fontId="48" fillId="8" borderId="0" xfId="4" applyNumberFormat="1" applyFont="1" applyFill="1" applyAlignment="1" applyProtection="1">
      <alignment vertical="center"/>
    </xf>
    <xf numFmtId="0" fontId="48" fillId="0" borderId="0" xfId="0" applyFont="1" applyFill="1" applyAlignment="1" applyProtection="1">
      <alignment vertical="center"/>
    </xf>
    <xf numFmtId="0" fontId="49" fillId="0" borderId="0" xfId="0" applyFont="1" applyFill="1" applyAlignment="1" applyProtection="1">
      <alignment vertical="center"/>
    </xf>
    <xf numFmtId="0" fontId="49" fillId="0" borderId="0" xfId="0" applyFont="1" applyFill="1" applyAlignment="1" applyProtection="1">
      <alignment horizontal="right" vertical="center"/>
    </xf>
    <xf numFmtId="164" fontId="49" fillId="0" borderId="0" xfId="3" applyNumberFormat="1" applyFont="1" applyFill="1" applyAlignment="1" applyProtection="1">
      <alignment vertical="center"/>
    </xf>
    <xf numFmtId="41" fontId="49" fillId="0" borderId="0" xfId="0" applyNumberFormat="1" applyFont="1" applyFill="1" applyAlignment="1" applyProtection="1">
      <alignment vertical="center"/>
    </xf>
    <xf numFmtId="164" fontId="47" fillId="8" borderId="0" xfId="3" applyNumberFormat="1"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164" fontId="2" fillId="0" borderId="0" xfId="3" applyNumberFormat="1" applyFont="1" applyFill="1" applyAlignment="1" applyProtection="1">
      <alignment horizontal="right" vertical="center"/>
      <protection locked="0"/>
    </xf>
    <xf numFmtId="41" fontId="2" fillId="0" borderId="1" xfId="3" applyNumberFormat="1" applyFont="1" applyFill="1" applyBorder="1" applyAlignment="1" applyProtection="1">
      <alignment horizontal="center" vertical="center"/>
      <protection locked="0"/>
    </xf>
    <xf numFmtId="41" fontId="2" fillId="0" borderId="0" xfId="0" applyNumberFormat="1" applyFont="1" applyFill="1" applyAlignment="1" applyProtection="1">
      <alignment horizontal="center" vertical="center"/>
      <protection locked="0"/>
    </xf>
    <xf numFmtId="164" fontId="2" fillId="0" borderId="0" xfId="3" applyNumberFormat="1" applyFont="1" applyFill="1" applyAlignment="1" applyProtection="1">
      <alignment horizontal="center" vertical="center"/>
      <protection locked="0"/>
    </xf>
    <xf numFmtId="164" fontId="3" fillId="0" borderId="0" xfId="3" applyNumberFormat="1" applyFont="1" applyFill="1" applyBorder="1" applyAlignment="1" applyProtection="1">
      <alignment horizontal="center" vertical="center"/>
    </xf>
    <xf numFmtId="164" fontId="2" fillId="0" borderId="1" xfId="3" applyNumberFormat="1" applyFont="1" applyFill="1" applyBorder="1" applyAlignment="1" applyProtection="1">
      <alignment horizontal="center" vertical="center"/>
      <protection locked="0"/>
    </xf>
    <xf numFmtId="164" fontId="2" fillId="0" borderId="0" xfId="3" applyNumberFormat="1" applyFont="1" applyFill="1" applyBorder="1" applyAlignment="1" applyProtection="1">
      <alignment horizontal="center" vertical="center"/>
      <protection locked="0"/>
    </xf>
    <xf numFmtId="164" fontId="6" fillId="0" borderId="0" xfId="3" applyNumberFormat="1" applyFont="1" applyFill="1" applyAlignment="1" applyProtection="1">
      <alignment horizontal="center" vertical="center"/>
    </xf>
    <xf numFmtId="10" fontId="6" fillId="0" borderId="0" xfId="4" applyNumberFormat="1" applyFont="1" applyFill="1" applyAlignment="1" applyProtection="1">
      <alignment horizontal="center" vertical="center"/>
    </xf>
    <xf numFmtId="41" fontId="7" fillId="0" borderId="0" xfId="0" applyNumberFormat="1" applyFont="1" applyFill="1" applyAlignment="1" applyProtection="1">
      <alignment horizontal="center" vertical="center"/>
    </xf>
    <xf numFmtId="41" fontId="2" fillId="0" borderId="0" xfId="3" applyNumberFormat="1" applyFont="1" applyFill="1" applyBorder="1" applyAlignment="1" applyProtection="1">
      <alignment horizontal="center" vertical="center"/>
      <protection locked="0"/>
    </xf>
    <xf numFmtId="164" fontId="2" fillId="0" borderId="2" xfId="3" applyNumberFormat="1" applyFont="1" applyFill="1" applyBorder="1" applyAlignment="1" applyProtection="1">
      <alignment horizontal="center" vertical="center"/>
      <protection locked="0"/>
    </xf>
    <xf numFmtId="164" fontId="2" fillId="0" borderId="0" xfId="3" applyNumberFormat="1" applyFont="1" applyFill="1" applyAlignment="1" applyProtection="1">
      <alignment horizontal="center" vertical="center"/>
    </xf>
    <xf numFmtId="41" fontId="2" fillId="0" borderId="0" xfId="3" applyNumberFormat="1" applyFont="1" applyFill="1" applyBorder="1" applyAlignment="1" applyProtection="1">
      <alignment horizontal="center" vertical="center"/>
    </xf>
    <xf numFmtId="41" fontId="6" fillId="0" borderId="0" xfId="0" applyNumberFormat="1" applyFont="1" applyFill="1" applyAlignment="1" applyProtection="1">
      <alignment horizontal="center" vertical="center"/>
    </xf>
    <xf numFmtId="41" fontId="16" fillId="0" borderId="0" xfId="3" applyNumberFormat="1" applyFont="1" applyFill="1" applyBorder="1" applyAlignment="1" applyProtection="1">
      <alignment horizontal="center" vertical="center"/>
      <protection locked="0"/>
    </xf>
    <xf numFmtId="164" fontId="10" fillId="0" borderId="0" xfId="0" applyNumberFormat="1" applyFont="1" applyFill="1" applyAlignment="1" applyProtection="1">
      <alignment horizontal="center" vertical="center"/>
      <protection locked="0"/>
    </xf>
    <xf numFmtId="164" fontId="10" fillId="0" borderId="0" xfId="3" applyNumberFormat="1" applyFont="1" applyFill="1" applyAlignment="1" applyProtection="1">
      <alignment horizontal="center" vertical="center"/>
    </xf>
    <xf numFmtId="9" fontId="10" fillId="0" borderId="0" xfId="4" applyFont="1" applyFill="1" applyAlignment="1" applyProtection="1">
      <alignment horizontal="center" vertical="center"/>
    </xf>
    <xf numFmtId="41" fontId="48" fillId="8" borderId="0" xfId="0" applyNumberFormat="1" applyFont="1" applyFill="1" applyAlignment="1" applyProtection="1">
      <alignment horizontal="center" vertical="center"/>
    </xf>
    <xf numFmtId="41" fontId="48" fillId="0" borderId="0" xfId="0" applyNumberFormat="1"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18" fillId="0"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4" fontId="6" fillId="0" borderId="0" xfId="3" applyNumberFormat="1" applyFont="1" applyFill="1" applyAlignment="1" applyProtection="1">
      <alignment horizontal="left" vertical="center"/>
      <protection locked="0"/>
    </xf>
    <xf numFmtId="0" fontId="13" fillId="0" borderId="0" xfId="0"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3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0" fillId="5" borderId="0" xfId="0" applyFill="1" applyAlignment="1">
      <alignment vertical="top"/>
    </xf>
    <xf numFmtId="0" fontId="1" fillId="0" borderId="0" xfId="0" applyFont="1" applyAlignment="1">
      <alignment vertical="center"/>
    </xf>
    <xf numFmtId="0" fontId="6" fillId="0" borderId="0" xfId="0" applyFont="1" applyFill="1" applyAlignment="1" applyProtection="1">
      <alignment horizontal="left" vertical="center"/>
    </xf>
    <xf numFmtId="164" fontId="48" fillId="8" borderId="0" xfId="3" applyNumberFormat="1" applyFont="1" applyFill="1" applyAlignment="1" applyProtection="1">
      <alignment vertical="center"/>
      <protection locked="0"/>
    </xf>
    <xf numFmtId="0" fontId="48" fillId="8" borderId="0" xfId="0" applyFont="1" applyFill="1" applyAlignment="1" applyProtection="1">
      <alignment horizontal="center" vertical="center"/>
      <protection locked="0"/>
    </xf>
    <xf numFmtId="0" fontId="48" fillId="8" borderId="0" xfId="0" applyFont="1" applyFill="1" applyAlignment="1" applyProtection="1">
      <alignment vertical="center"/>
      <protection locked="0"/>
    </xf>
    <xf numFmtId="10" fontId="50" fillId="8" borderId="0" xfId="4"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164" fontId="7" fillId="0" borderId="0" xfId="3" applyNumberFormat="1" applyFont="1" applyFill="1" applyAlignment="1" applyProtection="1">
      <alignment horizontal="center" vertical="center"/>
    </xf>
    <xf numFmtId="169" fontId="7" fillId="0" borderId="0" xfId="0" applyNumberFormat="1" applyFont="1" applyFill="1" applyAlignment="1" applyProtection="1">
      <alignment vertical="center"/>
    </xf>
    <xf numFmtId="169" fontId="49" fillId="8" borderId="0" xfId="3" applyNumberFormat="1" applyFont="1" applyFill="1" applyAlignment="1" applyProtection="1">
      <alignment vertical="center"/>
    </xf>
    <xf numFmtId="41" fontId="48" fillId="8" borderId="0" xfId="3" applyNumberFormat="1" applyFont="1" applyFill="1" applyAlignment="1" applyProtection="1">
      <alignment vertical="center"/>
      <protection locked="0"/>
    </xf>
    <xf numFmtId="0" fontId="53" fillId="0" borderId="0" xfId="0" applyFont="1" applyFill="1" applyAlignment="1" applyProtection="1">
      <alignment vertical="center"/>
    </xf>
    <xf numFmtId="0" fontId="54" fillId="0" borderId="0" xfId="0" applyFont="1" applyFill="1" applyAlignment="1" applyProtection="1">
      <alignment vertical="center"/>
    </xf>
    <xf numFmtId="164" fontId="54" fillId="7" borderId="0" xfId="3" applyNumberFormat="1" applyFont="1" applyFill="1" applyAlignment="1" applyProtection="1">
      <alignment vertical="center"/>
    </xf>
    <xf numFmtId="0" fontId="53" fillId="7" borderId="0" xfId="0" applyFont="1" applyFill="1" applyAlignment="1" applyProtection="1">
      <alignment vertical="center"/>
    </xf>
    <xf numFmtId="41" fontId="53" fillId="0" borderId="0" xfId="0" applyNumberFormat="1" applyFont="1" applyFill="1" applyAlignment="1" applyProtection="1">
      <alignment vertical="center"/>
    </xf>
    <xf numFmtId="41" fontId="53" fillId="6" borderId="0" xfId="0" applyNumberFormat="1" applyFont="1" applyFill="1" applyAlignment="1" applyProtection="1">
      <alignment vertical="center"/>
    </xf>
    <xf numFmtId="0" fontId="53" fillId="0" borderId="0" xfId="0" applyFont="1" applyFill="1" applyAlignment="1" applyProtection="1">
      <alignment horizontal="center" vertical="center"/>
    </xf>
    <xf numFmtId="0" fontId="55" fillId="0" borderId="0" xfId="0" applyFont="1" applyFill="1" applyAlignment="1" applyProtection="1">
      <alignment vertical="center"/>
    </xf>
    <xf numFmtId="0" fontId="56" fillId="0" borderId="0" xfId="0" applyFont="1" applyFill="1" applyAlignment="1" applyProtection="1">
      <alignment vertical="center"/>
    </xf>
    <xf numFmtId="164" fontId="56" fillId="7" borderId="0" xfId="3" applyNumberFormat="1" applyFont="1" applyFill="1" applyAlignment="1" applyProtection="1">
      <alignment vertical="center"/>
    </xf>
    <xf numFmtId="0" fontId="55" fillId="7" borderId="0" xfId="0" applyFont="1" applyFill="1" applyAlignment="1" applyProtection="1">
      <alignment vertical="center"/>
    </xf>
    <xf numFmtId="41" fontId="55" fillId="0" borderId="0" xfId="0" applyNumberFormat="1" applyFont="1" applyFill="1" applyAlignment="1" applyProtection="1">
      <alignment vertical="center"/>
    </xf>
    <xf numFmtId="41" fontId="55" fillId="6" borderId="0" xfId="0" applyNumberFormat="1" applyFont="1" applyFill="1" applyAlignment="1" applyProtection="1">
      <alignment vertical="center"/>
    </xf>
    <xf numFmtId="0" fontId="55" fillId="0" borderId="0" xfId="0" applyFont="1" applyFill="1" applyAlignment="1" applyProtection="1">
      <alignment horizontal="center" vertical="center"/>
    </xf>
    <xf numFmtId="0" fontId="6" fillId="0" borderId="0" xfId="0" applyFont="1" applyFill="1" applyAlignment="1" applyProtection="1">
      <alignment vertical="center"/>
    </xf>
    <xf numFmtId="0" fontId="44" fillId="5" borderId="0" xfId="0" applyFont="1" applyFill="1" applyAlignment="1">
      <alignment vertical="center"/>
    </xf>
    <xf numFmtId="0" fontId="44" fillId="9" borderId="0" xfId="0" applyFont="1" applyFill="1" applyAlignment="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4" fontId="16" fillId="0" borderId="2" xfId="3" applyNumberFormat="1"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164" fontId="9" fillId="0" borderId="0" xfId="3" applyNumberFormat="1" applyFont="1" applyFill="1" applyAlignment="1" applyProtection="1">
      <alignment horizontal="center" vertical="center"/>
    </xf>
    <xf numFmtId="164" fontId="35" fillId="0" borderId="0" xfId="3" applyNumberFormat="1" applyFont="1" applyFill="1" applyAlignment="1" applyProtection="1">
      <alignment vertical="center"/>
    </xf>
    <xf numFmtId="164" fontId="9" fillId="0" borderId="0" xfId="3"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4" fontId="7" fillId="0" borderId="0" xfId="3" applyNumberFormat="1" applyFont="1" applyFill="1" applyAlignment="1" applyProtection="1">
      <alignment horizontal="lef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169" fontId="6" fillId="6" borderId="0" xfId="0" applyNumberFormat="1" applyFont="1" applyFill="1" applyAlignment="1" applyProtection="1">
      <alignment vertical="center"/>
      <protection locked="0"/>
    </xf>
    <xf numFmtId="169" fontId="6" fillId="0" borderId="0" xfId="0" applyNumberFormat="1" applyFont="1" applyFill="1" applyAlignment="1" applyProtection="1">
      <alignment vertical="center"/>
      <protection locked="0"/>
    </xf>
    <xf numFmtId="169" fontId="7" fillId="0" borderId="0" xfId="3" applyNumberFormat="1" applyFont="1" applyFill="1" applyAlignment="1" applyProtection="1">
      <alignment vertical="center"/>
    </xf>
    <xf numFmtId="169" fontId="10" fillId="0" borderId="0" xfId="4" applyNumberFormat="1" applyFont="1" applyFill="1" applyAlignment="1" applyProtection="1">
      <alignment vertical="center"/>
    </xf>
    <xf numFmtId="169" fontId="7" fillId="6" borderId="0" xfId="0" applyNumberFormat="1" applyFont="1" applyFill="1" applyAlignment="1" applyProtection="1">
      <alignment vertical="center"/>
      <protection locked="0"/>
    </xf>
    <xf numFmtId="169" fontId="7" fillId="0" borderId="0" xfId="0" applyNumberFormat="1" applyFont="1" applyFill="1" applyAlignment="1" applyProtection="1">
      <alignment vertical="center"/>
      <protection locked="0"/>
    </xf>
    <xf numFmtId="169" fontId="7" fillId="6" borderId="0" xfId="3" applyNumberFormat="1" applyFont="1" applyFill="1" applyAlignment="1" applyProtection="1">
      <alignment vertical="center"/>
      <protection locked="0"/>
    </xf>
    <xf numFmtId="169" fontId="7" fillId="0" borderId="0" xfId="3" applyNumberFormat="1" applyFont="1" applyFill="1" applyAlignment="1" applyProtection="1">
      <alignment vertical="center"/>
      <protection locked="0"/>
    </xf>
    <xf numFmtId="169" fontId="10" fillId="6" borderId="0" xfId="4" applyNumberFormat="1" applyFont="1" applyFill="1" applyAlignment="1" applyProtection="1">
      <alignment vertical="center"/>
      <protection locked="0"/>
    </xf>
    <xf numFmtId="169" fontId="10" fillId="0" borderId="0" xfId="4" applyNumberFormat="1" applyFont="1" applyFill="1" applyAlignment="1" applyProtection="1">
      <alignment vertical="center"/>
      <protection locked="0"/>
    </xf>
    <xf numFmtId="169" fontId="6" fillId="6" borderId="0" xfId="4" applyNumberFormat="1" applyFont="1" applyFill="1" applyAlignment="1" applyProtection="1">
      <alignment vertical="center"/>
      <protection locked="0"/>
    </xf>
    <xf numFmtId="169" fontId="6" fillId="0" borderId="0" xfId="4" applyNumberFormat="1" applyFont="1" applyFill="1" applyAlignment="1" applyProtection="1">
      <alignment vertical="center"/>
      <protection locked="0"/>
    </xf>
    <xf numFmtId="164" fontId="50" fillId="8" borderId="0" xfId="3" applyNumberFormat="1" applyFont="1" applyFill="1" applyAlignment="1" applyProtection="1">
      <alignment vertical="center"/>
      <protection locked="0"/>
    </xf>
    <xf numFmtId="0" fontId="47" fillId="8" borderId="0" xfId="0" applyFont="1" applyFill="1" applyAlignment="1" applyProtection="1">
      <alignment horizontal="center" vertical="center"/>
      <protection locked="0"/>
    </xf>
    <xf numFmtId="164" fontId="49" fillId="8" borderId="0" xfId="3" applyNumberFormat="1" applyFont="1" applyFill="1" applyAlignment="1" applyProtection="1">
      <alignment vertical="center"/>
      <protection locked="0"/>
    </xf>
    <xf numFmtId="0" fontId="59" fillId="8" borderId="0" xfId="0" applyFont="1" applyFill="1" applyAlignment="1" applyProtection="1">
      <alignment vertical="center"/>
      <protection locked="0"/>
    </xf>
    <xf numFmtId="41" fontId="50" fillId="8" borderId="0" xfId="4" applyNumberFormat="1" applyFont="1" applyFill="1" applyAlignment="1" applyProtection="1">
      <alignment vertical="center"/>
      <protection locked="0"/>
    </xf>
    <xf numFmtId="169" fontId="50" fillId="8" borderId="0" xfId="4" applyNumberFormat="1" applyFont="1" applyFill="1" applyAlignment="1" applyProtection="1">
      <alignment vertical="center"/>
    </xf>
    <xf numFmtId="169" fontId="48" fillId="8" borderId="0" xfId="4" applyNumberFormat="1" applyFont="1" applyFill="1" applyAlignment="1" applyProtection="1">
      <alignment vertical="center"/>
      <protection locked="0"/>
    </xf>
    <xf numFmtId="0" fontId="52" fillId="8" borderId="0" xfId="0" applyFont="1" applyFill="1" applyAlignment="1" applyProtection="1">
      <alignment horizontal="center" vertical="center"/>
      <protection locked="0"/>
    </xf>
    <xf numFmtId="43" fontId="50" fillId="8" borderId="0" xfId="3" applyFont="1" applyFill="1" applyAlignment="1" applyProtection="1">
      <alignment vertical="center"/>
      <protection locked="0"/>
    </xf>
    <xf numFmtId="0" fontId="7"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0" fontId="38" fillId="0" borderId="0" xfId="0" applyFont="1" applyFill="1" applyAlignment="1" applyProtection="1">
      <alignment horizontal="left" vertical="center" indent="1"/>
    </xf>
    <xf numFmtId="41" fontId="38" fillId="0" borderId="0" xfId="3"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0" fontId="2" fillId="0" borderId="0" xfId="0" applyFont="1" applyFill="1" applyAlignment="1">
      <alignment vertical="center" wrapText="1"/>
    </xf>
    <xf numFmtId="0" fontId="50" fillId="0"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3" fillId="0" borderId="0" xfId="0" applyFont="1" applyFill="1" applyAlignment="1" applyProtection="1">
      <alignment horizontal="right" vertical="center"/>
    </xf>
    <xf numFmtId="164" fontId="3" fillId="0" borderId="0" xfId="3" applyNumberFormat="1" applyFont="1" applyFill="1" applyAlignment="1" applyProtection="1">
      <alignment vertical="center"/>
    </xf>
    <xf numFmtId="41" fontId="2" fillId="0" borderId="0" xfId="0" applyNumberFormat="1"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41"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59" fillId="8" borderId="0" xfId="0" applyFont="1" applyFill="1" applyAlignment="1" applyProtection="1">
      <alignment vertical="center"/>
    </xf>
    <xf numFmtId="41" fontId="38" fillId="0" borderId="0" xfId="0" applyNumberFormat="1" applyFont="1" applyFill="1" applyAlignment="1" applyProtection="1">
      <alignment vertical="center"/>
    </xf>
    <xf numFmtId="41" fontId="60" fillId="0" borderId="0" xfId="0" applyNumberFormat="1" applyFont="1" applyFill="1" applyAlignment="1" applyProtection="1">
      <alignment vertical="center"/>
    </xf>
    <xf numFmtId="0" fontId="49" fillId="8" borderId="0" xfId="0" applyFont="1" applyFill="1" applyAlignment="1" applyProtection="1">
      <alignment horizontal="right" vertical="center"/>
    </xf>
    <xf numFmtId="0" fontId="27" fillId="0" borderId="0" xfId="0" applyFont="1" applyFill="1" applyAlignment="1" applyProtection="1">
      <alignment horizontal="left" vertical="center"/>
    </xf>
    <xf numFmtId="0" fontId="6" fillId="0" borderId="0" xfId="0" applyFont="1" applyFill="1" applyAlignment="1" applyProtection="1">
      <alignment vertical="center"/>
    </xf>
    <xf numFmtId="169" fontId="7" fillId="6" borderId="0" xfId="0" applyNumberFormat="1" applyFont="1" applyFill="1" applyAlignment="1" applyProtection="1">
      <alignment vertical="center"/>
    </xf>
    <xf numFmtId="41" fontId="38" fillId="6" borderId="0" xfId="3" applyNumberFormat="1" applyFont="1" applyFill="1" applyAlignment="1" applyProtection="1">
      <alignment vertical="center"/>
    </xf>
    <xf numFmtId="41" fontId="49" fillId="6" borderId="0" xfId="0" applyNumberFormat="1" applyFont="1" applyFill="1" applyAlignment="1" applyProtection="1">
      <alignment vertical="center"/>
    </xf>
    <xf numFmtId="41" fontId="38" fillId="6" borderId="0" xfId="0" applyNumberFormat="1" applyFont="1" applyFill="1" applyAlignment="1" applyProtection="1">
      <alignment vertical="center"/>
    </xf>
    <xf numFmtId="41" fontId="60" fillId="6" borderId="0" xfId="0" applyNumberFormat="1" applyFont="1" applyFill="1" applyAlignment="1" applyProtection="1">
      <alignment vertical="center"/>
    </xf>
    <xf numFmtId="41" fontId="16" fillId="6" borderId="0" xfId="3" applyNumberFormat="1" applyFont="1" applyFill="1" applyBorder="1" applyAlignment="1" applyProtection="1">
      <alignment vertical="center"/>
    </xf>
    <xf numFmtId="41" fontId="9" fillId="6" borderId="0" xfId="3" applyNumberFormat="1" applyFont="1" applyFill="1" applyAlignment="1" applyProtection="1">
      <alignment vertical="center"/>
    </xf>
    <xf numFmtId="41" fontId="2" fillId="6" borderId="2" xfId="3" applyNumberFormat="1" applyFont="1" applyFill="1" applyBorder="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0" fillId="0" borderId="0" xfId="0" applyFont="1" applyFill="1" applyAlignment="1">
      <alignment vertical="center"/>
    </xf>
    <xf numFmtId="0" fontId="26" fillId="0" borderId="0" xfId="0" applyFont="1" applyFill="1" applyAlignment="1">
      <alignment vertical="center"/>
    </xf>
    <xf numFmtId="0" fontId="6" fillId="0" borderId="0" xfId="0" applyFont="1" applyFill="1" applyAlignment="1" applyProtection="1">
      <alignment horizontal="left" vertical="center"/>
    </xf>
    <xf numFmtId="0" fontId="2" fillId="0" borderId="0" xfId="0" applyFont="1" applyFill="1" applyAlignment="1">
      <alignment vertical="center" wrapText="1"/>
    </xf>
    <xf numFmtId="0" fontId="2" fillId="0" borderId="0" xfId="1" applyFont="1" applyFill="1" applyAlignment="1">
      <alignment horizontal="left" vertical="center" indent="1"/>
    </xf>
    <xf numFmtId="0" fontId="2" fillId="0" borderId="0" xfId="0" applyFont="1" applyFill="1" applyAlignment="1">
      <alignment horizontal="left" vertical="center" indent="1"/>
    </xf>
    <xf numFmtId="0" fontId="2" fillId="0" borderId="0" xfId="0" applyFont="1" applyFill="1" applyAlignment="1" applyProtection="1">
      <alignment horizontal="left" vertical="center" indent="1"/>
    </xf>
    <xf numFmtId="0" fontId="2" fillId="0" borderId="0" xfId="0" applyFont="1" applyFill="1" applyBorder="1" applyAlignment="1" applyProtection="1">
      <alignment horizontal="left" vertical="center" indent="1"/>
    </xf>
    <xf numFmtId="0" fontId="2" fillId="0" borderId="0" xfId="1" applyFont="1" applyFill="1" applyBorder="1" applyAlignment="1">
      <alignment horizontal="left" vertical="center" indent="1"/>
    </xf>
    <xf numFmtId="0" fontId="44" fillId="0" borderId="0" xfId="0" applyFont="1" applyFill="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52" fillId="0"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50" fillId="0" borderId="0" xfId="0" applyFont="1" applyFill="1" applyAlignment="1" applyProtection="1">
      <alignment horizontal="center" vertical="center"/>
      <protection locked="0"/>
    </xf>
    <xf numFmtId="10" fontId="50" fillId="0" borderId="0" xfId="4" applyNumberFormat="1" applyFont="1" applyFill="1" applyAlignment="1" applyProtection="1">
      <alignment horizontal="center" vertical="center"/>
      <protection locked="0"/>
    </xf>
    <xf numFmtId="10" fontId="50" fillId="0" borderId="0" xfId="4" applyNumberFormat="1" applyFont="1" applyFill="1" applyAlignment="1" applyProtection="1">
      <alignment vertical="center"/>
      <protection locked="0"/>
    </xf>
    <xf numFmtId="0" fontId="48" fillId="0" borderId="0" xfId="0" applyFont="1" applyFill="1" applyAlignment="1" applyProtection="1">
      <alignment horizontal="center" vertical="center"/>
      <protection locked="0"/>
    </xf>
    <xf numFmtId="1" fontId="52" fillId="0" borderId="0" xfId="0" applyNumberFormat="1" applyFont="1" applyFill="1" applyBorder="1" applyAlignment="1" applyProtection="1">
      <alignment horizontal="center" vertical="center"/>
    </xf>
    <xf numFmtId="0" fontId="57" fillId="0" borderId="0" xfId="0" applyFont="1" applyFill="1" applyAlignment="1" applyProtection="1">
      <alignment vertical="center"/>
      <protection locked="0"/>
    </xf>
    <xf numFmtId="43" fontId="48" fillId="0" borderId="0" xfId="3" applyFont="1" applyFill="1" applyAlignment="1" applyProtection="1">
      <alignment vertical="center"/>
      <protection locked="0"/>
    </xf>
    <xf numFmtId="43" fontId="51" fillId="0" borderId="0" xfId="3" applyFont="1" applyFill="1" applyAlignment="1" applyProtection="1">
      <alignment vertical="center"/>
      <protection locked="0"/>
    </xf>
    <xf numFmtId="43" fontId="48" fillId="0" borderId="0" xfId="0" applyNumberFormat="1" applyFont="1" applyFill="1" applyAlignment="1" applyProtection="1">
      <alignment vertical="center"/>
      <protection locked="0"/>
    </xf>
    <xf numFmtId="43" fontId="58" fillId="0" borderId="0" xfId="0" applyNumberFormat="1" applyFont="1" applyFill="1" applyAlignment="1" applyProtection="1">
      <alignment vertical="center"/>
      <protection locked="0"/>
    </xf>
    <xf numFmtId="164" fontId="50" fillId="0" borderId="0" xfId="3" applyNumberFormat="1" applyFont="1" applyFill="1" applyAlignment="1" applyProtection="1">
      <alignment vertical="center"/>
      <protection locked="0"/>
    </xf>
    <xf numFmtId="0" fontId="52" fillId="0" borderId="0" xfId="0" applyFont="1" applyFill="1" applyAlignment="1" applyProtection="1">
      <alignment vertical="center"/>
    </xf>
    <xf numFmtId="0" fontId="59" fillId="0" borderId="0" xfId="0" applyFont="1" applyFill="1" applyAlignment="1" applyProtection="1">
      <alignment horizontal="center" vertical="center"/>
      <protection locked="0"/>
    </xf>
    <xf numFmtId="164" fontId="50" fillId="0" borderId="0" xfId="3" applyNumberFormat="1" applyFont="1" applyFill="1" applyAlignment="1" applyProtection="1">
      <alignment horizontal="center" vertical="center"/>
      <protection locked="0"/>
    </xf>
    <xf numFmtId="0" fontId="20" fillId="0" borderId="0" xfId="0" applyFont="1" applyFill="1" applyAlignment="1">
      <alignment horizontal="center" vertical="center"/>
    </xf>
    <xf numFmtId="0" fontId="26" fillId="0" borderId="0" xfId="0" applyFont="1" applyFill="1" applyAlignment="1">
      <alignment horizontal="center" vertical="center"/>
    </xf>
    <xf numFmtId="0" fontId="20" fillId="0" borderId="0" xfId="0" applyFont="1" applyAlignment="1">
      <alignment horizontal="center" vertical="center" wrapText="1"/>
    </xf>
    <xf numFmtId="0" fontId="2" fillId="0" borderId="0" xfId="0" applyFont="1" applyFill="1" applyAlignment="1">
      <alignment vertical="center" wrapText="1"/>
    </xf>
    <xf numFmtId="0" fontId="20" fillId="0" borderId="0" xfId="0" applyFont="1" applyAlignment="1">
      <alignment horizontal="center" vertical="center"/>
    </xf>
    <xf numFmtId="0" fontId="20" fillId="0" borderId="0"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Fill="1" applyBorder="1" applyAlignment="1">
      <alignment vertical="center" wrapText="1"/>
    </xf>
    <xf numFmtId="0" fontId="2" fillId="0" borderId="0" xfId="0" applyFont="1" applyFill="1" applyAlignment="1">
      <alignment vertical="top" wrapText="1"/>
    </xf>
    <xf numFmtId="0" fontId="22" fillId="0" borderId="0" xfId="0" applyFont="1" applyFill="1" applyAlignment="1">
      <alignment vertical="center" wrapText="1"/>
    </xf>
    <xf numFmtId="0" fontId="20" fillId="0" borderId="0" xfId="0" applyFont="1" applyFill="1" applyAlignment="1">
      <alignment horizontal="center" vertical="center" wrapText="1"/>
    </xf>
    <xf numFmtId="0" fontId="23" fillId="0" borderId="0" xfId="0" applyFont="1" applyAlignment="1">
      <alignment vertical="center" wrapText="1"/>
    </xf>
    <xf numFmtId="0" fontId="6" fillId="0" borderId="0" xfId="0" applyFont="1" applyBorder="1" applyAlignment="1">
      <alignment vertical="top" wrapText="1"/>
    </xf>
    <xf numFmtId="0" fontId="36" fillId="0" borderId="0" xfId="0" applyFont="1" applyFill="1" applyAlignment="1">
      <alignment vertical="center" wrapText="1"/>
    </xf>
    <xf numFmtId="0" fontId="6" fillId="0" borderId="0" xfId="0" applyFont="1" applyAlignment="1">
      <alignment vertical="center" wrapText="1"/>
    </xf>
    <xf numFmtId="0" fontId="41" fillId="0" borderId="0" xfId="0" applyFont="1" applyFill="1" applyAlignment="1" applyProtection="1">
      <alignment horizontal="center" vertical="center"/>
    </xf>
    <xf numFmtId="0" fontId="42" fillId="0" borderId="0" xfId="0" applyFont="1" applyFill="1" applyAlignment="1" applyProtection="1">
      <alignment horizontal="center" vertical="center"/>
    </xf>
    <xf numFmtId="0" fontId="45"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1" fillId="0" borderId="0" xfId="0" applyFont="1" applyFill="1" applyAlignment="1" applyProtection="1">
      <alignment horizontal="center" vertical="center" shrinkToFit="1"/>
    </xf>
    <xf numFmtId="0" fontId="47" fillId="8"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59" fillId="8" borderId="0" xfId="0" applyFont="1" applyFill="1" applyAlignment="1" applyProtection="1">
      <alignment horizontal="center" vertical="center" wrapText="1"/>
    </xf>
    <xf numFmtId="0" fontId="10" fillId="7"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7" fillId="0" borderId="0" xfId="0" applyFont="1" applyFill="1" applyAlignment="1" applyProtection="1">
      <alignment horizontal="center" vertical="center" textRotation="180"/>
    </xf>
    <xf numFmtId="0" fontId="12" fillId="0" borderId="0" xfId="0" applyFont="1" applyFill="1" applyAlignment="1" applyProtection="1">
      <alignment horizontal="left" vertical="center"/>
    </xf>
    <xf numFmtId="0" fontId="7" fillId="0" borderId="0" xfId="0" applyFont="1" applyFill="1" applyAlignment="1" applyProtection="1">
      <alignment horizontal="left" vertical="center" wrapText="1"/>
    </xf>
    <xf numFmtId="0" fontId="2" fillId="0" borderId="0" xfId="0" applyFont="1" applyFill="1" applyAlignment="1" applyProtection="1">
      <alignment horizontal="left" vertical="center" shrinkToFit="1"/>
    </xf>
    <xf numFmtId="0" fontId="2" fillId="0" borderId="0" xfId="0" applyFont="1" applyFill="1" applyAlignment="1" applyProtection="1">
      <alignment vertical="center" shrinkToFit="1"/>
    </xf>
    <xf numFmtId="0" fontId="2" fillId="0" borderId="0" xfId="0" applyFont="1" applyFill="1" applyAlignment="1">
      <alignment vertical="center" shrinkToFit="1"/>
    </xf>
    <xf numFmtId="0" fontId="9" fillId="0" borderId="0" xfId="0" applyFont="1" applyFill="1" applyAlignment="1" applyProtection="1">
      <alignment horizontal="center" vertical="center"/>
    </xf>
    <xf numFmtId="0" fontId="13" fillId="0" borderId="0" xfId="0" applyFont="1" applyFill="1" applyAlignment="1" applyProtection="1">
      <alignment horizontal="center" vertical="center"/>
      <protection locked="0"/>
    </xf>
    <xf numFmtId="0" fontId="52" fillId="8" borderId="0" xfId="0" applyFont="1" applyFill="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wrapText="1"/>
    </xf>
    <xf numFmtId="0" fontId="59" fillId="0" borderId="0" xfId="0" applyFont="1" applyFill="1" applyAlignment="1" applyProtection="1">
      <alignment vertical="center"/>
    </xf>
  </cellXfs>
  <cellStyles count="6">
    <cellStyle name="Activity Heading" xfId="1"/>
    <cellStyle name="Comma" xfId="3" builtinId="3"/>
    <cellStyle name="Currency" xfId="5" builtinId="4"/>
    <cellStyle name="Normal" xfId="0" builtinId="0"/>
    <cellStyle name="Percent" xfId="4" builtinId="5"/>
    <cellStyle name="Shading for Budget"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100523184550044"/>
          <c:y val="0.11658398950131239"/>
          <c:w val="0.77880157594904464"/>
          <c:h val="0.7627008527272231"/>
        </c:manualLayout>
      </c:layout>
      <c:lineChart>
        <c:grouping val="standard"/>
        <c:ser>
          <c:idx val="0"/>
          <c:order val="0"/>
          <c:val>
            <c:numRef>
              <c:f>'Gen Fd Cover Sheets'!$C$16:$K$16</c:f>
              <c:numCache>
                <c:formatCode>_(* #,##0_);_(* \(#,##0\);_(* "-"??_);_(@_)</c:formatCode>
                <c:ptCount val="9"/>
                <c:pt idx="0">
                  <c:v>476541</c:v>
                </c:pt>
                <c:pt idx="1">
                  <c:v>710199</c:v>
                </c:pt>
                <c:pt idx="2">
                  <c:v>807387</c:v>
                </c:pt>
                <c:pt idx="3">
                  <c:v>788764</c:v>
                </c:pt>
                <c:pt idx="4">
                  <c:v>903028</c:v>
                </c:pt>
                <c:pt idx="5">
                  <c:v>941377</c:v>
                </c:pt>
                <c:pt idx="6">
                  <c:v>979290</c:v>
                </c:pt>
                <c:pt idx="7">
                  <c:v>1019603</c:v>
                </c:pt>
                <c:pt idx="8">
                  <c:v>1062571</c:v>
                </c:pt>
              </c:numCache>
            </c:numRef>
          </c:val>
        </c:ser>
        <c:marker val="1"/>
        <c:axId val="119136256"/>
        <c:axId val="119137792"/>
      </c:lineChart>
      <c:catAx>
        <c:axId val="119136256"/>
        <c:scaling>
          <c:orientation val="minMax"/>
        </c:scaling>
        <c:axPos val="b"/>
        <c:tickLblPos val="none"/>
        <c:crossAx val="119137792"/>
        <c:crosses val="autoZero"/>
        <c:auto val="1"/>
        <c:lblAlgn val="ctr"/>
        <c:lblOffset val="100"/>
        <c:tickMarkSkip val="1"/>
      </c:catAx>
      <c:valAx>
        <c:axId val="119137792"/>
        <c:scaling>
          <c:orientation val="minMax"/>
        </c:scaling>
        <c:axPos val="l"/>
        <c:numFmt formatCode="\$#,##0_);\(\$#,##0\)" sourceLinked="0"/>
        <c:tickLblPos val="nextTo"/>
        <c:txPr>
          <a:bodyPr rot="0" vert="horz"/>
          <a:lstStyle/>
          <a:p>
            <a:pPr>
              <a:defRPr/>
            </a:pPr>
            <a:endParaRPr lang="en-US"/>
          </a:p>
        </c:txPr>
        <c:crossAx val="119136256"/>
        <c:crosses val="autoZero"/>
        <c:crossBetween val="between"/>
        <c:dispUnits>
          <c:builtInUnit val="thousands"/>
          <c:dispUnitsLbl>
            <c:layout>
              <c:manualLayout>
                <c:xMode val="edge"/>
                <c:yMode val="edge"/>
                <c:x val="0.14416406675580648"/>
                <c:y val="0.15547287839020121"/>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64148"/>
          <c:y val="4.9943330947267994E-2"/>
        </c:manualLayout>
      </c:layout>
      <c:spPr>
        <a:noFill/>
        <a:ln w="25400">
          <a:noFill/>
        </a:ln>
      </c:spPr>
    </c:title>
    <c:plotArea>
      <c:layout>
        <c:manualLayout>
          <c:layoutTarget val="inner"/>
          <c:xMode val="edge"/>
          <c:yMode val="edge"/>
          <c:x val="5.9299681139162924E-2"/>
          <c:y val="0.1794697484704664"/>
          <c:w val="0.9247312595035817"/>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120647680"/>
        <c:axId val="120649216"/>
      </c:lineChart>
      <c:catAx>
        <c:axId val="120647680"/>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120649216"/>
        <c:crosses val="autoZero"/>
        <c:lblAlgn val="ctr"/>
        <c:lblOffset val="100"/>
        <c:tickLblSkip val="1"/>
        <c:tickMarkSkip val="1"/>
      </c:catAx>
      <c:valAx>
        <c:axId val="120649216"/>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120647680"/>
        <c:crosses val="autoZero"/>
        <c:crossBetween val="between"/>
        <c:dispUnits>
          <c:builtInUnit val="thousands"/>
          <c:dispUnitsLbl>
            <c:layout>
              <c:manualLayout>
                <c:xMode val="edge"/>
                <c:yMode val="edge"/>
                <c:x val="2.5885558583107492E-2"/>
                <c:y val="0.28149829738939403"/>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913566926583156"/>
          <c:y val="0.18616969361244443"/>
          <c:w val="0.78086433073416839"/>
          <c:h val="0.53840924541128476"/>
        </c:manualLayout>
      </c:layout>
      <c:lineChart>
        <c:grouping val="standard"/>
        <c:ser>
          <c:idx val="0"/>
          <c:order val="0"/>
          <c:dLbls>
            <c:delete val="1"/>
          </c:dLbls>
          <c:val>
            <c:numRef>
              <c:f>'Fund Cover Sheets'!$C$82:$K$82</c:f>
              <c:numCache>
                <c:formatCode>_(* #,##0_);_(* \(#,##0\);_(* "-"??_);_(@_)</c:formatCode>
                <c:ptCount val="9"/>
                <c:pt idx="0">
                  <c:v>17071</c:v>
                </c:pt>
                <c:pt idx="1">
                  <c:v>15124</c:v>
                </c:pt>
                <c:pt idx="2">
                  <c:v>11677</c:v>
                </c:pt>
                <c:pt idx="3">
                  <c:v>11221</c:v>
                </c:pt>
                <c:pt idx="4">
                  <c:v>154</c:v>
                </c:pt>
                <c:pt idx="5">
                  <c:v>-10913</c:v>
                </c:pt>
                <c:pt idx="6">
                  <c:v>-6980</c:v>
                </c:pt>
                <c:pt idx="7">
                  <c:v>-3047</c:v>
                </c:pt>
                <c:pt idx="8">
                  <c:v>886</c:v>
                </c:pt>
              </c:numCache>
            </c:numRef>
          </c:val>
        </c:ser>
        <c:dLbls>
          <c:showVal val="1"/>
        </c:dLbls>
        <c:marker val="1"/>
        <c:axId val="121861248"/>
        <c:axId val="121862784"/>
      </c:lineChart>
      <c:catAx>
        <c:axId val="121861248"/>
        <c:scaling>
          <c:orientation val="minMax"/>
        </c:scaling>
        <c:axPos val="b"/>
        <c:tickLblPos val="none"/>
        <c:crossAx val="121862784"/>
        <c:crosses val="autoZero"/>
        <c:lblAlgn val="ctr"/>
        <c:lblOffset val="100"/>
        <c:tickMarkSkip val="1"/>
      </c:catAx>
      <c:valAx>
        <c:axId val="121862784"/>
        <c:scaling>
          <c:orientation val="minMax"/>
        </c:scaling>
        <c:axPos val="l"/>
        <c:numFmt formatCode="\$#,##0_);\(\$#,##0\)" sourceLinked="0"/>
        <c:tickLblPos val="nextTo"/>
        <c:txPr>
          <a:bodyPr rot="0" vert="horz"/>
          <a:lstStyle/>
          <a:p>
            <a:pPr>
              <a:defRPr/>
            </a:pPr>
            <a:endParaRPr lang="en-US"/>
          </a:p>
        </c:txPr>
        <c:crossAx val="12186124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700453907858967"/>
          <c:y val="0.17990508131501212"/>
          <c:w val="0.76827217160415562"/>
          <c:h val="0.53840924541128476"/>
        </c:manualLayout>
      </c:layout>
      <c:lineChart>
        <c:grouping val="standard"/>
        <c:ser>
          <c:idx val="0"/>
          <c:order val="0"/>
          <c:dLbls>
            <c:delete val="1"/>
          </c:dLbls>
          <c:val>
            <c:numRef>
              <c:f>'Fund Cover Sheets'!$C$126:$K$126</c:f>
              <c:numCache>
                <c:formatCode>_(* #,##0_);_(* \(#,##0\);_(* "-"??_);_(@_)</c:formatCode>
                <c:ptCount val="9"/>
                <c:pt idx="0">
                  <c:v>12188</c:v>
                </c:pt>
                <c:pt idx="1">
                  <c:v>7740</c:v>
                </c:pt>
                <c:pt idx="2">
                  <c:v>560</c:v>
                </c:pt>
                <c:pt idx="3">
                  <c:v>224</c:v>
                </c:pt>
                <c:pt idx="4">
                  <c:v>-18345</c:v>
                </c:pt>
                <c:pt idx="5">
                  <c:v>-36914</c:v>
                </c:pt>
                <c:pt idx="6">
                  <c:v>-30483</c:v>
                </c:pt>
                <c:pt idx="7">
                  <c:v>-24052</c:v>
                </c:pt>
                <c:pt idx="8">
                  <c:v>-17621</c:v>
                </c:pt>
              </c:numCache>
            </c:numRef>
          </c:val>
        </c:ser>
        <c:dLbls>
          <c:showVal val="1"/>
        </c:dLbls>
        <c:marker val="1"/>
        <c:axId val="121895168"/>
        <c:axId val="121901056"/>
      </c:lineChart>
      <c:catAx>
        <c:axId val="121895168"/>
        <c:scaling>
          <c:orientation val="minMax"/>
        </c:scaling>
        <c:axPos val="b"/>
        <c:tickLblPos val="none"/>
        <c:crossAx val="121901056"/>
        <c:crosses val="autoZero"/>
        <c:lblAlgn val="ctr"/>
        <c:lblOffset val="100"/>
        <c:tickMarkSkip val="1"/>
      </c:catAx>
      <c:valAx>
        <c:axId val="121901056"/>
        <c:scaling>
          <c:orientation val="minMax"/>
        </c:scaling>
        <c:axPos val="l"/>
        <c:numFmt formatCode="\$#,##0_);\(\$#,##0\)" sourceLinked="0"/>
        <c:tickLblPos val="nextTo"/>
        <c:txPr>
          <a:bodyPr rot="0" vert="horz"/>
          <a:lstStyle/>
          <a:p>
            <a:pPr>
              <a:defRPr/>
            </a:pPr>
            <a:endParaRPr lang="en-US"/>
          </a:p>
        </c:txPr>
        <c:crossAx val="12189516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044891648817871"/>
          <c:y val="0.17946974847046632"/>
          <c:w val="0.77955108351184565"/>
          <c:h val="0.53840924541128476"/>
        </c:manualLayout>
      </c:layout>
      <c:lineChart>
        <c:grouping val="standard"/>
        <c:ser>
          <c:idx val="0"/>
          <c:order val="0"/>
          <c:dLbls>
            <c:delete val="1"/>
          </c:dLbls>
          <c:val>
            <c:numRef>
              <c:f>'Fund Cover Sheets'!$C$172:$K$172</c:f>
              <c:numCache>
                <c:formatCode>_(* #,##0_);_(* \(#,##0\);_(* "-"??_);_(@_)</c:formatCode>
                <c:ptCount val="9"/>
                <c:pt idx="0">
                  <c:v>924857</c:v>
                </c:pt>
                <c:pt idx="1">
                  <c:v>1162506</c:v>
                </c:pt>
                <c:pt idx="2">
                  <c:v>605132</c:v>
                </c:pt>
                <c:pt idx="3">
                  <c:v>1000846</c:v>
                </c:pt>
                <c:pt idx="4">
                  <c:v>620347</c:v>
                </c:pt>
                <c:pt idx="5">
                  <c:v>383882</c:v>
                </c:pt>
                <c:pt idx="6">
                  <c:v>130433</c:v>
                </c:pt>
                <c:pt idx="7">
                  <c:v>4912</c:v>
                </c:pt>
                <c:pt idx="8">
                  <c:v>-74686</c:v>
                </c:pt>
              </c:numCache>
            </c:numRef>
          </c:val>
        </c:ser>
        <c:dLbls>
          <c:showVal val="1"/>
        </c:dLbls>
        <c:marker val="1"/>
        <c:axId val="121908608"/>
        <c:axId val="121918592"/>
      </c:lineChart>
      <c:catAx>
        <c:axId val="121908608"/>
        <c:scaling>
          <c:orientation val="minMax"/>
        </c:scaling>
        <c:axPos val="b"/>
        <c:tickLblPos val="none"/>
        <c:crossAx val="121918592"/>
        <c:crosses val="autoZero"/>
        <c:lblAlgn val="ctr"/>
        <c:lblOffset val="100"/>
        <c:tickMarkSkip val="1"/>
      </c:catAx>
      <c:valAx>
        <c:axId val="121918592"/>
        <c:scaling>
          <c:orientation val="minMax"/>
        </c:scaling>
        <c:axPos val="l"/>
        <c:numFmt formatCode="\$#,##0_);\(\$#,##0\)" sourceLinked="0"/>
        <c:tickLblPos val="nextTo"/>
        <c:txPr>
          <a:bodyPr rot="0" vert="horz"/>
          <a:lstStyle/>
          <a:p>
            <a:pPr>
              <a:defRPr/>
            </a:pPr>
            <a:endParaRPr lang="en-US"/>
          </a:p>
        </c:txPr>
        <c:crossAx val="12190860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64048"/>
          <c:y val="4.9943330947267994E-2"/>
        </c:manualLayout>
      </c:layout>
      <c:spPr>
        <a:noFill/>
        <a:ln w="25400">
          <a:noFill/>
        </a:ln>
      </c:spPr>
    </c:title>
    <c:plotArea>
      <c:layout>
        <c:manualLayout>
          <c:layoutTarget val="inner"/>
          <c:xMode val="edge"/>
          <c:yMode val="edge"/>
          <c:x val="5.9299681139162924E-2"/>
          <c:y val="0.17946974847046604"/>
          <c:w val="0.92473125950358037"/>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121963648"/>
        <c:axId val="121965184"/>
      </c:lineChart>
      <c:catAx>
        <c:axId val="121963648"/>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121965184"/>
        <c:crosses val="autoZero"/>
        <c:lblAlgn val="ctr"/>
        <c:lblOffset val="100"/>
        <c:tickLblSkip val="1"/>
        <c:tickMarkSkip val="1"/>
      </c:catAx>
      <c:valAx>
        <c:axId val="121965184"/>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121963648"/>
        <c:crosses val="autoZero"/>
        <c:crossBetween val="between"/>
        <c:dispUnits>
          <c:builtInUnit val="thousands"/>
          <c:dispUnitsLbl>
            <c:layout>
              <c:manualLayout>
                <c:xMode val="edge"/>
                <c:yMode val="edge"/>
                <c:x val="2.5885558583107492E-2"/>
                <c:y val="0.28149829738939364"/>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6604"/>
          <c:w val="0.7770240258429234"/>
          <c:h val="0.53840924541128476"/>
        </c:manualLayout>
      </c:layout>
      <c:lineChart>
        <c:grouping val="standard"/>
        <c:ser>
          <c:idx val="0"/>
          <c:order val="0"/>
          <c:dLbls>
            <c:delete val="1"/>
          </c:dLbls>
          <c:val>
            <c:numRef>
              <c:f>'Fund Cover Sheets'!$C$215:$K$215</c:f>
              <c:numCache>
                <c:formatCode>_(* #,##0_);_(* \(#,##0\);_(* "-"??_);_(@_)</c:formatCode>
                <c:ptCount val="9"/>
                <c:pt idx="0">
                  <c:v>-579374</c:v>
                </c:pt>
                <c:pt idx="1">
                  <c:v>-571615</c:v>
                </c:pt>
                <c:pt idx="2">
                  <c:v>0</c:v>
                </c:pt>
                <c:pt idx="3">
                  <c:v>0</c:v>
                </c:pt>
                <c:pt idx="4">
                  <c:v>0</c:v>
                </c:pt>
                <c:pt idx="5">
                  <c:v>0</c:v>
                </c:pt>
                <c:pt idx="6">
                  <c:v>0</c:v>
                </c:pt>
                <c:pt idx="7">
                  <c:v>0</c:v>
                </c:pt>
                <c:pt idx="8">
                  <c:v>0</c:v>
                </c:pt>
              </c:numCache>
            </c:numRef>
          </c:val>
        </c:ser>
        <c:dLbls>
          <c:showVal val="1"/>
        </c:dLbls>
        <c:marker val="1"/>
        <c:axId val="122001664"/>
        <c:axId val="122007552"/>
      </c:lineChart>
      <c:catAx>
        <c:axId val="122001664"/>
        <c:scaling>
          <c:orientation val="minMax"/>
        </c:scaling>
        <c:axPos val="b"/>
        <c:tickLblPos val="none"/>
        <c:crossAx val="122007552"/>
        <c:crosses val="autoZero"/>
        <c:lblAlgn val="ctr"/>
        <c:lblOffset val="100"/>
        <c:tickMarkSkip val="1"/>
      </c:catAx>
      <c:valAx>
        <c:axId val="122007552"/>
        <c:scaling>
          <c:orientation val="minMax"/>
        </c:scaling>
        <c:axPos val="l"/>
        <c:numFmt formatCode="\$#,##0_);\(\$#,##0\)" sourceLinked="0"/>
        <c:tickLblPos val="nextTo"/>
        <c:txPr>
          <a:bodyPr rot="0" vert="horz"/>
          <a:lstStyle/>
          <a:p>
            <a:pPr>
              <a:defRPr/>
            </a:pPr>
            <a:endParaRPr lang="en-US"/>
          </a:p>
        </c:txPr>
        <c:crossAx val="12200166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598610852350579"/>
          <c:y val="0.17946974847046757"/>
          <c:w val="0.77279173817042413"/>
          <c:h val="0.53840924541128476"/>
        </c:manualLayout>
      </c:layout>
      <c:lineChart>
        <c:grouping val="standard"/>
        <c:ser>
          <c:idx val="0"/>
          <c:order val="0"/>
          <c:dLbls>
            <c:delete val="1"/>
          </c:dLbls>
          <c:val>
            <c:numRef>
              <c:f>'Fund Cover Sheets'!$C$513:$K$513</c:f>
              <c:numCache>
                <c:formatCode>_(* #,##0_);_(* \(#,##0\);_(* "-"??_);_(@_)</c:formatCode>
                <c:ptCount val="9"/>
                <c:pt idx="0">
                  <c:v>3003537</c:v>
                </c:pt>
                <c:pt idx="1">
                  <c:v>2993332</c:v>
                </c:pt>
                <c:pt idx="2">
                  <c:v>2681077</c:v>
                </c:pt>
                <c:pt idx="3">
                  <c:v>2791294</c:v>
                </c:pt>
                <c:pt idx="4">
                  <c:v>1959540</c:v>
                </c:pt>
                <c:pt idx="5">
                  <c:v>1549193</c:v>
                </c:pt>
                <c:pt idx="6">
                  <c:v>1155002</c:v>
                </c:pt>
                <c:pt idx="7">
                  <c:v>773692</c:v>
                </c:pt>
                <c:pt idx="8">
                  <c:v>402547</c:v>
                </c:pt>
              </c:numCache>
            </c:numRef>
          </c:val>
        </c:ser>
        <c:dLbls>
          <c:showVal val="1"/>
        </c:dLbls>
        <c:marker val="1"/>
        <c:axId val="121949568"/>
        <c:axId val="122025088"/>
      </c:lineChart>
      <c:catAx>
        <c:axId val="121949568"/>
        <c:scaling>
          <c:orientation val="minMax"/>
        </c:scaling>
        <c:axPos val="b"/>
        <c:tickLblPos val="none"/>
        <c:crossAx val="122025088"/>
        <c:crosses val="autoZero"/>
        <c:lblAlgn val="ctr"/>
        <c:lblOffset val="100"/>
        <c:tickMarkSkip val="1"/>
      </c:catAx>
      <c:valAx>
        <c:axId val="122025088"/>
        <c:scaling>
          <c:orientation val="minMax"/>
        </c:scaling>
        <c:axPos val="l"/>
        <c:numFmt formatCode="\$#,##0_);\(\$#,##0\)" sourceLinked="0"/>
        <c:tickLblPos val="nextTo"/>
        <c:txPr>
          <a:bodyPr rot="0" vert="horz"/>
          <a:lstStyle/>
          <a:p>
            <a:pPr>
              <a:defRPr/>
            </a:pPr>
            <a:endParaRPr lang="en-US"/>
          </a:p>
        </c:txPr>
        <c:crossAx val="12194956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50481633698220496"/>
          <c:y val="9.7421490655376728E-3"/>
        </c:manualLayout>
      </c:layout>
    </c:title>
    <c:plotArea>
      <c:layout>
        <c:manualLayout>
          <c:layoutTarget val="inner"/>
          <c:xMode val="edge"/>
          <c:yMode val="edge"/>
          <c:x val="0.21811827667882991"/>
          <c:y val="0.2598715361584828"/>
          <c:w val="0.78100485244222562"/>
          <c:h val="0.53840924541128476"/>
        </c:manualLayout>
      </c:layout>
      <c:lineChart>
        <c:grouping val="standard"/>
        <c:ser>
          <c:idx val="0"/>
          <c:order val="0"/>
          <c:dLbls>
            <c:delete val="1"/>
          </c:dLbls>
          <c:val>
            <c:numRef>
              <c:f>'Fund Cover Sheets'!$C$563:$K$563</c:f>
              <c:numCache>
                <c:formatCode>_(* #,##0_);_(* \(#,##0\);_(* "-"??_);_(@_)</c:formatCode>
                <c:ptCount val="9"/>
                <c:pt idx="0">
                  <c:v>-294778</c:v>
                </c:pt>
                <c:pt idx="1">
                  <c:v>121420</c:v>
                </c:pt>
                <c:pt idx="2">
                  <c:v>162581</c:v>
                </c:pt>
                <c:pt idx="3">
                  <c:v>188637</c:v>
                </c:pt>
                <c:pt idx="4">
                  <c:v>-145213</c:v>
                </c:pt>
                <c:pt idx="5">
                  <c:v>-385213</c:v>
                </c:pt>
                <c:pt idx="6">
                  <c:v>24787</c:v>
                </c:pt>
                <c:pt idx="7">
                  <c:v>34787</c:v>
                </c:pt>
                <c:pt idx="8">
                  <c:v>44787</c:v>
                </c:pt>
              </c:numCache>
            </c:numRef>
          </c:val>
        </c:ser>
        <c:dLbls>
          <c:showVal val="1"/>
        </c:dLbls>
        <c:marker val="1"/>
        <c:axId val="122049280"/>
        <c:axId val="122050816"/>
      </c:lineChart>
      <c:catAx>
        <c:axId val="122049280"/>
        <c:scaling>
          <c:orientation val="minMax"/>
        </c:scaling>
        <c:axPos val="b"/>
        <c:tickLblPos val="none"/>
        <c:crossAx val="122050816"/>
        <c:crosses val="autoZero"/>
        <c:lblAlgn val="ctr"/>
        <c:lblOffset val="100"/>
        <c:tickMarkSkip val="1"/>
      </c:catAx>
      <c:valAx>
        <c:axId val="122050816"/>
        <c:scaling>
          <c:orientation val="minMax"/>
        </c:scaling>
        <c:axPos val="l"/>
        <c:numFmt formatCode="\$#,##0_);\(\$#,##0\)" sourceLinked="0"/>
        <c:tickLblPos val="nextTo"/>
        <c:txPr>
          <a:bodyPr rot="0" vert="horz"/>
          <a:lstStyle/>
          <a:p>
            <a:pPr>
              <a:defRPr/>
            </a:pPr>
            <a:endParaRPr lang="en-US"/>
          </a:p>
        </c:txPr>
        <c:crossAx val="122049280"/>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46937"/>
          <c:w val="0.7349666868564505"/>
          <c:h val="0.53840924541128476"/>
        </c:manualLayout>
      </c:layout>
      <c:lineChart>
        <c:grouping val="standard"/>
        <c:ser>
          <c:idx val="0"/>
          <c:order val="0"/>
          <c:dLbls>
            <c:delete val="1"/>
          </c:dLbls>
          <c:val>
            <c:numRef>
              <c:f>'Fund Cover Sheets'!$C$615:$K$615</c:f>
              <c:numCache>
                <c:formatCode>_(* #,##0_);_(* \(#,##0\);_(* "-"??_);_(@_)</c:formatCode>
                <c:ptCount val="9"/>
                <c:pt idx="0">
                  <c:v>280065</c:v>
                </c:pt>
                <c:pt idx="1">
                  <c:v>320370</c:v>
                </c:pt>
                <c:pt idx="2">
                  <c:v>322699</c:v>
                </c:pt>
                <c:pt idx="3">
                  <c:v>432308</c:v>
                </c:pt>
                <c:pt idx="4">
                  <c:v>286717</c:v>
                </c:pt>
                <c:pt idx="5">
                  <c:v>275812</c:v>
                </c:pt>
                <c:pt idx="6">
                  <c:v>282526</c:v>
                </c:pt>
                <c:pt idx="7">
                  <c:v>292344</c:v>
                </c:pt>
                <c:pt idx="8">
                  <c:v>302778</c:v>
                </c:pt>
              </c:numCache>
            </c:numRef>
          </c:val>
        </c:ser>
        <c:dLbls>
          <c:showVal val="1"/>
        </c:dLbls>
        <c:marker val="1"/>
        <c:axId val="122079104"/>
        <c:axId val="122080640"/>
      </c:lineChart>
      <c:catAx>
        <c:axId val="122079104"/>
        <c:scaling>
          <c:orientation val="minMax"/>
        </c:scaling>
        <c:axPos val="b"/>
        <c:tickLblPos val="none"/>
        <c:crossAx val="122080640"/>
        <c:crosses val="autoZero"/>
        <c:lblAlgn val="ctr"/>
        <c:lblOffset val="100"/>
        <c:tickMarkSkip val="1"/>
      </c:catAx>
      <c:valAx>
        <c:axId val="122080640"/>
        <c:scaling>
          <c:orientation val="minMax"/>
        </c:scaling>
        <c:axPos val="l"/>
        <c:numFmt formatCode="\$#,##0_);\(\$#,##0\)" sourceLinked="0"/>
        <c:tickLblPos val="nextTo"/>
        <c:txPr>
          <a:bodyPr rot="0" vert="horz"/>
          <a:lstStyle/>
          <a:p>
            <a:pPr>
              <a:defRPr/>
            </a:pPr>
            <a:endParaRPr lang="en-US"/>
          </a:p>
        </c:txPr>
        <c:crossAx val="12207910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2308918413"/>
          <c:y val="1.6609973753280841E-2"/>
        </c:manualLayout>
      </c:layout>
    </c:title>
    <c:plotArea>
      <c:layout>
        <c:manualLayout>
          <c:layoutTarget val="inner"/>
          <c:xMode val="edge"/>
          <c:yMode val="edge"/>
          <c:x val="0.21810187216334029"/>
          <c:y val="0.25290341207349076"/>
          <c:w val="0.78189685193460412"/>
          <c:h val="0.53840924541128476"/>
        </c:manualLayout>
      </c:layout>
      <c:lineChart>
        <c:grouping val="standard"/>
        <c:ser>
          <c:idx val="0"/>
          <c:order val="0"/>
          <c:dLbls>
            <c:delete val="1"/>
          </c:dLbls>
          <c:val>
            <c:numRef>
              <c:f>'Fund Cover Sheets'!$C$665:$K$665</c:f>
              <c:numCache>
                <c:formatCode>_(* #,##0_);_(* \(#,##0\);_(* "-"??_);_(@_)</c:formatCode>
                <c:ptCount val="9"/>
                <c:pt idx="0">
                  <c:v>-220001</c:v>
                </c:pt>
                <c:pt idx="1">
                  <c:v>-300420</c:v>
                </c:pt>
                <c:pt idx="2">
                  <c:v>0</c:v>
                </c:pt>
                <c:pt idx="3">
                  <c:v>0</c:v>
                </c:pt>
                <c:pt idx="4">
                  <c:v>0</c:v>
                </c:pt>
                <c:pt idx="5">
                  <c:v>0</c:v>
                </c:pt>
                <c:pt idx="6">
                  <c:v>0</c:v>
                </c:pt>
                <c:pt idx="7">
                  <c:v>0</c:v>
                </c:pt>
                <c:pt idx="8">
                  <c:v>0</c:v>
                </c:pt>
              </c:numCache>
            </c:numRef>
          </c:val>
        </c:ser>
        <c:dLbls>
          <c:showVal val="1"/>
        </c:dLbls>
        <c:marker val="1"/>
        <c:axId val="122092544"/>
        <c:axId val="122123008"/>
      </c:lineChart>
      <c:catAx>
        <c:axId val="122092544"/>
        <c:scaling>
          <c:orientation val="minMax"/>
        </c:scaling>
        <c:axPos val="b"/>
        <c:tickLblPos val="none"/>
        <c:crossAx val="122123008"/>
        <c:crosses val="autoZero"/>
        <c:lblAlgn val="ctr"/>
        <c:lblOffset val="100"/>
        <c:tickMarkSkip val="1"/>
      </c:catAx>
      <c:valAx>
        <c:axId val="122123008"/>
        <c:scaling>
          <c:orientation val="minMax"/>
        </c:scaling>
        <c:axPos val="l"/>
        <c:numFmt formatCode="\$#,##0_);\(\$#,##0\)" sourceLinked="0"/>
        <c:tickLblPos val="nextTo"/>
        <c:txPr>
          <a:bodyPr rot="0" vert="horz"/>
          <a:lstStyle/>
          <a:p>
            <a:pPr>
              <a:defRPr/>
            </a:pPr>
            <a:endParaRPr lang="en-US"/>
          </a:p>
        </c:txPr>
        <c:crossAx val="122092544"/>
        <c:crosses val="autoZero"/>
        <c:crossBetween val="between"/>
        <c:dispUnits>
          <c:builtInUnit val="thousands"/>
          <c:dispUnitsLbl>
            <c:layout>
              <c:manualLayout>
                <c:xMode val="edge"/>
                <c:yMode val="edge"/>
                <c:x val="0.14321365331725891"/>
                <c:y val="0.17946952610823144"/>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245215616775879"/>
          <c:y val="0.11154855643044605"/>
          <c:w val="0.77754779357742465"/>
          <c:h val="0.79527559055120001"/>
        </c:manualLayout>
      </c:layout>
      <c:lineChart>
        <c:grouping val="standard"/>
        <c:ser>
          <c:idx val="0"/>
          <c:order val="0"/>
          <c:val>
            <c:numRef>
              <c:f>'Gen Fd Cover Sheets'!$C$50:$K$50</c:f>
              <c:numCache>
                <c:formatCode>_(* #,##0_);_(* \(#,##0\);_(* "-"??_);_(@_)</c:formatCode>
                <c:ptCount val="9"/>
                <c:pt idx="0">
                  <c:v>284168</c:v>
                </c:pt>
                <c:pt idx="1">
                  <c:v>297902</c:v>
                </c:pt>
                <c:pt idx="2">
                  <c:v>341395</c:v>
                </c:pt>
                <c:pt idx="3">
                  <c:v>340161</c:v>
                </c:pt>
                <c:pt idx="4">
                  <c:v>380894</c:v>
                </c:pt>
                <c:pt idx="5">
                  <c:v>393736</c:v>
                </c:pt>
                <c:pt idx="6">
                  <c:v>408163</c:v>
                </c:pt>
                <c:pt idx="7">
                  <c:v>424820</c:v>
                </c:pt>
                <c:pt idx="8">
                  <c:v>439694</c:v>
                </c:pt>
              </c:numCache>
            </c:numRef>
          </c:val>
        </c:ser>
        <c:marker val="1"/>
        <c:axId val="119882880"/>
        <c:axId val="119884416"/>
      </c:lineChart>
      <c:catAx>
        <c:axId val="119882880"/>
        <c:scaling>
          <c:orientation val="minMax"/>
        </c:scaling>
        <c:delete val="1"/>
        <c:axPos val="b"/>
        <c:tickLblPos val="none"/>
        <c:crossAx val="119884416"/>
        <c:crosses val="autoZero"/>
        <c:auto val="1"/>
        <c:lblAlgn val="ctr"/>
        <c:lblOffset val="100"/>
      </c:catAx>
      <c:valAx>
        <c:axId val="119884416"/>
        <c:scaling>
          <c:orientation val="minMax"/>
          <c:min val="0"/>
        </c:scaling>
        <c:axPos val="l"/>
        <c:numFmt formatCode="\$#,##0_);\(\$#,##0\)" sourceLinked="0"/>
        <c:tickLblPos val="nextTo"/>
        <c:txPr>
          <a:bodyPr rot="0" vert="horz"/>
          <a:lstStyle/>
          <a:p>
            <a:pPr>
              <a:defRPr/>
            </a:pPr>
            <a:endParaRPr lang="en-US"/>
          </a:p>
        </c:txPr>
        <c:crossAx val="119882880"/>
        <c:crosses val="autoZero"/>
        <c:crossBetween val="between"/>
        <c:dispUnits>
          <c:builtInUnit val="thousands"/>
          <c:dispUnitsLbl>
            <c:layout>
              <c:manualLayout>
                <c:xMode val="edge"/>
                <c:yMode val="edge"/>
                <c:x val="0.15631141965245743"/>
                <c:y val="0.2230971128609049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Sheets'!$C$722:$K$722</c:f>
              <c:numCache>
                <c:formatCode>_(* #,##0_);_(* \(#,##0\);_(* "-"??_);_(@_)</c:formatCode>
                <c:ptCount val="9"/>
                <c:pt idx="0">
                  <c:v>388831</c:v>
                </c:pt>
                <c:pt idx="1">
                  <c:v>446136</c:v>
                </c:pt>
                <c:pt idx="2">
                  <c:v>407430</c:v>
                </c:pt>
                <c:pt idx="3">
                  <c:v>405551</c:v>
                </c:pt>
                <c:pt idx="4">
                  <c:v>354783</c:v>
                </c:pt>
                <c:pt idx="5">
                  <c:v>281683</c:v>
                </c:pt>
                <c:pt idx="6">
                  <c:v>186605</c:v>
                </c:pt>
                <c:pt idx="7">
                  <c:v>68674</c:v>
                </c:pt>
                <c:pt idx="8">
                  <c:v>-63097</c:v>
                </c:pt>
              </c:numCache>
            </c:numRef>
          </c:val>
        </c:ser>
        <c:dLbls>
          <c:showVal val="1"/>
        </c:dLbls>
        <c:marker val="1"/>
        <c:axId val="122135296"/>
        <c:axId val="122136832"/>
      </c:lineChart>
      <c:catAx>
        <c:axId val="122135296"/>
        <c:scaling>
          <c:orientation val="minMax"/>
        </c:scaling>
        <c:axPos val="b"/>
        <c:tickLblPos val="none"/>
        <c:crossAx val="122136832"/>
        <c:crosses val="autoZero"/>
        <c:lblAlgn val="ctr"/>
        <c:lblOffset val="100"/>
        <c:tickMarkSkip val="1"/>
      </c:catAx>
      <c:valAx>
        <c:axId val="122136832"/>
        <c:scaling>
          <c:orientation val="minMax"/>
        </c:scaling>
        <c:axPos val="l"/>
        <c:numFmt formatCode="\$#,##0_);\(\$#,##0\)" sourceLinked="0"/>
        <c:tickLblPos val="nextTo"/>
        <c:txPr>
          <a:bodyPr rot="0" vert="horz"/>
          <a:lstStyle/>
          <a:p>
            <a:pPr>
              <a:defRPr/>
            </a:pPr>
            <a:endParaRPr lang="en-US"/>
          </a:p>
        </c:txPr>
        <c:crossAx val="12213529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406088379518024"/>
          <c:y val="0.17946952610823144"/>
          <c:w val="0.77155737128426227"/>
          <c:h val="0.53840924541128476"/>
        </c:manualLayout>
      </c:layout>
      <c:lineChart>
        <c:grouping val="standard"/>
        <c:ser>
          <c:idx val="0"/>
          <c:order val="0"/>
          <c:dLbls>
            <c:delete val="1"/>
          </c:dLbls>
          <c:val>
            <c:numRef>
              <c:f>'Fund Cover Sheets'!$C$769:$K$769</c:f>
              <c:numCache>
                <c:formatCode>_(* #,##0_);_(* \(#,##0\);_(* "-"??_);_(@_)</c:formatCode>
                <c:ptCount val="9"/>
                <c:pt idx="0">
                  <c:v>-1821</c:v>
                </c:pt>
                <c:pt idx="1">
                  <c:v>0</c:v>
                </c:pt>
                <c:pt idx="2">
                  <c:v>2325</c:v>
                </c:pt>
                <c:pt idx="3">
                  <c:v>0</c:v>
                </c:pt>
                <c:pt idx="4">
                  <c:v>30</c:v>
                </c:pt>
                <c:pt idx="5">
                  <c:v>60</c:v>
                </c:pt>
                <c:pt idx="6">
                  <c:v>90</c:v>
                </c:pt>
                <c:pt idx="7">
                  <c:v>120</c:v>
                </c:pt>
                <c:pt idx="8">
                  <c:v>150</c:v>
                </c:pt>
              </c:numCache>
            </c:numRef>
          </c:val>
        </c:ser>
        <c:dLbls>
          <c:showVal val="1"/>
        </c:dLbls>
        <c:marker val="1"/>
        <c:axId val="122230656"/>
        <c:axId val="122232192"/>
      </c:lineChart>
      <c:catAx>
        <c:axId val="122230656"/>
        <c:scaling>
          <c:orientation val="minMax"/>
        </c:scaling>
        <c:axPos val="b"/>
        <c:tickLblPos val="none"/>
        <c:crossAx val="122232192"/>
        <c:crosses val="autoZero"/>
        <c:lblAlgn val="ctr"/>
        <c:lblOffset val="100"/>
        <c:tickMarkSkip val="1"/>
      </c:catAx>
      <c:valAx>
        <c:axId val="122232192"/>
        <c:scaling>
          <c:orientation val="minMax"/>
        </c:scaling>
        <c:axPos val="l"/>
        <c:numFmt formatCode="\$#,##0_);\(\$#,##0\)" sourceLinked="0"/>
        <c:tickLblPos val="nextTo"/>
        <c:txPr>
          <a:bodyPr rot="0" vert="horz"/>
          <a:lstStyle/>
          <a:p>
            <a:pPr>
              <a:defRPr/>
            </a:pPr>
            <a:endParaRPr lang="en-US"/>
          </a:p>
        </c:txPr>
        <c:crossAx val="12223065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a:t>
            </a:r>
          </a:p>
        </c:rich>
      </c:tx>
      <c:layout>
        <c:manualLayout>
          <c:xMode val="edge"/>
          <c:yMode val="edge"/>
          <c:x val="0.44182684611232131"/>
          <c:y val="3.0419815613507003E-3"/>
        </c:manualLayout>
      </c:layout>
    </c:title>
    <c:plotArea>
      <c:layout>
        <c:manualLayout>
          <c:layoutTarget val="inner"/>
          <c:xMode val="edge"/>
          <c:yMode val="edge"/>
          <c:x val="0.24012149360237561"/>
          <c:y val="0.17946952610823144"/>
          <c:w val="0.75980253444888324"/>
          <c:h val="0.53840924541128476"/>
        </c:manualLayout>
      </c:layout>
      <c:lineChart>
        <c:grouping val="standard"/>
        <c:ser>
          <c:idx val="0"/>
          <c:order val="0"/>
          <c:dLbls>
            <c:delete val="1"/>
          </c:dLbls>
          <c:val>
            <c:numRef>
              <c:f>'Fund Cover Sheets'!$C$818:$K$818</c:f>
              <c:numCache>
                <c:formatCode>_(* #,##0_);_(* \(#,##0\);_(* "-"??_);_(@_)</c:formatCode>
                <c:ptCount val="9"/>
                <c:pt idx="0">
                  <c:v>6794</c:v>
                </c:pt>
                <c:pt idx="1">
                  <c:v>15689</c:v>
                </c:pt>
                <c:pt idx="2">
                  <c:v>0</c:v>
                </c:pt>
                <c:pt idx="3">
                  <c:v>34995</c:v>
                </c:pt>
                <c:pt idx="4">
                  <c:v>0</c:v>
                </c:pt>
                <c:pt idx="5">
                  <c:v>0</c:v>
                </c:pt>
                <c:pt idx="6">
                  <c:v>0</c:v>
                </c:pt>
                <c:pt idx="7">
                  <c:v>0</c:v>
                </c:pt>
                <c:pt idx="8">
                  <c:v>0</c:v>
                </c:pt>
              </c:numCache>
            </c:numRef>
          </c:val>
        </c:ser>
        <c:dLbls>
          <c:showVal val="1"/>
        </c:dLbls>
        <c:marker val="1"/>
        <c:axId val="122268288"/>
        <c:axId val="122278272"/>
      </c:lineChart>
      <c:catAx>
        <c:axId val="122268288"/>
        <c:scaling>
          <c:orientation val="minMax"/>
        </c:scaling>
        <c:axPos val="b"/>
        <c:tickLblPos val="none"/>
        <c:crossAx val="122278272"/>
        <c:crosses val="autoZero"/>
        <c:lblAlgn val="ctr"/>
        <c:lblOffset val="100"/>
        <c:tickMarkSkip val="1"/>
      </c:catAx>
      <c:valAx>
        <c:axId val="122278272"/>
        <c:scaling>
          <c:orientation val="minMax"/>
        </c:scaling>
        <c:axPos val="l"/>
        <c:numFmt formatCode="\$#,##0_);\(\$#,##0\)" sourceLinked="0"/>
        <c:tickLblPos val="nextTo"/>
        <c:txPr>
          <a:bodyPr rot="0" vert="horz"/>
          <a:lstStyle/>
          <a:p>
            <a:pPr>
              <a:defRPr/>
            </a:pPr>
            <a:endParaRPr lang="en-US"/>
          </a:p>
        </c:txPr>
        <c:crossAx val="12226828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9038"/>
          <c:y val="4.3242986586475685E-2"/>
        </c:manualLayout>
      </c:layout>
    </c:title>
    <c:plotArea>
      <c:layout>
        <c:manualLayout>
          <c:layoutTarget val="inner"/>
          <c:xMode val="edge"/>
          <c:yMode val="edge"/>
          <c:x val="0.22320467822386617"/>
          <c:y val="0.16606919109985624"/>
          <c:w val="0.77679532177612065"/>
          <c:h val="0.53840924541128476"/>
        </c:manualLayout>
      </c:layout>
      <c:lineChart>
        <c:grouping val="standard"/>
        <c:ser>
          <c:idx val="0"/>
          <c:order val="0"/>
          <c:dLbls>
            <c:delete val="1"/>
          </c:dLbls>
          <c:val>
            <c:numRef>
              <c:f>'Fund Cover Sheets'!$C$865:$K$865</c:f>
              <c:numCache>
                <c:formatCode>_(* #,##0_);_(* \(#,##0\);_(* "-"??_);_(@_)</c:formatCode>
                <c:ptCount val="9"/>
                <c:pt idx="0">
                  <c:v>0</c:v>
                </c:pt>
                <c:pt idx="1">
                  <c:v>0</c:v>
                </c:pt>
                <c:pt idx="2">
                  <c:v>0</c:v>
                </c:pt>
                <c:pt idx="3">
                  <c:v>0</c:v>
                </c:pt>
                <c:pt idx="4">
                  <c:v>0</c:v>
                </c:pt>
                <c:pt idx="5">
                  <c:v>0</c:v>
                </c:pt>
                <c:pt idx="6">
                  <c:v>0</c:v>
                </c:pt>
                <c:pt idx="7">
                  <c:v>0</c:v>
                </c:pt>
                <c:pt idx="8">
                  <c:v>0</c:v>
                </c:pt>
              </c:numCache>
            </c:numRef>
          </c:val>
        </c:ser>
        <c:dLbls>
          <c:showVal val="1"/>
        </c:dLbls>
        <c:marker val="1"/>
        <c:axId val="123424768"/>
        <c:axId val="123426304"/>
      </c:lineChart>
      <c:catAx>
        <c:axId val="123424768"/>
        <c:scaling>
          <c:orientation val="minMax"/>
        </c:scaling>
        <c:axPos val="b"/>
        <c:tickLblPos val="none"/>
        <c:crossAx val="123426304"/>
        <c:crosses val="autoZero"/>
        <c:lblAlgn val="ctr"/>
        <c:lblOffset val="100"/>
        <c:tickMarkSkip val="1"/>
      </c:catAx>
      <c:valAx>
        <c:axId val="123426304"/>
        <c:scaling>
          <c:orientation val="minMax"/>
        </c:scaling>
        <c:axPos val="l"/>
        <c:numFmt formatCode="\$#,##0_);\(\$#,##0\)" sourceLinked="0"/>
        <c:tickLblPos val="nextTo"/>
        <c:txPr>
          <a:bodyPr rot="0" vert="horz"/>
          <a:lstStyle/>
          <a:p>
            <a:pPr>
              <a:defRPr/>
            </a:pPr>
            <a:endParaRPr lang="en-US"/>
          </a:p>
        </c:txPr>
        <c:crossAx val="12342476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9038"/>
          <c:y val="4.3242986586475685E-2"/>
        </c:manualLayout>
      </c:layout>
    </c:title>
    <c:plotArea>
      <c:layout>
        <c:manualLayout>
          <c:layoutTarget val="inner"/>
          <c:xMode val="edge"/>
          <c:yMode val="edge"/>
          <c:x val="0.22734721341084321"/>
          <c:y val="0.17276935860404391"/>
          <c:w val="0.77264522180861783"/>
          <c:h val="0.53840924541128476"/>
        </c:manualLayout>
      </c:layout>
      <c:lineChart>
        <c:grouping val="standard"/>
        <c:ser>
          <c:idx val="0"/>
          <c:order val="0"/>
          <c:dLbls>
            <c:delete val="1"/>
          </c:dLbls>
          <c:val>
            <c:numRef>
              <c:f>'Fund Cover Sheets'!$C$910:$K$910</c:f>
              <c:numCache>
                <c:formatCode>_(* #,##0_);_(* \(#,##0\);_(* "-"??_);_(@_)</c:formatCode>
                <c:ptCount val="9"/>
                <c:pt idx="0">
                  <c:v>1877872</c:v>
                </c:pt>
                <c:pt idx="1">
                  <c:v>1572335</c:v>
                </c:pt>
                <c:pt idx="2">
                  <c:v>-529634</c:v>
                </c:pt>
                <c:pt idx="3">
                  <c:v>-532672</c:v>
                </c:pt>
                <c:pt idx="4">
                  <c:v>-604070</c:v>
                </c:pt>
                <c:pt idx="5">
                  <c:v>-600826</c:v>
                </c:pt>
                <c:pt idx="6">
                  <c:v>-622939</c:v>
                </c:pt>
                <c:pt idx="7">
                  <c:v>-645052</c:v>
                </c:pt>
                <c:pt idx="8">
                  <c:v>-667165</c:v>
                </c:pt>
              </c:numCache>
            </c:numRef>
          </c:val>
        </c:ser>
        <c:dLbls>
          <c:showVal val="1"/>
        </c:dLbls>
        <c:marker val="1"/>
        <c:axId val="123462784"/>
        <c:axId val="123464320"/>
      </c:lineChart>
      <c:catAx>
        <c:axId val="123462784"/>
        <c:scaling>
          <c:orientation val="minMax"/>
        </c:scaling>
        <c:axPos val="b"/>
        <c:tickLblPos val="none"/>
        <c:crossAx val="123464320"/>
        <c:crosses val="autoZero"/>
        <c:lblAlgn val="ctr"/>
        <c:lblOffset val="100"/>
        <c:tickMarkSkip val="1"/>
      </c:catAx>
      <c:valAx>
        <c:axId val="123464320"/>
        <c:scaling>
          <c:orientation val="minMax"/>
        </c:scaling>
        <c:axPos val="l"/>
        <c:numFmt formatCode="\$#,##0_);\(\$#,##0\)" sourceLinked="0"/>
        <c:tickLblPos val="nextTo"/>
        <c:txPr>
          <a:bodyPr rot="0" vert="horz"/>
          <a:lstStyle/>
          <a:p>
            <a:pPr>
              <a:defRPr/>
            </a:pPr>
            <a:endParaRPr lang="en-US"/>
          </a:p>
        </c:txPr>
        <c:crossAx val="12346278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9038"/>
          <c:y val="4.3242986586475685E-2"/>
        </c:manualLayout>
      </c:layout>
    </c:title>
    <c:plotArea>
      <c:layout>
        <c:manualLayout>
          <c:layoutTarget val="inner"/>
          <c:xMode val="edge"/>
          <c:yMode val="edge"/>
          <c:x val="0.22178090364387537"/>
          <c:y val="0.16606919109985624"/>
          <c:w val="0.77821909635621633"/>
          <c:h val="0.53840924541128476"/>
        </c:manualLayout>
      </c:layout>
      <c:lineChart>
        <c:grouping val="standard"/>
        <c:ser>
          <c:idx val="0"/>
          <c:order val="0"/>
          <c:dLbls>
            <c:delete val="1"/>
          </c:dLbls>
          <c:val>
            <c:numRef>
              <c:f>'Fund Cover Sheets'!$C$955:$K$955</c:f>
              <c:numCache>
                <c:formatCode>_(* #,##0_);_(* \(#,##0\);_(* "-"??_);_(@_)</c:formatCode>
                <c:ptCount val="9"/>
                <c:pt idx="0">
                  <c:v>257953</c:v>
                </c:pt>
                <c:pt idx="1">
                  <c:v>216937</c:v>
                </c:pt>
                <c:pt idx="2">
                  <c:v>251449</c:v>
                </c:pt>
                <c:pt idx="3">
                  <c:v>232973</c:v>
                </c:pt>
                <c:pt idx="4">
                  <c:v>265260</c:v>
                </c:pt>
                <c:pt idx="5">
                  <c:v>-13208</c:v>
                </c:pt>
                <c:pt idx="6">
                  <c:v>24069</c:v>
                </c:pt>
                <c:pt idx="7">
                  <c:v>61336</c:v>
                </c:pt>
                <c:pt idx="8">
                  <c:v>103603</c:v>
                </c:pt>
              </c:numCache>
            </c:numRef>
          </c:val>
        </c:ser>
        <c:dLbls>
          <c:showVal val="1"/>
        </c:dLbls>
        <c:marker val="1"/>
        <c:axId val="123349248"/>
        <c:axId val="123359232"/>
      </c:lineChart>
      <c:catAx>
        <c:axId val="123349248"/>
        <c:scaling>
          <c:orientation val="minMax"/>
        </c:scaling>
        <c:axPos val="b"/>
        <c:tickLblPos val="none"/>
        <c:crossAx val="123359232"/>
        <c:crosses val="autoZero"/>
        <c:lblAlgn val="ctr"/>
        <c:lblOffset val="100"/>
        <c:tickMarkSkip val="1"/>
      </c:catAx>
      <c:valAx>
        <c:axId val="123359232"/>
        <c:scaling>
          <c:orientation val="minMax"/>
        </c:scaling>
        <c:axPos val="l"/>
        <c:numFmt formatCode="\$#,##0_);\(\$#,##0\)" sourceLinked="0"/>
        <c:tickLblPos val="nextTo"/>
        <c:txPr>
          <a:bodyPr rot="0" vert="horz"/>
          <a:lstStyle/>
          <a:p>
            <a:pPr>
              <a:defRPr/>
            </a:pPr>
            <a:endParaRPr lang="en-US"/>
          </a:p>
        </c:txPr>
        <c:crossAx val="12334924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46701"/>
          <c:w val="0.77792058543304365"/>
          <c:h val="0.53840924541128476"/>
        </c:manualLayout>
      </c:layout>
      <c:lineChart>
        <c:grouping val="standard"/>
        <c:ser>
          <c:idx val="0"/>
          <c:order val="0"/>
          <c:dLbls>
            <c:delete val="1"/>
          </c:dLbls>
          <c:val>
            <c:numRef>
              <c:f>'Fund Cover Sheets'!$C$405:$K$405</c:f>
              <c:numCache>
                <c:formatCode>_(* #,##0_);_(* \(#,##0\);_(* "-"??_);_(@_)</c:formatCode>
                <c:ptCount val="9"/>
                <c:pt idx="0">
                  <c:v>87510</c:v>
                </c:pt>
                <c:pt idx="1">
                  <c:v>12046</c:v>
                </c:pt>
                <c:pt idx="2">
                  <c:v>11611</c:v>
                </c:pt>
                <c:pt idx="3">
                  <c:v>4382</c:v>
                </c:pt>
                <c:pt idx="4">
                  <c:v>6207</c:v>
                </c:pt>
                <c:pt idx="5">
                  <c:v>0</c:v>
                </c:pt>
                <c:pt idx="6">
                  <c:v>0</c:v>
                </c:pt>
                <c:pt idx="7">
                  <c:v>0</c:v>
                </c:pt>
                <c:pt idx="8">
                  <c:v>0</c:v>
                </c:pt>
              </c:numCache>
            </c:numRef>
          </c:val>
        </c:ser>
        <c:dLbls>
          <c:showVal val="1"/>
        </c:dLbls>
        <c:marker val="1"/>
        <c:axId val="123366784"/>
        <c:axId val="123376768"/>
      </c:lineChart>
      <c:catAx>
        <c:axId val="123366784"/>
        <c:scaling>
          <c:orientation val="minMax"/>
        </c:scaling>
        <c:axPos val="b"/>
        <c:tickLblPos val="none"/>
        <c:crossAx val="123376768"/>
        <c:crosses val="autoZero"/>
        <c:lblAlgn val="ctr"/>
        <c:lblOffset val="100"/>
        <c:tickMarkSkip val="1"/>
      </c:catAx>
      <c:valAx>
        <c:axId val="123376768"/>
        <c:scaling>
          <c:orientation val="minMax"/>
        </c:scaling>
        <c:axPos val="l"/>
        <c:numFmt formatCode="\$#,##0_);\(\$#,##0\)" sourceLinked="0"/>
        <c:tickLblPos val="nextTo"/>
        <c:txPr>
          <a:bodyPr rot="0" vert="horz"/>
          <a:lstStyle/>
          <a:p>
            <a:pPr>
              <a:defRPr/>
            </a:pPr>
            <a:endParaRPr lang="en-US"/>
          </a:p>
        </c:txPr>
        <c:crossAx val="12336678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7000279788144"/>
          <c:w val="0.7770240258429234"/>
          <c:h val="0.53840924541128476"/>
        </c:manualLayout>
      </c:layout>
      <c:lineChart>
        <c:grouping val="standard"/>
        <c:ser>
          <c:idx val="0"/>
          <c:order val="0"/>
          <c:dLbls>
            <c:delete val="1"/>
          </c:dLbls>
          <c:val>
            <c:numRef>
              <c:f>'Fund Cover Sheets'!$C$274:$K$274</c:f>
              <c:numCache>
                <c:formatCode>_(* #,##0_);_(* \(#,##0\);_(* "-"??_);_(@_)</c:formatCode>
                <c:ptCount val="9"/>
                <c:pt idx="0">
                  <c:v>81196</c:v>
                </c:pt>
                <c:pt idx="1">
                  <c:v>328726</c:v>
                </c:pt>
                <c:pt idx="2">
                  <c:v>691053</c:v>
                </c:pt>
                <c:pt idx="3">
                  <c:v>661403</c:v>
                </c:pt>
                <c:pt idx="4">
                  <c:v>4662971</c:v>
                </c:pt>
                <c:pt idx="5">
                  <c:v>634717</c:v>
                </c:pt>
                <c:pt idx="6">
                  <c:v>47964</c:v>
                </c:pt>
                <c:pt idx="7">
                  <c:v>0</c:v>
                </c:pt>
                <c:pt idx="8">
                  <c:v>0</c:v>
                </c:pt>
              </c:numCache>
            </c:numRef>
          </c:val>
        </c:ser>
        <c:dLbls>
          <c:showVal val="1"/>
        </c:dLbls>
        <c:marker val="1"/>
        <c:axId val="123470592"/>
        <c:axId val="123472128"/>
      </c:lineChart>
      <c:catAx>
        <c:axId val="123470592"/>
        <c:scaling>
          <c:orientation val="minMax"/>
        </c:scaling>
        <c:axPos val="b"/>
        <c:tickLblPos val="none"/>
        <c:crossAx val="123472128"/>
        <c:crosses val="autoZero"/>
        <c:lblAlgn val="ctr"/>
        <c:lblOffset val="100"/>
        <c:tickMarkSkip val="1"/>
      </c:catAx>
      <c:valAx>
        <c:axId val="123472128"/>
        <c:scaling>
          <c:orientation val="minMax"/>
        </c:scaling>
        <c:axPos val="l"/>
        <c:numFmt formatCode="\$#,##0_);\(\$#,##0\)" sourceLinked="0"/>
        <c:tickLblPos val="nextTo"/>
        <c:txPr>
          <a:bodyPr rot="0" vert="horz"/>
          <a:lstStyle/>
          <a:p>
            <a:pPr>
              <a:defRPr/>
            </a:pPr>
            <a:endParaRPr lang="en-US"/>
          </a:p>
        </c:txPr>
        <c:crossAx val="12347059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6632"/>
          <c:w val="0.7770240258429234"/>
          <c:h val="0.53840924541128476"/>
        </c:manualLayout>
      </c:layout>
      <c:lineChart>
        <c:grouping val="standard"/>
        <c:ser>
          <c:idx val="0"/>
          <c:order val="0"/>
          <c:dLbls>
            <c:delete val="1"/>
          </c:dLbls>
          <c:val>
            <c:numRef>
              <c:f>'Fund Cover Sheets'!$C$360:$K$360</c:f>
              <c:numCache>
                <c:formatCode>_(* #,##0_);_(* \(#,##0\);_(* "-"??_);_(@_)</c:formatCode>
                <c:ptCount val="9"/>
                <c:pt idx="0">
                  <c:v>354595</c:v>
                </c:pt>
                <c:pt idx="1">
                  <c:v>175588</c:v>
                </c:pt>
                <c:pt idx="2">
                  <c:v>116558</c:v>
                </c:pt>
                <c:pt idx="3">
                  <c:v>124649</c:v>
                </c:pt>
                <c:pt idx="4">
                  <c:v>0</c:v>
                </c:pt>
                <c:pt idx="5">
                  <c:v>0</c:v>
                </c:pt>
                <c:pt idx="6">
                  <c:v>506</c:v>
                </c:pt>
                <c:pt idx="7">
                  <c:v>1012</c:v>
                </c:pt>
                <c:pt idx="8">
                  <c:v>1518</c:v>
                </c:pt>
              </c:numCache>
            </c:numRef>
          </c:val>
        </c:ser>
        <c:dLbls>
          <c:showVal val="1"/>
        </c:dLbls>
        <c:marker val="1"/>
        <c:axId val="123504512"/>
        <c:axId val="123506048"/>
      </c:lineChart>
      <c:catAx>
        <c:axId val="123504512"/>
        <c:scaling>
          <c:orientation val="minMax"/>
        </c:scaling>
        <c:axPos val="b"/>
        <c:tickLblPos val="none"/>
        <c:crossAx val="123506048"/>
        <c:crosses val="autoZero"/>
        <c:lblAlgn val="ctr"/>
        <c:lblOffset val="100"/>
        <c:tickMarkSkip val="1"/>
      </c:catAx>
      <c:valAx>
        <c:axId val="123506048"/>
        <c:scaling>
          <c:orientation val="minMax"/>
        </c:scaling>
        <c:axPos val="l"/>
        <c:numFmt formatCode="\$#,##0_);\(\$#,##0\)" sourceLinked="0"/>
        <c:tickLblPos val="nextTo"/>
        <c:txPr>
          <a:bodyPr rot="0" vert="horz"/>
          <a:lstStyle/>
          <a:p>
            <a:pPr>
              <a:defRPr/>
            </a:pPr>
            <a:endParaRPr lang="en-US"/>
          </a:p>
        </c:txPr>
        <c:crossAx val="12350451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46715"/>
          <c:w val="0.77792058543304365"/>
          <c:h val="0.53840924541128476"/>
        </c:manualLayout>
      </c:layout>
      <c:lineChart>
        <c:grouping val="standard"/>
        <c:ser>
          <c:idx val="0"/>
          <c:order val="0"/>
          <c:dLbls>
            <c:delete val="1"/>
          </c:dLbls>
          <c:val>
            <c:numRef>
              <c:f>'Fund Cover Sheets'!$C$458:$K$458</c:f>
              <c:numCache>
                <c:formatCode>_(* #,##0_);_(* \(#,##0\);_(* "-"??_);_(@_)</c:formatCode>
                <c:ptCount val="9"/>
                <c:pt idx="0">
                  <c:v>1300837</c:v>
                </c:pt>
                <c:pt idx="1">
                  <c:v>1526679</c:v>
                </c:pt>
                <c:pt idx="2">
                  <c:v>1160768</c:v>
                </c:pt>
                <c:pt idx="3">
                  <c:v>1231317</c:v>
                </c:pt>
                <c:pt idx="4">
                  <c:v>976762</c:v>
                </c:pt>
                <c:pt idx="5">
                  <c:v>875650</c:v>
                </c:pt>
                <c:pt idx="6">
                  <c:v>768316</c:v>
                </c:pt>
                <c:pt idx="7">
                  <c:v>820929</c:v>
                </c:pt>
                <c:pt idx="8">
                  <c:v>1020993</c:v>
                </c:pt>
              </c:numCache>
            </c:numRef>
          </c:val>
        </c:ser>
        <c:dLbls>
          <c:showVal val="1"/>
        </c:dLbls>
        <c:marker val="1"/>
        <c:axId val="123517952"/>
        <c:axId val="123802368"/>
      </c:lineChart>
      <c:catAx>
        <c:axId val="123517952"/>
        <c:scaling>
          <c:orientation val="minMax"/>
        </c:scaling>
        <c:axPos val="b"/>
        <c:tickLblPos val="none"/>
        <c:crossAx val="123802368"/>
        <c:crosses val="autoZero"/>
        <c:lblAlgn val="ctr"/>
        <c:lblOffset val="100"/>
        <c:tickMarkSkip val="1"/>
      </c:catAx>
      <c:valAx>
        <c:axId val="123802368"/>
        <c:scaling>
          <c:orientation val="minMax"/>
        </c:scaling>
        <c:axPos val="l"/>
        <c:numFmt formatCode="\$#,##0_);\(\$#,##0\)" sourceLinked="0"/>
        <c:tickLblPos val="nextTo"/>
        <c:txPr>
          <a:bodyPr rot="0" vert="horz"/>
          <a:lstStyle/>
          <a:p>
            <a:pPr>
              <a:defRPr/>
            </a:pPr>
            <a:endParaRPr lang="en-US"/>
          </a:p>
        </c:txPr>
        <c:crossAx val="12351795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204500643581149"/>
          <c:y val="0.13779527559055121"/>
          <c:w val="0.7779550293640608"/>
          <c:h val="0.79527559055120001"/>
        </c:manualLayout>
      </c:layout>
      <c:lineChart>
        <c:grouping val="standard"/>
        <c:ser>
          <c:idx val="0"/>
          <c:order val="0"/>
          <c:val>
            <c:numRef>
              <c:f>'Gen Fd Cover Sheets'!$C$81:$K$81</c:f>
              <c:numCache>
                <c:formatCode>_(* #,##0_);_(* \(#,##0\);_(* "-"??_);_(@_)</c:formatCode>
                <c:ptCount val="9"/>
                <c:pt idx="0">
                  <c:v>102223</c:v>
                </c:pt>
                <c:pt idx="1">
                  <c:v>0</c:v>
                </c:pt>
                <c:pt idx="2">
                  <c:v>0</c:v>
                </c:pt>
                <c:pt idx="3">
                  <c:v>0</c:v>
                </c:pt>
                <c:pt idx="4">
                  <c:v>0</c:v>
                </c:pt>
                <c:pt idx="5">
                  <c:v>0</c:v>
                </c:pt>
                <c:pt idx="6">
                  <c:v>0</c:v>
                </c:pt>
                <c:pt idx="7">
                  <c:v>0</c:v>
                </c:pt>
                <c:pt idx="8">
                  <c:v>0</c:v>
                </c:pt>
              </c:numCache>
            </c:numRef>
          </c:val>
        </c:ser>
        <c:marker val="1"/>
        <c:axId val="119904128"/>
        <c:axId val="119905664"/>
      </c:lineChart>
      <c:catAx>
        <c:axId val="119904128"/>
        <c:scaling>
          <c:orientation val="minMax"/>
        </c:scaling>
        <c:delete val="1"/>
        <c:axPos val="b"/>
        <c:tickLblPos val="none"/>
        <c:crossAx val="119905664"/>
        <c:crosses val="autoZero"/>
        <c:auto val="1"/>
        <c:lblAlgn val="ctr"/>
        <c:lblOffset val="100"/>
      </c:catAx>
      <c:valAx>
        <c:axId val="119905664"/>
        <c:scaling>
          <c:orientation val="minMax"/>
          <c:min val="0"/>
        </c:scaling>
        <c:axPos val="l"/>
        <c:numFmt formatCode="\$#,##0_);\(\$#,##0\)" sourceLinked="0"/>
        <c:tickLblPos val="nextTo"/>
        <c:txPr>
          <a:bodyPr rot="0" vert="horz"/>
          <a:lstStyle/>
          <a:p>
            <a:pPr>
              <a:defRPr/>
            </a:pPr>
            <a:endParaRPr lang="en-US"/>
          </a:p>
        </c:txPr>
        <c:crossAx val="119904128"/>
        <c:crosses val="autoZero"/>
        <c:crossBetween val="between"/>
        <c:dispUnits>
          <c:builtInUnit val="thousands"/>
          <c:dispUnitsLbl>
            <c:layout>
              <c:manualLayout>
                <c:xMode val="edge"/>
                <c:yMode val="edge"/>
                <c:x val="0.1491304299220052"/>
                <c:y val="0.17716535433070871"/>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49960629925289"/>
          <c:y val="0.22514661347785561"/>
          <c:w val="0.7775003970307226"/>
          <c:h val="0.53840924541128476"/>
        </c:manualLayout>
      </c:layout>
      <c:lineChart>
        <c:grouping val="standard"/>
        <c:ser>
          <c:idx val="0"/>
          <c:order val="0"/>
          <c:dLbls>
            <c:delete val="1"/>
          </c:dLbls>
          <c:val>
            <c:numRef>
              <c:f>'Fund Cover Sheets'!$C$1015:$K$1015</c:f>
              <c:numCache>
                <c:formatCode>_(* #,##0_);_(* \(#,##0\);_(* "-"??_);_(@_)</c:formatCode>
                <c:ptCount val="9"/>
                <c:pt idx="0">
                  <c:v>8251614</c:v>
                </c:pt>
                <c:pt idx="1">
                  <c:v>11738136</c:v>
                </c:pt>
                <c:pt idx="2">
                  <c:v>7630562</c:v>
                </c:pt>
                <c:pt idx="3">
                  <c:v>9401970</c:v>
                </c:pt>
                <c:pt idx="4">
                  <c:v>11597666</c:v>
                </c:pt>
                <c:pt idx="5">
                  <c:v>6036653</c:v>
                </c:pt>
                <c:pt idx="6">
                  <c:v>4582034</c:v>
                </c:pt>
                <c:pt idx="7">
                  <c:v>3109576</c:v>
                </c:pt>
                <c:pt idx="8">
                  <c:v>1455038</c:v>
                </c:pt>
              </c:numCache>
            </c:numRef>
          </c:val>
        </c:ser>
        <c:dLbls>
          <c:showVal val="1"/>
        </c:dLbls>
        <c:marker val="1"/>
        <c:axId val="123835136"/>
        <c:axId val="123836672"/>
      </c:lineChart>
      <c:catAx>
        <c:axId val="123835136"/>
        <c:scaling>
          <c:orientation val="minMax"/>
        </c:scaling>
        <c:axPos val="b"/>
        <c:tickLblPos val="none"/>
        <c:crossAx val="123836672"/>
        <c:crosses val="autoZero"/>
        <c:lblAlgn val="ctr"/>
        <c:lblOffset val="100"/>
        <c:tickMarkSkip val="1"/>
      </c:catAx>
      <c:valAx>
        <c:axId val="123836672"/>
        <c:scaling>
          <c:orientation val="minMax"/>
        </c:scaling>
        <c:axPos val="l"/>
        <c:numFmt formatCode="\$#,##0_);\(\$#,##0\)" sourceLinked="0"/>
        <c:tickLblPos val="nextTo"/>
        <c:txPr>
          <a:bodyPr rot="0" vert="horz"/>
          <a:lstStyle/>
          <a:p>
            <a:pPr>
              <a:defRPr/>
            </a:pPr>
            <a:endParaRPr lang="en-US"/>
          </a:p>
        </c:txPr>
        <c:crossAx val="123835136"/>
        <c:crosses val="autoZero"/>
        <c:crossBetween val="between"/>
        <c:dispUnits>
          <c:builtInUnit val="thousands"/>
          <c:dispUnitsLbl>
            <c:layout>
              <c:manualLayout>
                <c:xMode val="edge"/>
                <c:yMode val="edge"/>
                <c:x val="0.13842327257378204"/>
                <c:y val="0.19904545814210547"/>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Sheets'!$C$1075:$K$1075</c:f>
              <c:numCache>
                <c:formatCode>_(* #,##0_);_(* \(#,##0\);_(* "-"??_);_(@_)</c:formatCode>
                <c:ptCount val="9"/>
                <c:pt idx="0">
                  <c:v>393804</c:v>
                </c:pt>
                <c:pt idx="1">
                  <c:v>461825</c:v>
                </c:pt>
                <c:pt idx="2">
                  <c:v>409755</c:v>
                </c:pt>
                <c:pt idx="3">
                  <c:v>440546</c:v>
                </c:pt>
                <c:pt idx="4">
                  <c:v>354813</c:v>
                </c:pt>
                <c:pt idx="5">
                  <c:v>281743</c:v>
                </c:pt>
                <c:pt idx="6">
                  <c:v>186695</c:v>
                </c:pt>
                <c:pt idx="7">
                  <c:v>68794</c:v>
                </c:pt>
                <c:pt idx="8">
                  <c:v>-62947</c:v>
                </c:pt>
              </c:numCache>
            </c:numRef>
          </c:val>
        </c:ser>
        <c:dLbls>
          <c:showVal val="1"/>
        </c:dLbls>
        <c:marker val="1"/>
        <c:axId val="123860864"/>
        <c:axId val="123862400"/>
      </c:lineChart>
      <c:catAx>
        <c:axId val="123860864"/>
        <c:scaling>
          <c:orientation val="minMax"/>
        </c:scaling>
        <c:axPos val="b"/>
        <c:tickLblPos val="none"/>
        <c:crossAx val="123862400"/>
        <c:crosses val="autoZero"/>
        <c:lblAlgn val="ctr"/>
        <c:lblOffset val="100"/>
        <c:tickMarkSkip val="1"/>
      </c:catAx>
      <c:valAx>
        <c:axId val="123862400"/>
        <c:scaling>
          <c:orientation val="minMax"/>
        </c:scaling>
        <c:axPos val="l"/>
        <c:numFmt formatCode="\$#,##0_);\(\$#,##0\)" sourceLinked="0"/>
        <c:tickLblPos val="nextTo"/>
        <c:txPr>
          <a:bodyPr rot="0" vert="horz"/>
          <a:lstStyle/>
          <a:p>
            <a:pPr>
              <a:defRPr/>
            </a:pPr>
            <a:endParaRPr lang="en-US"/>
          </a:p>
        </c:txPr>
        <c:crossAx val="12386086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46951"/>
          <c:w val="0.7349666868564505"/>
          <c:h val="0.53840924541128476"/>
        </c:manualLayout>
      </c:layout>
      <c:lineChart>
        <c:grouping val="standard"/>
        <c:ser>
          <c:idx val="0"/>
          <c:order val="0"/>
          <c:dLbls>
            <c:delete val="1"/>
          </c:dLbls>
          <c:val>
            <c:numRef>
              <c:f>'Fund Cover Sheets'!$C$1131:$K$1131</c:f>
              <c:numCache>
                <c:formatCode>_(* #,##0_);_(* \(#,##0\);_(* "-"??_);_(@_)</c:formatCode>
                <c:ptCount val="9"/>
                <c:pt idx="0">
                  <c:v>122537</c:v>
                </c:pt>
                <c:pt idx="1">
                  <c:v>66452</c:v>
                </c:pt>
                <c:pt idx="2">
                  <c:v>396622</c:v>
                </c:pt>
                <c:pt idx="3">
                  <c:v>462152</c:v>
                </c:pt>
                <c:pt idx="4">
                  <c:v>286717</c:v>
                </c:pt>
                <c:pt idx="5">
                  <c:v>275812</c:v>
                </c:pt>
                <c:pt idx="6">
                  <c:v>283032</c:v>
                </c:pt>
                <c:pt idx="7">
                  <c:v>293356</c:v>
                </c:pt>
                <c:pt idx="8">
                  <c:v>304296</c:v>
                </c:pt>
              </c:numCache>
            </c:numRef>
          </c:val>
        </c:ser>
        <c:dLbls>
          <c:showVal val="1"/>
        </c:dLbls>
        <c:marker val="1"/>
        <c:axId val="123964416"/>
        <c:axId val="123970304"/>
      </c:lineChart>
      <c:catAx>
        <c:axId val="123964416"/>
        <c:scaling>
          <c:orientation val="minMax"/>
        </c:scaling>
        <c:axPos val="b"/>
        <c:tickLblPos val="none"/>
        <c:crossAx val="123970304"/>
        <c:crosses val="autoZero"/>
        <c:lblAlgn val="ctr"/>
        <c:lblOffset val="100"/>
        <c:tickMarkSkip val="1"/>
      </c:catAx>
      <c:valAx>
        <c:axId val="123970304"/>
        <c:scaling>
          <c:orientation val="minMax"/>
        </c:scaling>
        <c:axPos val="l"/>
        <c:numFmt formatCode="\$#,##0_);\(\$#,##0\)" sourceLinked="0"/>
        <c:tickLblPos val="nextTo"/>
        <c:txPr>
          <a:bodyPr rot="0" vert="horz"/>
          <a:lstStyle/>
          <a:p>
            <a:pPr>
              <a:defRPr/>
            </a:pPr>
            <a:endParaRPr lang="en-US"/>
          </a:p>
        </c:txPr>
        <c:crossAx val="12396441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555422379970497"/>
          <c:y val="8.3758656673940224E-2"/>
          <c:w val="0.77410116164820064"/>
          <c:h val="0.8156606851549757"/>
        </c:manualLayout>
      </c:layout>
      <c:lineChart>
        <c:grouping val="stacked"/>
        <c:ser>
          <c:idx val="0"/>
          <c:order val="0"/>
          <c:val>
            <c:numRef>
              <c:f>'Gen Fd Cover Sheets'!$C$112:$K$112</c:f>
              <c:numCache>
                <c:formatCode>_(* #,##0_);_(* \(#,##0\);_(* "-"??_);_(@_)</c:formatCode>
                <c:ptCount val="9"/>
                <c:pt idx="0">
                  <c:v>2846420</c:v>
                </c:pt>
                <c:pt idx="1">
                  <c:v>3550956</c:v>
                </c:pt>
                <c:pt idx="2">
                  <c:v>4140047</c:v>
                </c:pt>
                <c:pt idx="3">
                  <c:v>4046687</c:v>
                </c:pt>
                <c:pt idx="4">
                  <c:v>4581682</c:v>
                </c:pt>
                <c:pt idx="5">
                  <c:v>4942697</c:v>
                </c:pt>
                <c:pt idx="6">
                  <c:v>5122695</c:v>
                </c:pt>
                <c:pt idx="7">
                  <c:v>5301888</c:v>
                </c:pt>
                <c:pt idx="8">
                  <c:v>5522333</c:v>
                </c:pt>
              </c:numCache>
            </c:numRef>
          </c:val>
        </c:ser>
        <c:marker val="1"/>
        <c:axId val="120396416"/>
        <c:axId val="120406400"/>
      </c:lineChart>
      <c:catAx>
        <c:axId val="120396416"/>
        <c:scaling>
          <c:orientation val="minMax"/>
        </c:scaling>
        <c:delete val="1"/>
        <c:axPos val="b"/>
        <c:numFmt formatCode="#,##0_);\(#,##0\)" sourceLinked="1"/>
        <c:tickLblPos val="none"/>
        <c:crossAx val="120406400"/>
        <c:crosses val="autoZero"/>
        <c:auto val="1"/>
        <c:lblAlgn val="ctr"/>
        <c:lblOffset val="100"/>
      </c:catAx>
      <c:valAx>
        <c:axId val="120406400"/>
        <c:scaling>
          <c:orientation val="minMax"/>
        </c:scaling>
        <c:axPos val="l"/>
        <c:numFmt formatCode="\$#,##0_);\(\$#,##0\)" sourceLinked="0"/>
        <c:tickLblPos val="nextTo"/>
        <c:txPr>
          <a:bodyPr rot="0" vert="horz"/>
          <a:lstStyle/>
          <a:p>
            <a:pPr>
              <a:defRPr/>
            </a:pPr>
            <a:endParaRPr lang="en-US"/>
          </a:p>
        </c:txPr>
        <c:crossAx val="120396416"/>
        <c:crosses val="autoZero"/>
        <c:crossBetween val="between"/>
        <c:dispUnits>
          <c:builtInUnit val="thousands"/>
          <c:dispUnitsLbl>
            <c:layout>
              <c:manualLayout>
                <c:xMode val="edge"/>
                <c:yMode val="edge"/>
                <c:x val="0.13727009359680944"/>
                <c:y val="0.20862294493318617"/>
              </c:manualLayout>
            </c:layout>
            <c:txPr>
              <a:bodyPr rot="-5400000" vert="horz"/>
              <a:lstStyle/>
              <a:p>
                <a:pPr>
                  <a:defRPr/>
                </a:pPr>
                <a:endParaRPr lang="en-US"/>
              </a:p>
            </c:txPr>
          </c:dispUnitsLbl>
        </c:dispUnits>
      </c:valAx>
    </c:plotArea>
    <c:plotVisOnly val="1"/>
    <c:dispBlanksAs val="zero"/>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811355042197792"/>
          <c:y val="0.1640419947506562"/>
          <c:w val="0.77188649815220001"/>
          <c:h val="0.79527559055120001"/>
        </c:manualLayout>
      </c:layout>
      <c:lineChart>
        <c:grouping val="standard"/>
        <c:ser>
          <c:idx val="0"/>
          <c:order val="0"/>
          <c:val>
            <c:numRef>
              <c:f>'Gen Fd Cover Sheets'!$C$148:$K$148</c:f>
              <c:numCache>
                <c:formatCode>_(* #,##0_);_(* \(#,##0\);_(* "-"??_);_(@_)</c:formatCode>
                <c:ptCount val="9"/>
                <c:pt idx="0">
                  <c:v>307053</c:v>
                </c:pt>
                <c:pt idx="1">
                  <c:v>365189</c:v>
                </c:pt>
                <c:pt idx="2">
                  <c:v>412328</c:v>
                </c:pt>
                <c:pt idx="3">
                  <c:v>412328</c:v>
                </c:pt>
                <c:pt idx="4">
                  <c:v>603554</c:v>
                </c:pt>
                <c:pt idx="5">
                  <c:v>622245</c:v>
                </c:pt>
                <c:pt idx="6">
                  <c:v>591236</c:v>
                </c:pt>
                <c:pt idx="7">
                  <c:v>615501</c:v>
                </c:pt>
                <c:pt idx="8">
                  <c:v>641181</c:v>
                </c:pt>
              </c:numCache>
            </c:numRef>
          </c:val>
        </c:ser>
        <c:marker val="1"/>
        <c:axId val="120413568"/>
        <c:axId val="120423552"/>
      </c:lineChart>
      <c:catAx>
        <c:axId val="120413568"/>
        <c:scaling>
          <c:orientation val="minMax"/>
        </c:scaling>
        <c:delete val="1"/>
        <c:axPos val="b"/>
        <c:tickLblPos val="none"/>
        <c:crossAx val="120423552"/>
        <c:crosses val="autoZero"/>
        <c:auto val="1"/>
        <c:lblAlgn val="ctr"/>
        <c:lblOffset val="100"/>
      </c:catAx>
      <c:valAx>
        <c:axId val="120423552"/>
        <c:scaling>
          <c:orientation val="minMax"/>
          <c:min val="0"/>
        </c:scaling>
        <c:axPos val="l"/>
        <c:numFmt formatCode="\$#,##0_);\(\$#,##0\)" sourceLinked="0"/>
        <c:tickLblPos val="nextTo"/>
        <c:txPr>
          <a:bodyPr rot="0" vert="horz"/>
          <a:lstStyle/>
          <a:p>
            <a:pPr>
              <a:defRPr/>
            </a:pPr>
            <a:endParaRPr lang="en-US"/>
          </a:p>
        </c:txPr>
        <c:crossAx val="120413568"/>
        <c:crosses val="autoZero"/>
        <c:crossBetween val="between"/>
        <c:dispUnits>
          <c:builtInUnit val="thousands"/>
          <c:dispUnitsLbl>
            <c:layout>
              <c:manualLayout>
                <c:xMode val="edge"/>
                <c:yMode val="edge"/>
                <c:x val="0.15047424170664594"/>
                <c:y val="0.19028871391076116"/>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0190385094280844"/>
          <c:y val="9.2177413634106489E-2"/>
          <c:w val="0.78985932633768163"/>
          <c:h val="0.80607414494849161"/>
        </c:manualLayout>
      </c:layout>
      <c:lineChart>
        <c:grouping val="standard"/>
        <c:ser>
          <c:idx val="0"/>
          <c:order val="0"/>
          <c:val>
            <c:numRef>
              <c:f>'Gen Fd Cover Sheets'!$C$179:$K$179</c:f>
              <c:numCache>
                <c:formatCode>_(* #,##0_);_(* \(#,##0\);_(* "-"??_);_(@_)</c:formatCode>
                <c:ptCount val="9"/>
                <c:pt idx="0">
                  <c:v>1703802</c:v>
                </c:pt>
                <c:pt idx="1">
                  <c:v>1647589</c:v>
                </c:pt>
                <c:pt idx="2">
                  <c:v>2105005</c:v>
                </c:pt>
                <c:pt idx="3">
                  <c:v>2079656</c:v>
                </c:pt>
                <c:pt idx="4">
                  <c:v>1911325</c:v>
                </c:pt>
                <c:pt idx="5">
                  <c:v>1894023</c:v>
                </c:pt>
                <c:pt idx="6">
                  <c:v>1954757</c:v>
                </c:pt>
                <c:pt idx="7">
                  <c:v>2018185</c:v>
                </c:pt>
                <c:pt idx="8">
                  <c:v>2084523</c:v>
                </c:pt>
              </c:numCache>
            </c:numRef>
          </c:val>
        </c:ser>
        <c:marker val="1"/>
        <c:axId val="120451456"/>
        <c:axId val="120452992"/>
      </c:lineChart>
      <c:catAx>
        <c:axId val="120451456"/>
        <c:scaling>
          <c:orientation val="minMax"/>
        </c:scaling>
        <c:delete val="1"/>
        <c:axPos val="b"/>
        <c:tickLblPos val="none"/>
        <c:crossAx val="120452992"/>
        <c:crosses val="autoZero"/>
        <c:auto val="1"/>
        <c:lblAlgn val="ctr"/>
        <c:lblOffset val="100"/>
      </c:catAx>
      <c:valAx>
        <c:axId val="120452992"/>
        <c:scaling>
          <c:orientation val="minMax"/>
        </c:scaling>
        <c:axPos val="l"/>
        <c:numFmt formatCode="\$#,##0_);\(\$#,##0\)" sourceLinked="0"/>
        <c:tickLblPos val="nextTo"/>
        <c:txPr>
          <a:bodyPr rot="0" vert="horz"/>
          <a:lstStyle/>
          <a:p>
            <a:pPr>
              <a:defRPr/>
            </a:pPr>
            <a:endParaRPr lang="en-US"/>
          </a:p>
        </c:txPr>
        <c:crossAx val="120451456"/>
        <c:crosses val="autoZero"/>
        <c:crossBetween val="between"/>
        <c:dispUnits>
          <c:builtInUnit val="thousands"/>
          <c:dispUnitsLbl>
            <c:layout>
              <c:manualLayout>
                <c:xMode val="edge"/>
                <c:yMode val="edge"/>
                <c:x val="0.11749695671602722"/>
                <c:y val="0.13159182804852088"/>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5234598557698207"/>
          <c:y val="8.9162123965274245E-2"/>
          <c:w val="0.74765403742224246"/>
          <c:h val="0.82398155265190065"/>
        </c:manualLayout>
      </c:layout>
      <c:lineChart>
        <c:grouping val="standard"/>
        <c:ser>
          <c:idx val="0"/>
          <c:order val="0"/>
          <c:val>
            <c:numRef>
              <c:f>'Gen Fd Cover Sheets'!$C$215:$K$215</c:f>
              <c:numCache>
                <c:formatCode>_(* #,##0_);_(* \(#,##0\);_(* "-"??_);_(@_)</c:formatCode>
                <c:ptCount val="9"/>
                <c:pt idx="0">
                  <c:v>5249123</c:v>
                </c:pt>
                <c:pt idx="1">
                  <c:v>3789782</c:v>
                </c:pt>
                <c:pt idx="2">
                  <c:v>6096431</c:v>
                </c:pt>
                <c:pt idx="3">
                  <c:v>6180547</c:v>
                </c:pt>
                <c:pt idx="4">
                  <c:v>5189629</c:v>
                </c:pt>
                <c:pt idx="5">
                  <c:v>5298243</c:v>
                </c:pt>
                <c:pt idx="6">
                  <c:v>5560419</c:v>
                </c:pt>
                <c:pt idx="7">
                  <c:v>5844217</c:v>
                </c:pt>
                <c:pt idx="8">
                  <c:v>6060505</c:v>
                </c:pt>
              </c:numCache>
            </c:numRef>
          </c:val>
        </c:ser>
        <c:marker val="1"/>
        <c:axId val="119555200"/>
        <c:axId val="119556736"/>
      </c:lineChart>
      <c:catAx>
        <c:axId val="119555200"/>
        <c:scaling>
          <c:orientation val="minMax"/>
        </c:scaling>
        <c:delete val="1"/>
        <c:axPos val="b"/>
        <c:tickLblPos val="none"/>
        <c:crossAx val="119556736"/>
        <c:crosses val="autoZero"/>
        <c:auto val="1"/>
        <c:lblAlgn val="ctr"/>
        <c:lblOffset val="100"/>
      </c:catAx>
      <c:valAx>
        <c:axId val="119556736"/>
        <c:scaling>
          <c:orientation val="minMax"/>
        </c:scaling>
        <c:axPos val="l"/>
        <c:numFmt formatCode="\$#,##0_);\(\$#,##0\)" sourceLinked="0"/>
        <c:tickLblPos val="nextTo"/>
        <c:txPr>
          <a:bodyPr rot="0" vert="horz"/>
          <a:lstStyle/>
          <a:p>
            <a:pPr>
              <a:defRPr/>
            </a:pPr>
            <a:endParaRPr lang="en-US"/>
          </a:p>
        </c:txPr>
        <c:crossAx val="119555200"/>
        <c:crosses val="autoZero"/>
        <c:crossBetween val="between"/>
        <c:dispUnits>
          <c:builtInUnit val="thousands"/>
          <c:dispUnitsLbl>
            <c:layout>
              <c:manualLayout>
                <c:xMode val="edge"/>
                <c:yMode val="edge"/>
                <c:x val="0.17527220196003246"/>
                <c:y val="0.1763416111447607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6646"/>
          <c:w val="0.7770240258429234"/>
          <c:h val="0.53840924541128476"/>
        </c:manualLayout>
      </c:layout>
      <c:lineChart>
        <c:grouping val="standard"/>
        <c:ser>
          <c:idx val="0"/>
          <c:order val="0"/>
          <c:dLbls>
            <c:delete val="1"/>
          </c:dLbls>
          <c:val>
            <c:numRef>
              <c:f>'Veh &amp; Equip Cover Sheet'!$C$69:$K$69</c:f>
              <c:numCache>
                <c:formatCode>_(* #,##0_);_(* \(#,##0\);_(* "-"??_);_(@_)</c:formatCode>
                <c:ptCount val="9"/>
                <c:pt idx="0">
                  <c:v>354595</c:v>
                </c:pt>
                <c:pt idx="1">
                  <c:v>175588</c:v>
                </c:pt>
                <c:pt idx="2">
                  <c:v>116558</c:v>
                </c:pt>
                <c:pt idx="3">
                  <c:v>124649</c:v>
                </c:pt>
                <c:pt idx="4">
                  <c:v>0</c:v>
                </c:pt>
                <c:pt idx="5">
                  <c:v>0</c:v>
                </c:pt>
                <c:pt idx="6">
                  <c:v>506</c:v>
                </c:pt>
                <c:pt idx="7">
                  <c:v>1012</c:v>
                </c:pt>
                <c:pt idx="8">
                  <c:v>1518</c:v>
                </c:pt>
              </c:numCache>
            </c:numRef>
          </c:val>
        </c:ser>
        <c:dLbls>
          <c:showVal val="1"/>
        </c:dLbls>
        <c:marker val="1"/>
        <c:axId val="120481664"/>
        <c:axId val="120483200"/>
      </c:lineChart>
      <c:catAx>
        <c:axId val="120481664"/>
        <c:scaling>
          <c:orientation val="minMax"/>
        </c:scaling>
        <c:axPos val="b"/>
        <c:tickLblPos val="none"/>
        <c:crossAx val="120483200"/>
        <c:crosses val="autoZero"/>
        <c:lblAlgn val="ctr"/>
        <c:lblOffset val="100"/>
        <c:tickMarkSkip val="1"/>
      </c:catAx>
      <c:valAx>
        <c:axId val="120483200"/>
        <c:scaling>
          <c:orientation val="minMax"/>
        </c:scaling>
        <c:axPos val="l"/>
        <c:numFmt formatCode="\$#,##0_);\(\$#,##0\)" sourceLinked="0"/>
        <c:tickLblPos val="nextTo"/>
        <c:txPr>
          <a:bodyPr rot="0" vert="horz"/>
          <a:lstStyle/>
          <a:p>
            <a:pPr>
              <a:defRPr/>
            </a:pPr>
            <a:endParaRPr lang="en-US"/>
          </a:p>
        </c:txPr>
        <c:crossAx val="12048166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49960629925289"/>
          <c:y val="0.22514661347785561"/>
          <c:w val="0.7775003970307226"/>
          <c:h val="0.53840924541128476"/>
        </c:manualLayout>
      </c:layout>
      <c:lineChart>
        <c:grouping val="standard"/>
        <c:ser>
          <c:idx val="0"/>
          <c:order val="0"/>
          <c:dLbls>
            <c:delete val="1"/>
          </c:dLbls>
          <c:val>
            <c:numRef>
              <c:f>'Fund Cover Sheets'!$C$39:$K$39</c:f>
              <c:numCache>
                <c:formatCode>_(* #,##0_);_(* \(#,##0\);_(* "-"??_);_(@_)</c:formatCode>
                <c:ptCount val="9"/>
                <c:pt idx="0">
                  <c:v>1270623</c:v>
                </c:pt>
                <c:pt idx="1">
                  <c:v>4223820</c:v>
                </c:pt>
                <c:pt idx="2">
                  <c:v>2541653</c:v>
                </c:pt>
                <c:pt idx="3">
                  <c:v>3717540</c:v>
                </c:pt>
                <c:pt idx="4">
                  <c:v>3874053</c:v>
                </c:pt>
                <c:pt idx="5">
                  <c:v>3640285</c:v>
                </c:pt>
                <c:pt idx="6">
                  <c:v>3091865</c:v>
                </c:pt>
                <c:pt idx="7">
                  <c:v>2086071</c:v>
                </c:pt>
                <c:pt idx="8">
                  <c:v>641694</c:v>
                </c:pt>
              </c:numCache>
            </c:numRef>
          </c:val>
        </c:ser>
        <c:dLbls>
          <c:showVal val="1"/>
        </c:dLbls>
        <c:marker val="1"/>
        <c:axId val="120592640"/>
        <c:axId val="120594432"/>
      </c:lineChart>
      <c:catAx>
        <c:axId val="120592640"/>
        <c:scaling>
          <c:orientation val="minMax"/>
        </c:scaling>
        <c:axPos val="b"/>
        <c:tickLblPos val="none"/>
        <c:crossAx val="120594432"/>
        <c:crosses val="autoZero"/>
        <c:lblAlgn val="ctr"/>
        <c:lblOffset val="100"/>
        <c:tickMarkSkip val="1"/>
      </c:catAx>
      <c:valAx>
        <c:axId val="120594432"/>
        <c:scaling>
          <c:orientation val="minMax"/>
        </c:scaling>
        <c:axPos val="l"/>
        <c:numFmt formatCode="\$#,##0_);\(\$#,##0\)" sourceLinked="0"/>
        <c:tickLblPos val="nextTo"/>
        <c:txPr>
          <a:bodyPr rot="0" vert="horz"/>
          <a:lstStyle/>
          <a:p>
            <a:pPr>
              <a:defRPr/>
            </a:pPr>
            <a:endParaRPr lang="en-US"/>
          </a:p>
        </c:txPr>
        <c:crossAx val="120592640"/>
        <c:crosses val="autoZero"/>
        <c:crossBetween val="between"/>
        <c:dispUnits>
          <c:builtInUnit val="thousands"/>
          <c:dispUnitsLbl>
            <c:layout>
              <c:manualLayout>
                <c:xMode val="edge"/>
                <c:yMode val="edge"/>
                <c:x val="0.13842327257378204"/>
                <c:y val="0.19904545814210536"/>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chart" Target="../charts/chart21.xml"/><Relationship Id="rId18" Type="http://schemas.openxmlformats.org/officeDocument/2006/relationships/chart" Target="../charts/chart26.xml"/><Relationship Id="rId3" Type="http://schemas.openxmlformats.org/officeDocument/2006/relationships/chart" Target="../charts/chart11.xml"/><Relationship Id="rId21" Type="http://schemas.openxmlformats.org/officeDocument/2006/relationships/chart" Target="../charts/chart29.xml"/><Relationship Id="rId7" Type="http://schemas.openxmlformats.org/officeDocument/2006/relationships/chart" Target="../charts/chart15.xml"/><Relationship Id="rId12" Type="http://schemas.openxmlformats.org/officeDocument/2006/relationships/chart" Target="../charts/chart20.xml"/><Relationship Id="rId17" Type="http://schemas.openxmlformats.org/officeDocument/2006/relationships/chart" Target="../charts/chart25.xml"/><Relationship Id="rId2" Type="http://schemas.openxmlformats.org/officeDocument/2006/relationships/chart" Target="../charts/chart10.xml"/><Relationship Id="rId16" Type="http://schemas.openxmlformats.org/officeDocument/2006/relationships/chart" Target="../charts/chart24.xml"/><Relationship Id="rId20" Type="http://schemas.openxmlformats.org/officeDocument/2006/relationships/chart" Target="../charts/chart28.xml"/><Relationship Id="rId1" Type="http://schemas.openxmlformats.org/officeDocument/2006/relationships/chart" Target="../charts/chart9.xml"/><Relationship Id="rId6" Type="http://schemas.openxmlformats.org/officeDocument/2006/relationships/chart" Target="../charts/chart14.xml"/><Relationship Id="rId11" Type="http://schemas.openxmlformats.org/officeDocument/2006/relationships/chart" Target="../charts/chart19.xml"/><Relationship Id="rId24" Type="http://schemas.openxmlformats.org/officeDocument/2006/relationships/chart" Target="../charts/chart32.xml"/><Relationship Id="rId5" Type="http://schemas.openxmlformats.org/officeDocument/2006/relationships/chart" Target="../charts/chart13.xml"/><Relationship Id="rId15" Type="http://schemas.openxmlformats.org/officeDocument/2006/relationships/chart" Target="../charts/chart23.xml"/><Relationship Id="rId23" Type="http://schemas.openxmlformats.org/officeDocument/2006/relationships/chart" Target="../charts/chart31.xml"/><Relationship Id="rId10" Type="http://schemas.openxmlformats.org/officeDocument/2006/relationships/chart" Target="../charts/chart18.xml"/><Relationship Id="rId19" Type="http://schemas.openxmlformats.org/officeDocument/2006/relationships/chart" Target="../charts/chart27.xml"/><Relationship Id="rId4" Type="http://schemas.openxmlformats.org/officeDocument/2006/relationships/chart" Target="../charts/chart12.xml"/><Relationship Id="rId9" Type="http://schemas.openxmlformats.org/officeDocument/2006/relationships/chart" Target="../charts/chart17.xml"/><Relationship Id="rId14" Type="http://schemas.openxmlformats.org/officeDocument/2006/relationships/chart" Target="../charts/chart22.xml"/><Relationship Id="rId22"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xdr:col>
      <xdr:colOff>38099</xdr:colOff>
      <xdr:row>19</xdr:row>
      <xdr:rowOff>190500</xdr:rowOff>
    </xdr:from>
    <xdr:to>
      <xdr:col>10</xdr:col>
      <xdr:colOff>809625</xdr:colOff>
      <xdr:row>31</xdr:row>
      <xdr:rowOff>133350</xdr:rowOff>
    </xdr:to>
    <xdr:graphicFrame macro="">
      <xdr:nvGraphicFramePr>
        <xdr:cNvPr id="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9523</xdr:colOff>
      <xdr:row>54</xdr:row>
      <xdr:rowOff>7620</xdr:rowOff>
    </xdr:from>
    <xdr:to>
      <xdr:col>10</xdr:col>
      <xdr:colOff>819150</xdr:colOff>
      <xdr:row>64</xdr:row>
      <xdr:rowOff>38100</xdr:rowOff>
    </xdr:to>
    <xdr:graphicFrame macro="">
      <xdr:nvGraphicFramePr>
        <xdr:cNvPr id="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xdr:colOff>
      <xdr:row>85</xdr:row>
      <xdr:rowOff>7620</xdr:rowOff>
    </xdr:from>
    <xdr:to>
      <xdr:col>10</xdr:col>
      <xdr:colOff>819150</xdr:colOff>
      <xdr:row>95</xdr:row>
      <xdr:rowOff>38100</xdr:rowOff>
    </xdr:to>
    <xdr:graphicFrame macro="">
      <xdr:nvGraphicFramePr>
        <xdr:cNvPr id="3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209548</xdr:colOff>
      <xdr:row>115</xdr:row>
      <xdr:rowOff>160020</xdr:rowOff>
    </xdr:from>
    <xdr:to>
      <xdr:col>10</xdr:col>
      <xdr:colOff>847724</xdr:colOff>
      <xdr:row>129</xdr:row>
      <xdr:rowOff>22860</xdr:rowOff>
    </xdr:to>
    <xdr:graphicFrame macro="">
      <xdr:nvGraphicFramePr>
        <xdr:cNvPr id="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188595</xdr:colOff>
      <xdr:row>152</xdr:row>
      <xdr:rowOff>7620</xdr:rowOff>
    </xdr:from>
    <xdr:to>
      <xdr:col>10</xdr:col>
      <xdr:colOff>838200</xdr:colOff>
      <xdr:row>162</xdr:row>
      <xdr:rowOff>38100</xdr:rowOff>
    </xdr:to>
    <xdr:graphicFrame macro="">
      <xdr:nvGraphicFramePr>
        <xdr:cNvPr id="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xdr:colOff>
      <xdr:row>183</xdr:row>
      <xdr:rowOff>182880</xdr:rowOff>
    </xdr:from>
    <xdr:to>
      <xdr:col>10</xdr:col>
      <xdr:colOff>838199</xdr:colOff>
      <xdr:row>195</xdr:row>
      <xdr:rowOff>152400</xdr:rowOff>
    </xdr:to>
    <xdr:graphicFrame macro="">
      <xdr:nvGraphicFramePr>
        <xdr:cNvPr id="3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209549</xdr:colOff>
      <xdr:row>219</xdr:row>
      <xdr:rowOff>0</xdr:rowOff>
    </xdr:from>
    <xdr:to>
      <xdr:col>10</xdr:col>
      <xdr:colOff>819150</xdr:colOff>
      <xdr:row>232</xdr:row>
      <xdr:rowOff>0</xdr:rowOff>
    </xdr:to>
    <xdr:graphicFrame macro="">
      <xdr:nvGraphicFramePr>
        <xdr:cNvPr id="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72</xdr:row>
      <xdr:rowOff>0</xdr:rowOff>
    </xdr:from>
    <xdr:to>
      <xdr:col>10</xdr:col>
      <xdr:colOff>809625</xdr:colOff>
      <xdr:row>81</xdr:row>
      <xdr:rowOff>161925</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28573</xdr:colOff>
      <xdr:row>43</xdr:row>
      <xdr:rowOff>6351</xdr:rowOff>
    </xdr:from>
    <xdr:to>
      <xdr:col>10</xdr:col>
      <xdr:colOff>838199</xdr:colOff>
      <xdr:row>53</xdr:row>
      <xdr:rowOff>47625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87</xdr:row>
      <xdr:rowOff>0</xdr:rowOff>
    </xdr:from>
    <xdr:to>
      <xdr:col>2</xdr:col>
      <xdr:colOff>590550</xdr:colOff>
      <xdr:row>95</xdr:row>
      <xdr:rowOff>152400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86</xdr:row>
      <xdr:rowOff>190499</xdr:rowOff>
    </xdr:from>
    <xdr:to>
      <xdr:col>10</xdr:col>
      <xdr:colOff>838200</xdr:colOff>
      <xdr:row>96</xdr:row>
      <xdr:rowOff>180974</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130</xdr:row>
      <xdr:rowOff>123825</xdr:rowOff>
    </xdr:from>
    <xdr:to>
      <xdr:col>10</xdr:col>
      <xdr:colOff>838200</xdr:colOff>
      <xdr:row>140</xdr:row>
      <xdr:rowOff>123824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175</xdr:row>
      <xdr:rowOff>38099</xdr:rowOff>
    </xdr:from>
    <xdr:to>
      <xdr:col>10</xdr:col>
      <xdr:colOff>828675</xdr:colOff>
      <xdr:row>186</xdr:row>
      <xdr:rowOff>28574</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219</xdr:row>
      <xdr:rowOff>0</xdr:rowOff>
    </xdr:from>
    <xdr:to>
      <xdr:col>2</xdr:col>
      <xdr:colOff>590550</xdr:colOff>
      <xdr:row>227</xdr:row>
      <xdr:rowOff>152400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218</xdr:row>
      <xdr:rowOff>190499</xdr:rowOff>
    </xdr:from>
    <xdr:to>
      <xdr:col>10</xdr:col>
      <xdr:colOff>809625</xdr:colOff>
      <xdr:row>228</xdr:row>
      <xdr:rowOff>161924</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28576</xdr:colOff>
      <xdr:row>518</xdr:row>
      <xdr:rowOff>66674</xdr:rowOff>
    </xdr:from>
    <xdr:to>
      <xdr:col>10</xdr:col>
      <xdr:colOff>790575</xdr:colOff>
      <xdr:row>528</xdr:row>
      <xdr:rowOff>180975</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228600</xdr:colOff>
      <xdr:row>566</xdr:row>
      <xdr:rowOff>152399</xdr:rowOff>
    </xdr:from>
    <xdr:to>
      <xdr:col>10</xdr:col>
      <xdr:colOff>781050</xdr:colOff>
      <xdr:row>576</xdr:row>
      <xdr:rowOff>142874</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228599</xdr:colOff>
      <xdr:row>620</xdr:row>
      <xdr:rowOff>95250</xdr:rowOff>
    </xdr:from>
    <xdr:to>
      <xdr:col>10</xdr:col>
      <xdr:colOff>838200</xdr:colOff>
      <xdr:row>629</xdr:row>
      <xdr:rowOff>152400</xdr:rowOff>
    </xdr:to>
    <xdr:graphicFrame macro="">
      <xdr:nvGraphicFramePr>
        <xdr:cNvPr id="1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247649</xdr:colOff>
      <xdr:row>670</xdr:row>
      <xdr:rowOff>76199</xdr:rowOff>
    </xdr:from>
    <xdr:to>
      <xdr:col>10</xdr:col>
      <xdr:colOff>761999</xdr:colOff>
      <xdr:row>680</xdr:row>
      <xdr:rowOff>76199</xdr:rowOff>
    </xdr:to>
    <xdr:graphicFrame macro="">
      <xdr:nvGraphicFramePr>
        <xdr:cNvPr id="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12699</xdr:colOff>
      <xdr:row>727</xdr:row>
      <xdr:rowOff>82549</xdr:rowOff>
    </xdr:from>
    <xdr:to>
      <xdr:col>10</xdr:col>
      <xdr:colOff>828675</xdr:colOff>
      <xdr:row>737</xdr:row>
      <xdr:rowOff>133350</xdr:rowOff>
    </xdr:to>
    <xdr:graphicFrame macro="">
      <xdr:nvGraphicFramePr>
        <xdr:cNvPr id="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247649</xdr:colOff>
      <xdr:row>773</xdr:row>
      <xdr:rowOff>95249</xdr:rowOff>
    </xdr:from>
    <xdr:to>
      <xdr:col>10</xdr:col>
      <xdr:colOff>800100</xdr:colOff>
      <xdr:row>783</xdr:row>
      <xdr:rowOff>95249</xdr:rowOff>
    </xdr:to>
    <xdr:graphicFrame macro="">
      <xdr:nvGraphicFramePr>
        <xdr:cNvPr id="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238125</xdr:colOff>
      <xdr:row>822</xdr:row>
      <xdr:rowOff>152399</xdr:rowOff>
    </xdr:from>
    <xdr:to>
      <xdr:col>10</xdr:col>
      <xdr:colOff>800100</xdr:colOff>
      <xdr:row>832</xdr:row>
      <xdr:rowOff>152399</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238125</xdr:colOff>
      <xdr:row>869</xdr:row>
      <xdr:rowOff>133350</xdr:rowOff>
    </xdr:from>
    <xdr:to>
      <xdr:col>10</xdr:col>
      <xdr:colOff>781049</xdr:colOff>
      <xdr:row>878</xdr:row>
      <xdr:rowOff>161926</xdr:rowOff>
    </xdr:to>
    <xdr:graphicFrame macro="">
      <xdr:nvGraphicFramePr>
        <xdr:cNvPr id="2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228601</xdr:colOff>
      <xdr:row>914</xdr:row>
      <xdr:rowOff>9524</xdr:rowOff>
    </xdr:from>
    <xdr:to>
      <xdr:col>10</xdr:col>
      <xdr:colOff>781050</xdr:colOff>
      <xdr:row>923</xdr:row>
      <xdr:rowOff>142875</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9526</xdr:colOff>
      <xdr:row>959</xdr:row>
      <xdr:rowOff>28574</xdr:rowOff>
    </xdr:from>
    <xdr:to>
      <xdr:col>10</xdr:col>
      <xdr:colOff>809625</xdr:colOff>
      <xdr:row>968</xdr:row>
      <xdr:rowOff>95249</xdr:rowOff>
    </xdr:to>
    <xdr:graphicFrame macro="">
      <xdr:nvGraphicFramePr>
        <xdr:cNvPr id="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247649</xdr:colOff>
      <xdr:row>408</xdr:row>
      <xdr:rowOff>95249</xdr:rowOff>
    </xdr:from>
    <xdr:to>
      <xdr:col>10</xdr:col>
      <xdr:colOff>790575</xdr:colOff>
      <xdr:row>418</xdr:row>
      <xdr:rowOff>38099</xdr:rowOff>
    </xdr:to>
    <xdr:graphicFrame macro="">
      <xdr:nvGraphicFramePr>
        <xdr:cNvPr id="2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238125</xdr:colOff>
      <xdr:row>277</xdr:row>
      <xdr:rowOff>114300</xdr:rowOff>
    </xdr:from>
    <xdr:to>
      <xdr:col>10</xdr:col>
      <xdr:colOff>800100</xdr:colOff>
      <xdr:row>289</xdr:row>
      <xdr:rowOff>47625</xdr:rowOff>
    </xdr:to>
    <xdr:graphicFrame macro="">
      <xdr:nvGraphicFramePr>
        <xdr:cNvPr id="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363</xdr:row>
      <xdr:rowOff>0</xdr:rowOff>
    </xdr:from>
    <xdr:to>
      <xdr:col>10</xdr:col>
      <xdr:colOff>809625</xdr:colOff>
      <xdr:row>372</xdr:row>
      <xdr:rowOff>161925</xdr:rowOff>
    </xdr:to>
    <xdr:graphicFrame macro="">
      <xdr:nvGraphicFramePr>
        <xdr:cNvPr id="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463</xdr:row>
      <xdr:rowOff>0</xdr:rowOff>
    </xdr:from>
    <xdr:to>
      <xdr:col>10</xdr:col>
      <xdr:colOff>790576</xdr:colOff>
      <xdr:row>472</xdr:row>
      <xdr:rowOff>133350</xdr:rowOff>
    </xdr:to>
    <xdr:graphicFrame macro="">
      <xdr:nvGraphicFramePr>
        <xdr:cNvPr id="3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28573</xdr:colOff>
      <xdr:row>1021</xdr:row>
      <xdr:rowOff>6351</xdr:rowOff>
    </xdr:from>
    <xdr:to>
      <xdr:col>10</xdr:col>
      <xdr:colOff>838199</xdr:colOff>
      <xdr:row>1031</xdr:row>
      <xdr:rowOff>47625</xdr:rowOff>
    </xdr:to>
    <xdr:graphicFrame macro="">
      <xdr:nvGraphicFramePr>
        <xdr:cNvPr id="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12699</xdr:colOff>
      <xdr:row>1081</xdr:row>
      <xdr:rowOff>82549</xdr:rowOff>
    </xdr:from>
    <xdr:to>
      <xdr:col>10</xdr:col>
      <xdr:colOff>828675</xdr:colOff>
      <xdr:row>1092</xdr:row>
      <xdr:rowOff>50800</xdr:rowOff>
    </xdr:to>
    <xdr:graphicFrame macro="">
      <xdr:nvGraphicFramePr>
        <xdr:cNvPr id="3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228599</xdr:colOff>
      <xdr:row>1137</xdr:row>
      <xdr:rowOff>95250</xdr:rowOff>
    </xdr:from>
    <xdr:to>
      <xdr:col>10</xdr:col>
      <xdr:colOff>838200</xdr:colOff>
      <xdr:row>1146</xdr:row>
      <xdr:rowOff>85725</xdr:rowOff>
    </xdr:to>
    <xdr:graphicFrame macro="">
      <xdr:nvGraphicFramePr>
        <xdr:cNvPr id="3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O107"/>
  <sheetViews>
    <sheetView view="pageBreakPreview" zoomScale="85" zoomScaleNormal="100" zoomScaleSheetLayoutView="85" workbookViewId="0">
      <selection activeCell="C34" sqref="C34"/>
    </sheetView>
  </sheetViews>
  <sheetFormatPr defaultColWidth="10.42578125" defaultRowHeight="15"/>
  <cols>
    <col min="1" max="1" width="3.7109375" style="1" customWidth="1"/>
    <col min="2" max="2" width="25.5703125" style="1" customWidth="1"/>
    <col min="3" max="11" width="12.7109375" style="1" customWidth="1"/>
    <col min="12" max="12" width="10.42578125" style="1"/>
    <col min="13" max="13" width="14.85546875" style="1" customWidth="1"/>
    <col min="14" max="14" width="23.42578125" style="1" customWidth="1"/>
    <col min="15" max="15" width="12.28515625" style="1" bestFit="1" customWidth="1"/>
    <col min="16" max="16384" width="10.42578125" style="1"/>
  </cols>
  <sheetData>
    <row r="1" spans="1:15" s="70" customFormat="1" ht="24" customHeight="1">
      <c r="B1" s="712" t="s">
        <v>980</v>
      </c>
      <c r="C1" s="712"/>
      <c r="D1" s="712"/>
      <c r="E1" s="712"/>
      <c r="F1" s="712"/>
      <c r="G1" s="712"/>
      <c r="H1" s="712"/>
      <c r="I1" s="712"/>
      <c r="J1" s="712"/>
      <c r="K1" s="712"/>
    </row>
    <row r="2" spans="1:15" s="70" customFormat="1" ht="24" customHeight="1">
      <c r="B2" s="713" t="s">
        <v>981</v>
      </c>
      <c r="C2" s="713"/>
      <c r="D2" s="713"/>
      <c r="E2" s="713"/>
      <c r="F2" s="713"/>
      <c r="G2" s="713"/>
      <c r="H2" s="713"/>
      <c r="I2" s="713"/>
      <c r="J2" s="713"/>
      <c r="K2" s="713"/>
    </row>
    <row r="3" spans="1:15" s="70" customFormat="1" ht="24" customHeight="1">
      <c r="B3" s="712" t="s">
        <v>1341</v>
      </c>
      <c r="C3" s="712"/>
      <c r="D3" s="712"/>
      <c r="E3" s="712"/>
      <c r="F3" s="712"/>
      <c r="G3" s="712"/>
      <c r="H3" s="712"/>
      <c r="I3" s="712"/>
      <c r="J3" s="712"/>
      <c r="K3" s="712"/>
    </row>
    <row r="4" spans="1:15" ht="15" customHeight="1">
      <c r="A4" s="71"/>
    </row>
    <row r="5" spans="1:15" ht="15" customHeight="1">
      <c r="A5" s="71"/>
      <c r="B5" s="71"/>
      <c r="C5" s="72"/>
      <c r="D5" s="72"/>
      <c r="E5" s="73" t="s">
        <v>283</v>
      </c>
      <c r="F5" s="72"/>
    </row>
    <row r="6" spans="1:15" ht="15" customHeight="1">
      <c r="C6" s="72" t="s">
        <v>229</v>
      </c>
      <c r="D6" s="72" t="s">
        <v>282</v>
      </c>
      <c r="E6" s="55" t="s">
        <v>917</v>
      </c>
      <c r="F6" s="73" t="s">
        <v>283</v>
      </c>
      <c r="G6" s="73" t="s">
        <v>298</v>
      </c>
      <c r="H6" s="73" t="s">
        <v>299</v>
      </c>
      <c r="I6" s="73" t="s">
        <v>300</v>
      </c>
      <c r="J6" s="73" t="s">
        <v>1087</v>
      </c>
      <c r="K6" s="73" t="s">
        <v>1224</v>
      </c>
    </row>
    <row r="7" spans="1:15" ht="15" customHeight="1" thickBot="1">
      <c r="B7" s="74" t="s">
        <v>982</v>
      </c>
      <c r="C7" s="75" t="s">
        <v>1</v>
      </c>
      <c r="D7" s="75" t="s">
        <v>1</v>
      </c>
      <c r="E7" s="75" t="s">
        <v>871</v>
      </c>
      <c r="F7" s="75" t="s">
        <v>20</v>
      </c>
      <c r="G7" s="75" t="s">
        <v>917</v>
      </c>
      <c r="H7" s="75" t="s">
        <v>20</v>
      </c>
      <c r="I7" s="75" t="s">
        <v>20</v>
      </c>
      <c r="J7" s="75" t="s">
        <v>20</v>
      </c>
      <c r="K7" s="75" t="s">
        <v>20</v>
      </c>
    </row>
    <row r="8" spans="1:15" ht="15" customHeight="1">
      <c r="B8" s="76"/>
      <c r="C8" s="77"/>
      <c r="D8" s="77"/>
      <c r="E8" s="77"/>
      <c r="F8" s="77"/>
      <c r="G8" s="77"/>
      <c r="H8" s="77"/>
      <c r="I8" s="77"/>
      <c r="J8" s="77"/>
      <c r="M8" s="137" t="s">
        <v>1293</v>
      </c>
      <c r="N8" s="137" t="s">
        <v>1292</v>
      </c>
      <c r="O8" s="137" t="s">
        <v>1285</v>
      </c>
    </row>
    <row r="9" spans="1:15" ht="24" customHeight="1">
      <c r="A9" s="78" t="s">
        <v>983</v>
      </c>
      <c r="C9" s="2">
        <f>'Budget Detail FY 2012-19'!N66</f>
        <v>12511852</v>
      </c>
      <c r="D9" s="2">
        <f>'Budget Detail FY 2012-19'!O66</f>
        <v>13314810</v>
      </c>
      <c r="E9" s="2">
        <f>'Budget Detail FY 2012-19'!P66</f>
        <v>13009489</v>
      </c>
      <c r="F9" s="2">
        <f>'Budget Detail FY 2012-19'!Q66</f>
        <v>13341863</v>
      </c>
      <c r="G9" s="2">
        <f>'Budget Detail FY 2012-19'!R66</f>
        <v>13726625</v>
      </c>
      <c r="H9" s="2">
        <f>'Budget Detail FY 2012-19'!S66</f>
        <v>13858553</v>
      </c>
      <c r="I9" s="2">
        <f>'Budget Detail FY 2012-19'!T66</f>
        <v>14068140</v>
      </c>
      <c r="J9" s="2">
        <f>'Budget Detail FY 2012-19'!U66</f>
        <v>14218420</v>
      </c>
      <c r="K9" s="2">
        <f>'Budget Detail FY 2012-19'!V66</f>
        <v>14366430</v>
      </c>
      <c r="M9" s="2">
        <f>SUM(C9:L9)</f>
        <v>122416182</v>
      </c>
      <c r="N9" s="2">
        <f>SUM('Fund Cover Sheets'!C20:K20)</f>
        <v>122416182</v>
      </c>
      <c r="O9" s="95">
        <f>M9-N9</f>
        <v>0</v>
      </c>
    </row>
    <row r="10" spans="1:15" ht="15" customHeight="1">
      <c r="A10" s="78"/>
      <c r="C10" s="2"/>
      <c r="D10" s="2"/>
      <c r="E10" s="2"/>
      <c r="F10" s="2"/>
      <c r="G10" s="2"/>
      <c r="H10" s="2"/>
      <c r="I10" s="2"/>
      <c r="J10" s="2"/>
      <c r="K10" s="2"/>
      <c r="M10" s="2"/>
      <c r="N10" s="2"/>
    </row>
    <row r="11" spans="1:15" ht="24" customHeight="1">
      <c r="A11" s="78" t="s">
        <v>984</v>
      </c>
      <c r="C11" s="2"/>
      <c r="D11" s="2"/>
      <c r="E11" s="2"/>
      <c r="F11" s="2"/>
      <c r="G11" s="2"/>
      <c r="H11" s="2"/>
      <c r="I11" s="2"/>
      <c r="J11" s="2"/>
      <c r="K11" s="2"/>
      <c r="M11" s="2"/>
      <c r="N11" s="2"/>
    </row>
    <row r="12" spans="1:15" ht="24" customHeight="1">
      <c r="A12" s="78"/>
      <c r="B12" s="1" t="s">
        <v>899</v>
      </c>
      <c r="C12" s="2">
        <f>'Budget Detail FY 2012-19'!N355</f>
        <v>560598</v>
      </c>
      <c r="D12" s="2">
        <f>'Budget Detail FY 2012-19'!O355</f>
        <v>518843</v>
      </c>
      <c r="E12" s="2">
        <f>'Budget Detail FY 2012-19'!P355</f>
        <v>944000</v>
      </c>
      <c r="F12" s="2">
        <f>'Budget Detail FY 2012-19'!Q355</f>
        <v>1116796</v>
      </c>
      <c r="G12" s="2">
        <f>'Budget Detail FY 2012-19'!R355</f>
        <v>483000</v>
      </c>
      <c r="H12" s="2">
        <f>'Budget Detail FY 2012-19'!S355</f>
        <v>443000</v>
      </c>
      <c r="I12" s="2">
        <f>'Budget Detail FY 2012-19'!T355</f>
        <v>443000</v>
      </c>
      <c r="J12" s="2">
        <f>'Budget Detail FY 2012-19'!U355</f>
        <v>443000</v>
      </c>
      <c r="K12" s="2">
        <f>'Budget Detail FY 2012-19'!V355</f>
        <v>443000</v>
      </c>
      <c r="M12" s="2">
        <f t="shared" ref="M12:M19" si="0">SUM(C12:L12)</f>
        <v>5395237</v>
      </c>
      <c r="N12" s="2">
        <f>SUM('Fund Cover Sheets'!C156:K156)</f>
        <v>5395237</v>
      </c>
      <c r="O12" s="95">
        <f t="shared" ref="O12:O19" si="1">M12-N12</f>
        <v>0</v>
      </c>
    </row>
    <row r="13" spans="1:15" ht="24" customHeight="1">
      <c r="A13" s="79"/>
      <c r="B13" s="76" t="s">
        <v>985</v>
      </c>
      <c r="C13" s="80">
        <f>'Budget Detail FY 2012-19'!N805</f>
        <v>1199608</v>
      </c>
      <c r="D13" s="80">
        <f>'Budget Detail FY 2012-19'!O805</f>
        <v>1438559</v>
      </c>
      <c r="E13" s="80">
        <f>'Budget Detail FY 2012-19'!P805</f>
        <v>2228704</v>
      </c>
      <c r="F13" s="80">
        <f>'Budget Detail FY 2012-19'!Q805</f>
        <v>2232769</v>
      </c>
      <c r="G13" s="80">
        <f>'Budget Detail FY 2012-19'!R805</f>
        <v>1765856</v>
      </c>
      <c r="H13" s="80">
        <f>'Budget Detail FY 2012-19'!S805</f>
        <v>1827844</v>
      </c>
      <c r="I13" s="80">
        <f>'Budget Detail FY 2012-19'!T805</f>
        <v>1890218</v>
      </c>
      <c r="J13" s="80">
        <f>'Budget Detail FY 2012-19'!U805</f>
        <v>1958776</v>
      </c>
      <c r="K13" s="80">
        <f>'Budget Detail FY 2012-19'!V805</f>
        <v>2028954</v>
      </c>
      <c r="M13" s="2">
        <f t="shared" si="0"/>
        <v>16571288</v>
      </c>
      <c r="N13" s="2">
        <f>SUM('Fund Cover Sheets'!C597:K597)</f>
        <v>16571288</v>
      </c>
      <c r="O13" s="95">
        <f t="shared" si="1"/>
        <v>0</v>
      </c>
    </row>
    <row r="14" spans="1:15" ht="24" customHeight="1">
      <c r="A14" s="79"/>
      <c r="B14" s="76" t="s">
        <v>748</v>
      </c>
      <c r="C14" s="80">
        <f>'Budget Detail FY 2012-19'!N769</f>
        <v>430767</v>
      </c>
      <c r="D14" s="80">
        <f>'Budget Detail FY 2012-19'!O769</f>
        <v>468768</v>
      </c>
      <c r="E14" s="80">
        <f>'Budget Detail FY 2012-19'!P769</f>
        <v>166500</v>
      </c>
      <c r="F14" s="80">
        <f>'Budget Detail FY 2012-19'!Q769</f>
        <v>178217</v>
      </c>
      <c r="G14" s="80">
        <f>'Budget Detail FY 2012-19'!R769</f>
        <v>73000</v>
      </c>
      <c r="H14" s="80">
        <f>'Budget Detail FY 2012-19'!S769</f>
        <v>73000</v>
      </c>
      <c r="I14" s="80">
        <f>'Budget Detail FY 2012-19'!T769</f>
        <v>423000</v>
      </c>
      <c r="J14" s="80">
        <f>'Budget Detail FY 2012-19'!U769</f>
        <v>23000</v>
      </c>
      <c r="K14" s="80">
        <f>'Budget Detail FY 2012-19'!V769</f>
        <v>23000</v>
      </c>
      <c r="M14" s="2">
        <f t="shared" si="0"/>
        <v>1859252</v>
      </c>
      <c r="N14" s="2">
        <f>SUM('Fund Cover Sheets'!C548:K548)</f>
        <v>1859252</v>
      </c>
      <c r="O14" s="95">
        <f t="shared" si="1"/>
        <v>0</v>
      </c>
    </row>
    <row r="15" spans="1:15" ht="24" customHeight="1">
      <c r="A15" s="79"/>
      <c r="B15" s="76" t="s">
        <v>869</v>
      </c>
      <c r="C15" s="80">
        <f>'Budget Detail FY 2012-19'!N1055</f>
        <v>259327</v>
      </c>
      <c r="D15" s="80">
        <f>'Budget Detail FY 2012-19'!O1055</f>
        <v>0</v>
      </c>
      <c r="E15" s="80">
        <f>'Budget Detail FY 2012-19'!P1055</f>
        <v>0</v>
      </c>
      <c r="F15" s="80">
        <f>'Budget Detail FY 2012-19'!Q1055</f>
        <v>0</v>
      </c>
      <c r="G15" s="80">
        <f>'Budget Detail FY 2012-19'!R1055</f>
        <v>0</v>
      </c>
      <c r="H15" s="80">
        <f>'Budget Detail FY 2012-19'!S1055</f>
        <v>0</v>
      </c>
      <c r="I15" s="80">
        <f>'Budget Detail FY 2012-19'!T1055</f>
        <v>0</v>
      </c>
      <c r="J15" s="80">
        <f>'Budget Detail FY 2012-19'!U1055</f>
        <v>0</v>
      </c>
      <c r="K15" s="80">
        <f>'Budget Detail FY 2012-19'!V1055</f>
        <v>0</v>
      </c>
      <c r="M15" s="2">
        <f t="shared" si="0"/>
        <v>259327</v>
      </c>
      <c r="N15" s="2">
        <f>SUM('Fund Cover Sheets'!C848:K848)</f>
        <v>259327</v>
      </c>
      <c r="O15" s="95">
        <f t="shared" si="1"/>
        <v>0</v>
      </c>
    </row>
    <row r="16" spans="1:15" ht="24" customHeight="1">
      <c r="A16" s="79"/>
      <c r="B16" s="76" t="s">
        <v>647</v>
      </c>
      <c r="C16" s="80">
        <f>'Budget Detail FY 2012-19'!N1077</f>
        <v>6906</v>
      </c>
      <c r="D16" s="80">
        <f>'Budget Detail FY 2012-19'!O1077</f>
        <v>2132</v>
      </c>
      <c r="E16" s="80">
        <f>'Budget Detail FY 2012-19'!P1077</f>
        <v>1550</v>
      </c>
      <c r="F16" s="80">
        <f>'Budget Detail FY 2012-19'!Q1077</f>
        <v>106</v>
      </c>
      <c r="G16" s="80">
        <f>'Budget Detail FY 2012-19'!R1077</f>
        <v>20000</v>
      </c>
      <c r="H16" s="80">
        <f>'Budget Detail FY 2012-19'!S1077</f>
        <v>120000</v>
      </c>
      <c r="I16" s="80">
        <f>'Budget Detail FY 2012-19'!T1077</f>
        <v>120000</v>
      </c>
      <c r="J16" s="80">
        <f>'Budget Detail FY 2012-19'!U1077</f>
        <v>120000</v>
      </c>
      <c r="K16" s="80">
        <f>'Budget Detail FY 2012-19'!V1077</f>
        <v>120000</v>
      </c>
      <c r="M16" s="2">
        <f t="shared" si="0"/>
        <v>510694</v>
      </c>
      <c r="N16" s="2">
        <f>SUM('Fund Cover Sheets'!C895:K895)</f>
        <v>510694</v>
      </c>
      <c r="O16" s="95">
        <f t="shared" si="1"/>
        <v>0</v>
      </c>
    </row>
    <row r="17" spans="1:15" ht="24" customHeight="1">
      <c r="A17" s="79"/>
      <c r="B17" s="76" t="s">
        <v>653</v>
      </c>
      <c r="C17" s="80">
        <f>'Budget Detail FY 2012-19'!N1103</f>
        <v>67933</v>
      </c>
      <c r="D17" s="80">
        <f>'Budget Detail FY 2012-19'!O1103</f>
        <v>45408</v>
      </c>
      <c r="E17" s="80">
        <f>'Budget Detail FY 2012-19'!P1103</f>
        <v>35350</v>
      </c>
      <c r="F17" s="80">
        <f>'Budget Detail FY 2012-19'!Q1103</f>
        <v>67886</v>
      </c>
      <c r="G17" s="80">
        <f>'Budget Detail FY 2012-19'!R1103</f>
        <v>85075</v>
      </c>
      <c r="H17" s="80">
        <f>'Budget Detail FY 2012-19'!S1103</f>
        <v>85075</v>
      </c>
      <c r="I17" s="80">
        <f>'Budget Detail FY 2012-19'!T1103</f>
        <v>90075</v>
      </c>
      <c r="J17" s="80">
        <f>'Budget Detail FY 2012-19'!U1103</f>
        <v>90075</v>
      </c>
      <c r="K17" s="80">
        <f>'Budget Detail FY 2012-19'!V1103</f>
        <v>95075</v>
      </c>
      <c r="M17" s="2">
        <f t="shared" si="0"/>
        <v>661952</v>
      </c>
      <c r="N17" s="2">
        <f>SUM('Fund Cover Sheets'!C940:K940)</f>
        <v>661952</v>
      </c>
      <c r="O17" s="95">
        <f t="shared" si="1"/>
        <v>0</v>
      </c>
    </row>
    <row r="18" spans="1:15" ht="24" customHeight="1">
      <c r="A18" s="79"/>
      <c r="B18" s="76" t="s">
        <v>986</v>
      </c>
      <c r="C18" s="80">
        <f>'Budget Detail FY 2012-19'!N314</f>
        <v>3793</v>
      </c>
      <c r="D18" s="80">
        <f>'Budget Detail FY 2012-19'!O314</f>
        <v>3796</v>
      </c>
      <c r="E18" s="80">
        <f>'Budget Detail FY 2012-19'!P314</f>
        <v>3786</v>
      </c>
      <c r="F18" s="80">
        <f>'Budget Detail FY 2012-19'!Q314</f>
        <v>3787</v>
      </c>
      <c r="G18" s="80">
        <f>'Budget Detail FY 2012-19'!R314</f>
        <v>8536</v>
      </c>
      <c r="H18" s="80">
        <f>'Budget Detail FY 2012-19'!S314</f>
        <v>8536</v>
      </c>
      <c r="I18" s="80">
        <f>'Budget Detail FY 2012-19'!T314</f>
        <v>8536</v>
      </c>
      <c r="J18" s="80">
        <f>'Budget Detail FY 2012-19'!U314</f>
        <v>8536</v>
      </c>
      <c r="K18" s="80">
        <f>'Budget Detail FY 2012-19'!V314</f>
        <v>8536</v>
      </c>
      <c r="M18" s="2">
        <f t="shared" si="0"/>
        <v>57842</v>
      </c>
      <c r="N18" s="2">
        <f>SUM('Fund Cover Sheets'!C68:K68)</f>
        <v>57842</v>
      </c>
      <c r="O18" s="95">
        <f t="shared" si="1"/>
        <v>0</v>
      </c>
    </row>
    <row r="19" spans="1:15" ht="24" customHeight="1">
      <c r="A19" s="79"/>
      <c r="B19" s="76" t="s">
        <v>987</v>
      </c>
      <c r="C19" s="2">
        <f>'Budget Detail FY 2012-19'!N332</f>
        <v>7537</v>
      </c>
      <c r="D19" s="2">
        <f>'Budget Detail FY 2012-19'!O332</f>
        <v>7544</v>
      </c>
      <c r="E19" s="2">
        <f>'Budget Detail FY 2012-19'!P332</f>
        <v>7531</v>
      </c>
      <c r="F19" s="2">
        <f>'Budget Detail FY 2012-19'!Q332</f>
        <v>7469</v>
      </c>
      <c r="G19" s="2">
        <f>'Budget Detail FY 2012-19'!R332</f>
        <v>17416</v>
      </c>
      <c r="H19" s="2">
        <f>'Budget Detail FY 2012-19'!S332</f>
        <v>17416</v>
      </c>
      <c r="I19" s="2">
        <f>'Budget Detail FY 2012-19'!T332</f>
        <v>17416</v>
      </c>
      <c r="J19" s="2">
        <f>'Budget Detail FY 2012-19'!U332</f>
        <v>17416</v>
      </c>
      <c r="K19" s="2">
        <f>'Budget Detail FY 2012-19'!V332</f>
        <v>17416</v>
      </c>
      <c r="M19" s="2">
        <f t="shared" si="0"/>
        <v>117161</v>
      </c>
      <c r="N19" s="2">
        <f>SUM('Fund Cover Sheets'!C112:K112)</f>
        <v>117161</v>
      </c>
      <c r="O19" s="95">
        <f t="shared" si="1"/>
        <v>0</v>
      </c>
    </row>
    <row r="20" spans="1:15" ht="15" customHeight="1">
      <c r="A20" s="79"/>
      <c r="B20" s="76"/>
      <c r="C20" s="2"/>
      <c r="D20" s="2"/>
      <c r="E20" s="2"/>
      <c r="F20" s="2"/>
      <c r="G20" s="2"/>
      <c r="H20" s="2"/>
      <c r="I20" s="2"/>
      <c r="J20" s="2"/>
      <c r="K20" s="2"/>
      <c r="M20" s="2"/>
      <c r="N20" s="2"/>
    </row>
    <row r="21" spans="1:15" ht="24" customHeight="1">
      <c r="A21" s="78" t="s">
        <v>988</v>
      </c>
      <c r="B21" s="71"/>
      <c r="C21" s="2">
        <f>'Budget Detail FY 2012-19'!N548</f>
        <v>507525</v>
      </c>
      <c r="D21" s="2">
        <f>'Budget Detail FY 2012-19'!O548</f>
        <v>429531</v>
      </c>
      <c r="E21" s="2">
        <f>'Budget Detail FY 2012-19'!P548</f>
        <v>329479</v>
      </c>
      <c r="F21" s="2">
        <f>'Budget Detail FY 2012-19'!Q548</f>
        <v>320890</v>
      </c>
      <c r="G21" s="2">
        <f>'Budget Detail FY 2012-19'!R548</f>
        <v>332179</v>
      </c>
      <c r="H21" s="2">
        <f>'Budget Detail FY 2012-19'!S548</f>
        <v>325147</v>
      </c>
      <c r="I21" s="2">
        <f>'Budget Detail FY 2012-19'!T548</f>
        <v>336954</v>
      </c>
      <c r="J21" s="2">
        <f>'Budget Detail FY 2012-19'!U548</f>
        <v>336954</v>
      </c>
      <c r="K21" s="2">
        <f>'Budget Detail FY 2012-19'!V548</f>
        <v>341294</v>
      </c>
      <c r="M21" s="2">
        <f>SUM(C21:L21)</f>
        <v>3259953</v>
      </c>
      <c r="N21" s="2">
        <f>SUM('Fund Cover Sheets'!C390:K390)</f>
        <v>3259953</v>
      </c>
      <c r="O21" s="95">
        <f>M21-N21</f>
        <v>0</v>
      </c>
    </row>
    <row r="22" spans="1:15" ht="15" customHeight="1">
      <c r="A22" s="78"/>
      <c r="B22" s="71"/>
      <c r="C22" s="2"/>
      <c r="D22" s="2"/>
      <c r="E22" s="2"/>
      <c r="F22" s="2"/>
      <c r="G22" s="2"/>
      <c r="H22" s="2"/>
      <c r="I22" s="2"/>
      <c r="J22" s="2"/>
      <c r="K22" s="2"/>
      <c r="M22" s="2"/>
      <c r="N22" s="2"/>
    </row>
    <row r="23" spans="1:15" ht="24" customHeight="1">
      <c r="A23" s="78" t="s">
        <v>989</v>
      </c>
      <c r="B23" s="71"/>
      <c r="C23" s="80"/>
      <c r="D23" s="80"/>
      <c r="E23" s="80"/>
      <c r="F23" s="80"/>
      <c r="G23" s="80"/>
      <c r="H23" s="80"/>
      <c r="I23" s="80"/>
      <c r="J23" s="80"/>
      <c r="K23" s="80"/>
      <c r="M23" s="2"/>
      <c r="N23" s="2"/>
    </row>
    <row r="24" spans="1:15" ht="24" customHeight="1">
      <c r="A24" s="78"/>
      <c r="B24" s="76" t="s">
        <v>990</v>
      </c>
      <c r="C24" s="80">
        <f>'Budget Detail FY 2012-19'!N386</f>
        <v>8400</v>
      </c>
      <c r="D24" s="80">
        <f>'Budget Detail FY 2012-19'!O386</f>
        <v>12859</v>
      </c>
      <c r="E24" s="80">
        <f>'Budget Detail FY 2012-19'!P386</f>
        <v>573374</v>
      </c>
      <c r="F24" s="80">
        <f>'Budget Detail FY 2012-19'!Q386</f>
        <v>571615</v>
      </c>
      <c r="G24" s="80">
        <f>'Budget Detail FY 2012-19'!R386</f>
        <v>0</v>
      </c>
      <c r="H24" s="80">
        <f>'Budget Detail FY 2012-19'!S386</f>
        <v>0</v>
      </c>
      <c r="I24" s="80">
        <f>'Budget Detail FY 2012-19'!T386</f>
        <v>0</v>
      </c>
      <c r="J24" s="80">
        <f>'Budget Detail FY 2012-19'!U386</f>
        <v>0</v>
      </c>
      <c r="K24" s="80">
        <f>'Budget Detail FY 2012-19'!V386</f>
        <v>0</v>
      </c>
      <c r="M24" s="2">
        <f t="shared" ref="M24:M26" si="2">SUM(C24:L24)</f>
        <v>1166248</v>
      </c>
      <c r="N24" s="2">
        <f>SUM('Fund Cover Sheets'!C201:K201)</f>
        <v>1166248</v>
      </c>
      <c r="O24" s="95">
        <f t="shared" ref="O24:O26" si="3">M24-N24</f>
        <v>0</v>
      </c>
    </row>
    <row r="25" spans="1:15" ht="24" customHeight="1">
      <c r="A25" s="79"/>
      <c r="B25" s="76" t="s">
        <v>1155</v>
      </c>
      <c r="C25" s="2">
        <f>'Budget Detail FY 2012-19'!N489</f>
        <v>97980</v>
      </c>
      <c r="D25" s="2">
        <f>'Budget Detail FY 2012-19'!O489</f>
        <v>112156</v>
      </c>
      <c r="E25" s="2">
        <f>'Budget Detail FY 2012-19'!P489</f>
        <v>259750</v>
      </c>
      <c r="F25" s="2">
        <f>'Budget Detail FY 2012-19'!Q489</f>
        <v>286354</v>
      </c>
      <c r="G25" s="2">
        <f>'Budget Detail FY 2012-19'!R489</f>
        <v>434553</v>
      </c>
      <c r="H25" s="2">
        <f>'Budget Detail FY 2012-19'!S489</f>
        <v>274201</v>
      </c>
      <c r="I25" s="2">
        <f>'Budget Detail FY 2012-19'!T489</f>
        <v>174707</v>
      </c>
      <c r="J25" s="2">
        <f>'Budget Detail FY 2012-19'!U489</f>
        <v>174707</v>
      </c>
      <c r="K25" s="2">
        <f>'Budget Detail FY 2012-19'!V489</f>
        <v>174707</v>
      </c>
      <c r="M25" s="2">
        <f t="shared" si="2"/>
        <v>1989115</v>
      </c>
      <c r="N25" s="2">
        <f>SUM('Fund Cover Sheets'!C311:K311)</f>
        <v>1989115</v>
      </c>
      <c r="O25" s="95">
        <f t="shared" si="3"/>
        <v>0</v>
      </c>
    </row>
    <row r="26" spans="1:15" ht="24" customHeight="1">
      <c r="A26" s="79"/>
      <c r="B26" s="76" t="s">
        <v>992</v>
      </c>
      <c r="C26" s="80">
        <f>'Budget Detail FY 2012-19'!N418</f>
        <v>227117</v>
      </c>
      <c r="D26" s="80">
        <f>'Budget Detail FY 2012-19'!O418</f>
        <v>633742</v>
      </c>
      <c r="E26" s="80">
        <f>'Budget Detail FY 2012-19'!P418</f>
        <v>1780172</v>
      </c>
      <c r="F26" s="80">
        <f>'Budget Detail FY 2012-19'!Q418</f>
        <v>2069193</v>
      </c>
      <c r="G26" s="80">
        <f>'Budget Detail FY 2012-19'!R418</f>
        <v>6549840</v>
      </c>
      <c r="H26" s="80">
        <f>'Budget Detail FY 2012-19'!S418</f>
        <v>803250</v>
      </c>
      <c r="I26" s="80">
        <f>'Budget Detail FY 2012-19'!T418</f>
        <v>1169250</v>
      </c>
      <c r="J26" s="80">
        <f>'Budget Detail FY 2012-19'!U418</f>
        <v>844991</v>
      </c>
      <c r="K26" s="80">
        <f>'Budget Detail FY 2012-19'!V418</f>
        <v>848015</v>
      </c>
      <c r="M26" s="2">
        <f t="shared" si="2"/>
        <v>14925570</v>
      </c>
      <c r="N26" s="2">
        <f>SUM('Fund Cover Sheets'!C248:K248)</f>
        <v>14925570</v>
      </c>
      <c r="O26" s="95">
        <f t="shared" si="3"/>
        <v>0</v>
      </c>
    </row>
    <row r="27" spans="1:15" ht="15" customHeight="1">
      <c r="A27" s="79"/>
      <c r="B27" s="76"/>
      <c r="C27" s="80"/>
      <c r="D27" s="80"/>
      <c r="E27" s="80"/>
      <c r="F27" s="80"/>
      <c r="G27" s="80"/>
      <c r="H27" s="80"/>
      <c r="I27" s="80"/>
      <c r="J27" s="80"/>
      <c r="K27" s="80"/>
      <c r="M27" s="2"/>
      <c r="N27" s="2"/>
    </row>
    <row r="28" spans="1:15" ht="24" customHeight="1">
      <c r="A28" s="78" t="s">
        <v>993</v>
      </c>
      <c r="B28" s="76"/>
      <c r="C28" s="2"/>
      <c r="D28" s="2"/>
      <c r="E28" s="2"/>
      <c r="F28" s="2"/>
      <c r="G28" s="2"/>
      <c r="H28" s="2"/>
      <c r="I28" s="2"/>
      <c r="J28" s="2"/>
      <c r="K28" s="2"/>
      <c r="M28" s="2"/>
      <c r="N28" s="2"/>
    </row>
    <row r="29" spans="1:15" ht="24" customHeight="1">
      <c r="B29" s="76" t="s">
        <v>746</v>
      </c>
      <c r="C29" s="2">
        <f>'Budget Detail FY 2012-19'!N586</f>
        <v>2855198</v>
      </c>
      <c r="D29" s="2">
        <f>'Budget Detail FY 2012-19'!O586</f>
        <v>3104339</v>
      </c>
      <c r="E29" s="2">
        <f>'Budget Detail FY 2012-19'!P586</f>
        <v>2641091</v>
      </c>
      <c r="F29" s="2">
        <f>'Budget Detail FY 2012-19'!Q586</f>
        <v>2503908</v>
      </c>
      <c r="G29" s="2">
        <f>'Budget Detail FY 2012-19'!R586</f>
        <v>2839226</v>
      </c>
      <c r="H29" s="2">
        <f>'Budget Detail FY 2012-19'!S586</f>
        <v>3153520</v>
      </c>
      <c r="I29" s="2">
        <f>'Budget Detail FY 2012-19'!T586</f>
        <v>3399709</v>
      </c>
      <c r="J29" s="2">
        <f>'Budget Detail FY 2012-19'!U586</f>
        <v>3398658</v>
      </c>
      <c r="K29" s="2">
        <f>'Budget Detail FY 2012-19'!V586</f>
        <v>3402630</v>
      </c>
      <c r="M29" s="2">
        <f t="shared" ref="M29:M31" si="4">SUM(C29:L29)</f>
        <v>27298279</v>
      </c>
      <c r="N29" s="2">
        <f>SUM('Fund Cover Sheets'!C438:K438)</f>
        <v>27298279</v>
      </c>
      <c r="O29" s="95">
        <f t="shared" ref="O29:O31" si="5">M29-N29</f>
        <v>0</v>
      </c>
    </row>
    <row r="30" spans="1:15" ht="24" customHeight="1">
      <c r="B30" s="76" t="s">
        <v>747</v>
      </c>
      <c r="C30" s="2">
        <f>'Budget Detail FY 2012-19'!N681</f>
        <v>3120374</v>
      </c>
      <c r="D30" s="2">
        <f>'Budget Detail FY 2012-19'!O681</f>
        <v>1649995</v>
      </c>
      <c r="E30" s="2">
        <f>'Budget Detail FY 2012-19'!P681</f>
        <v>2355220</v>
      </c>
      <c r="F30" s="2">
        <f>'Budget Detail FY 2012-19'!Q681</f>
        <v>2367582</v>
      </c>
      <c r="G30" s="2">
        <f>'Budget Detail FY 2012-19'!R681</f>
        <v>2385472</v>
      </c>
      <c r="H30" s="2">
        <f>'Budget Detail FY 2012-19'!S681</f>
        <v>2303329</v>
      </c>
      <c r="I30" s="2">
        <f>'Budget Detail FY 2012-19'!T681</f>
        <v>2342011</v>
      </c>
      <c r="J30" s="2">
        <f>'Budget Detail FY 2012-19'!U681</f>
        <v>2386898</v>
      </c>
      <c r="K30" s="2">
        <f>'Budget Detail FY 2012-19'!V681</f>
        <v>2427376</v>
      </c>
      <c r="M30" s="2">
        <f t="shared" si="4"/>
        <v>21338257</v>
      </c>
      <c r="N30" s="2">
        <f>SUM('Fund Cover Sheets'!C492:K492)</f>
        <v>21338257</v>
      </c>
      <c r="O30" s="95">
        <f t="shared" si="5"/>
        <v>0</v>
      </c>
    </row>
    <row r="31" spans="1:15" ht="24" customHeight="1">
      <c r="B31" s="76" t="s">
        <v>673</v>
      </c>
      <c r="C31" s="2">
        <f>'Budget Detail FY 2012-19'!N896</f>
        <v>634563</v>
      </c>
      <c r="D31" s="2">
        <f>'Budget Detail FY 2012-19'!O896</f>
        <v>511086</v>
      </c>
      <c r="E31" s="2">
        <f>'Budget Detail FY 2012-19'!P896</f>
        <v>617957</v>
      </c>
      <c r="F31" s="2">
        <f>'Budget Detail FY 2012-19'!Q896</f>
        <v>533303</v>
      </c>
      <c r="G31" s="2">
        <f>'Budget Detail FY 2012-19'!R896</f>
        <v>0</v>
      </c>
      <c r="H31" s="2">
        <f>'Budget Detail FY 2012-19'!S896</f>
        <v>0</v>
      </c>
      <c r="I31" s="2">
        <f>'Budget Detail FY 2012-19'!T896</f>
        <v>0</v>
      </c>
      <c r="J31" s="2">
        <f>'Budget Detail FY 2012-19'!U896</f>
        <v>0</v>
      </c>
      <c r="K31" s="2">
        <f>'Budget Detail FY 2012-19'!V896</f>
        <v>0</v>
      </c>
      <c r="M31" s="2">
        <f t="shared" si="4"/>
        <v>2296909</v>
      </c>
      <c r="N31" s="2">
        <f>SUM('Fund Cover Sheets'!C648:K648)</f>
        <v>2296909</v>
      </c>
      <c r="O31" s="95">
        <f t="shared" si="5"/>
        <v>0</v>
      </c>
    </row>
    <row r="32" spans="1:15" ht="15" customHeight="1">
      <c r="B32" s="76"/>
      <c r="C32" s="2"/>
      <c r="D32" s="2"/>
      <c r="E32" s="2"/>
      <c r="F32" s="2"/>
      <c r="G32" s="2"/>
      <c r="H32" s="2"/>
      <c r="I32" s="2"/>
      <c r="J32" s="2"/>
      <c r="K32" s="2"/>
      <c r="M32" s="2"/>
      <c r="N32" s="2"/>
    </row>
    <row r="33" spans="1:15" ht="24" customHeight="1">
      <c r="A33" s="78" t="s">
        <v>994</v>
      </c>
      <c r="B33" s="76"/>
      <c r="C33" s="2"/>
      <c r="D33" s="2"/>
      <c r="E33" s="2"/>
      <c r="F33" s="2"/>
      <c r="G33" s="2"/>
      <c r="H33" s="2"/>
      <c r="I33" s="2"/>
      <c r="J33" s="2"/>
      <c r="K33" s="2"/>
      <c r="M33" s="2"/>
      <c r="N33" s="2"/>
    </row>
    <row r="34" spans="1:15" ht="24" customHeight="1">
      <c r="A34" s="78"/>
      <c r="B34" s="76" t="s">
        <v>734</v>
      </c>
      <c r="C34" s="2">
        <f>'Budget Detail FY 2012-19'!N954</f>
        <v>1095539</v>
      </c>
      <c r="D34" s="2">
        <f>'Budget Detail FY 2012-19'!O954</f>
        <v>789584</v>
      </c>
      <c r="E34" s="2">
        <f>'Budget Detail FY 2012-19'!P954</f>
        <v>778639</v>
      </c>
      <c r="F34" s="2">
        <f>'Budget Detail FY 2012-19'!Q954</f>
        <v>750004</v>
      </c>
      <c r="G34" s="2">
        <f>'Budget Detail FY 2012-19'!R954</f>
        <v>732685</v>
      </c>
      <c r="H34" s="2">
        <f>'Budget Detail FY 2012-19'!S954</f>
        <v>723668</v>
      </c>
      <c r="I34" s="2">
        <f>'Budget Detail FY 2012-19'!T954</f>
        <v>715568</v>
      </c>
      <c r="J34" s="2">
        <f>'Budget Detail FY 2012-19'!U954</f>
        <v>707582</v>
      </c>
      <c r="K34" s="2">
        <f>'Budget Detail FY 2012-19'!V954</f>
        <v>707582</v>
      </c>
      <c r="M34" s="2">
        <f t="shared" ref="M34:M36" si="6">SUM(C34:L34)</f>
        <v>7000851</v>
      </c>
      <c r="N34" s="2">
        <f>SUM('Fund Cover Sheets'!C704:K704)</f>
        <v>7000851</v>
      </c>
      <c r="O34" s="95">
        <f t="shared" ref="O34:O38" si="7">M34-N34</f>
        <v>0</v>
      </c>
    </row>
    <row r="35" spans="1:15" ht="24" customHeight="1">
      <c r="A35" s="78"/>
      <c r="B35" s="76" t="s">
        <v>639</v>
      </c>
      <c r="C35" s="2">
        <f>'Budget Detail FY 2012-19'!N1009</f>
        <v>718979</v>
      </c>
      <c r="D35" s="2">
        <f>'Budget Detail FY 2012-19'!O1009</f>
        <v>797309</v>
      </c>
      <c r="E35" s="2">
        <f>'Budget Detail FY 2012-19'!P1009</f>
        <v>771963</v>
      </c>
      <c r="F35" s="2">
        <f>'Budget Detail FY 2012-19'!Q1009</f>
        <v>767720</v>
      </c>
      <c r="G35" s="2">
        <f>'Budget Detail FY 2012-19'!R1009</f>
        <v>731351</v>
      </c>
      <c r="H35" s="2">
        <f>'Budget Detail FY 2012-19'!S1009</f>
        <v>749876</v>
      </c>
      <c r="I35" s="2">
        <f>'Budget Detail FY 2012-19'!T1009</f>
        <v>752801</v>
      </c>
      <c r="J35" s="2">
        <f>'Budget Detail FY 2012-19'!U1009</f>
        <v>760426</v>
      </c>
      <c r="K35" s="2">
        <f>'Budget Detail FY 2012-19'!V1009</f>
        <v>792131</v>
      </c>
      <c r="M35" s="2">
        <f t="shared" si="6"/>
        <v>6842556</v>
      </c>
      <c r="N35" s="2">
        <f>SUM('Fund Cover Sheets'!C755:K755)</f>
        <v>6842556</v>
      </c>
      <c r="O35" s="95">
        <f t="shared" si="7"/>
        <v>0</v>
      </c>
    </row>
    <row r="36" spans="1:15" ht="24" customHeight="1">
      <c r="A36" s="78"/>
      <c r="B36" s="76" t="s">
        <v>995</v>
      </c>
      <c r="C36" s="2">
        <f>'Budget Detail FY 2012-19'!N1033</f>
        <v>350259</v>
      </c>
      <c r="D36" s="2">
        <f>'Budget Detail FY 2012-19'!O1033</f>
        <v>35208</v>
      </c>
      <c r="E36" s="2">
        <f>'Budget Detail FY 2012-19'!P1033</f>
        <v>20020</v>
      </c>
      <c r="F36" s="2">
        <f>'Budget Detail FY 2012-19'!Q1033</f>
        <v>55015</v>
      </c>
      <c r="G36" s="2">
        <f>'Budget Detail FY 2012-19'!R1033</f>
        <v>20020</v>
      </c>
      <c r="H36" s="2">
        <f>'Budget Detail FY 2012-19'!S1033</f>
        <v>20020</v>
      </c>
      <c r="I36" s="2">
        <f>'Budget Detail FY 2012-19'!T1033</f>
        <v>20020</v>
      </c>
      <c r="J36" s="2">
        <f>'Budget Detail FY 2012-19'!U1033</f>
        <v>20020</v>
      </c>
      <c r="K36" s="2">
        <f>'Budget Detail FY 2012-19'!V1033</f>
        <v>20020</v>
      </c>
      <c r="M36" s="2">
        <f t="shared" si="6"/>
        <v>560602</v>
      </c>
      <c r="N36" s="2">
        <f>SUM('Fund Cover Sheets'!C801:K801)</f>
        <v>560602</v>
      </c>
      <c r="O36" s="95">
        <f t="shared" si="7"/>
        <v>0</v>
      </c>
    </row>
    <row r="37" spans="1:15" ht="15" customHeight="1">
      <c r="A37" s="81"/>
      <c r="B37" s="76"/>
      <c r="C37" s="80"/>
      <c r="D37" s="80"/>
      <c r="E37" s="80"/>
      <c r="F37" s="80"/>
      <c r="G37" s="80"/>
      <c r="H37" s="80"/>
      <c r="I37" s="80"/>
      <c r="J37" s="80"/>
      <c r="K37" s="80"/>
      <c r="M37" s="2"/>
      <c r="N37" s="2"/>
    </row>
    <row r="38" spans="1:15" ht="24" customHeight="1" thickBot="1">
      <c r="A38" s="8"/>
      <c r="B38" s="82" t="s">
        <v>1053</v>
      </c>
      <c r="C38" s="83">
        <f t="shared" ref="C38:K38" si="8">SUM(C9:C37)</f>
        <v>24664255</v>
      </c>
      <c r="D38" s="83">
        <f t="shared" si="8"/>
        <v>23875669</v>
      </c>
      <c r="E38" s="83">
        <f t="shared" si="8"/>
        <v>26524575</v>
      </c>
      <c r="F38" s="83">
        <f t="shared" si="8"/>
        <v>27174477</v>
      </c>
      <c r="G38" s="83">
        <f t="shared" si="8"/>
        <v>30204834</v>
      </c>
      <c r="H38" s="83">
        <f t="shared" si="8"/>
        <v>24786435</v>
      </c>
      <c r="I38" s="83">
        <f t="shared" si="8"/>
        <v>25971405</v>
      </c>
      <c r="J38" s="83">
        <f t="shared" si="8"/>
        <v>25509459</v>
      </c>
      <c r="K38" s="83">
        <f t="shared" si="8"/>
        <v>25816166</v>
      </c>
      <c r="M38" s="2">
        <f>SUM(M9:M36)</f>
        <v>234527275</v>
      </c>
      <c r="N38" s="2">
        <f>SUM(N9:N36)</f>
        <v>234527275</v>
      </c>
      <c r="O38" s="95">
        <f t="shared" si="7"/>
        <v>0</v>
      </c>
    </row>
    <row r="39" spans="1:15" ht="15" customHeight="1" thickTop="1">
      <c r="M39" s="2"/>
      <c r="N39" s="2"/>
    </row>
    <row r="40" spans="1:15" s="71" customFormat="1" ht="15" customHeight="1">
      <c r="M40" s="3"/>
      <c r="N40" s="3"/>
    </row>
    <row r="41" spans="1:15" ht="24" customHeight="1">
      <c r="B41" s="712" t="s">
        <v>980</v>
      </c>
      <c r="C41" s="712"/>
      <c r="D41" s="712"/>
      <c r="E41" s="712"/>
      <c r="F41" s="712"/>
      <c r="G41" s="712"/>
      <c r="H41" s="712"/>
      <c r="I41" s="712"/>
      <c r="J41" s="712"/>
      <c r="K41" s="712"/>
      <c r="M41" s="2"/>
      <c r="N41" s="2"/>
    </row>
    <row r="42" spans="1:15" ht="24" customHeight="1">
      <c r="B42" s="713" t="s">
        <v>996</v>
      </c>
      <c r="C42" s="713"/>
      <c r="D42" s="713"/>
      <c r="E42" s="713"/>
      <c r="F42" s="713"/>
      <c r="G42" s="713"/>
      <c r="H42" s="713"/>
      <c r="I42" s="713"/>
      <c r="J42" s="713"/>
      <c r="K42" s="713"/>
      <c r="M42" s="2"/>
      <c r="N42" s="2"/>
    </row>
    <row r="43" spans="1:15" ht="24" customHeight="1">
      <c r="B43" s="712" t="s">
        <v>1341</v>
      </c>
      <c r="C43" s="712"/>
      <c r="D43" s="712"/>
      <c r="E43" s="712"/>
      <c r="F43" s="712"/>
      <c r="G43" s="712"/>
      <c r="H43" s="712"/>
      <c r="I43" s="712"/>
      <c r="J43" s="712"/>
      <c r="K43" s="712"/>
      <c r="M43" s="2"/>
      <c r="N43" s="2"/>
    </row>
    <row r="44" spans="1:15" ht="15" customHeight="1">
      <c r="M44" s="2"/>
      <c r="N44" s="2"/>
    </row>
    <row r="45" spans="1:15" ht="15" customHeight="1">
      <c r="C45" s="72"/>
      <c r="D45" s="72"/>
      <c r="E45" s="73" t="s">
        <v>283</v>
      </c>
      <c r="F45" s="72"/>
      <c r="M45" s="2"/>
      <c r="N45" s="2"/>
    </row>
    <row r="46" spans="1:15" ht="15" customHeight="1">
      <c r="C46" s="72" t="s">
        <v>229</v>
      </c>
      <c r="D46" s="72" t="s">
        <v>282</v>
      </c>
      <c r="E46" s="55" t="s">
        <v>917</v>
      </c>
      <c r="F46" s="73" t="s">
        <v>283</v>
      </c>
      <c r="G46" s="73" t="s">
        <v>298</v>
      </c>
      <c r="H46" s="73" t="s">
        <v>299</v>
      </c>
      <c r="I46" s="73" t="s">
        <v>300</v>
      </c>
      <c r="J46" s="73" t="s">
        <v>1087</v>
      </c>
      <c r="K46" s="73" t="s">
        <v>1224</v>
      </c>
      <c r="M46" s="2"/>
      <c r="N46" s="2"/>
    </row>
    <row r="47" spans="1:15" ht="15" customHeight="1" thickBot="1">
      <c r="B47" s="74" t="s">
        <v>982</v>
      </c>
      <c r="C47" s="75" t="s">
        <v>1</v>
      </c>
      <c r="D47" s="75" t="s">
        <v>1</v>
      </c>
      <c r="E47" s="75" t="s">
        <v>871</v>
      </c>
      <c r="F47" s="75" t="s">
        <v>20</v>
      </c>
      <c r="G47" s="75" t="s">
        <v>917</v>
      </c>
      <c r="H47" s="75" t="s">
        <v>20</v>
      </c>
      <c r="I47" s="75" t="s">
        <v>20</v>
      </c>
      <c r="J47" s="75" t="s">
        <v>20</v>
      </c>
      <c r="K47" s="75" t="s">
        <v>20</v>
      </c>
      <c r="M47" s="2"/>
      <c r="N47" s="2"/>
    </row>
    <row r="48" spans="1:15" ht="15" customHeight="1">
      <c r="C48" s="77"/>
      <c r="D48" s="77"/>
      <c r="E48" s="77"/>
      <c r="F48" s="77"/>
      <c r="G48" s="77"/>
      <c r="H48" s="77"/>
      <c r="I48" s="77"/>
      <c r="J48" s="77"/>
      <c r="M48" s="137" t="s">
        <v>1293</v>
      </c>
      <c r="N48" s="137" t="s">
        <v>1292</v>
      </c>
      <c r="O48" s="137" t="s">
        <v>1285</v>
      </c>
    </row>
    <row r="49" spans="1:15" ht="24" customHeight="1">
      <c r="A49" s="78" t="s">
        <v>983</v>
      </c>
      <c r="C49" s="2">
        <f>'Budget Detail FY 2012-19'!N302</f>
        <v>10969330</v>
      </c>
      <c r="D49" s="2">
        <f>'Budget Detail FY 2012-19'!O302</f>
        <v>10361617</v>
      </c>
      <c r="E49" s="2">
        <f>'Budget Detail FY 2012-19'!P302</f>
        <v>13902593</v>
      </c>
      <c r="F49" s="2">
        <f>'Budget Detail FY 2012-19'!Q302</f>
        <v>13848143</v>
      </c>
      <c r="G49" s="2">
        <f>'Budget Detail FY 2012-19'!R302</f>
        <v>13570112</v>
      </c>
      <c r="H49" s="2">
        <f>'Budget Detail FY 2012-19'!S302</f>
        <v>14092321</v>
      </c>
      <c r="I49" s="2">
        <f>'Budget Detail FY 2012-19'!T302</f>
        <v>14616560</v>
      </c>
      <c r="J49" s="2">
        <f>'Budget Detail FY 2012-19'!U302</f>
        <v>15224214</v>
      </c>
      <c r="K49" s="2">
        <f>'Budget Detail FY 2012-19'!V302</f>
        <v>15810807</v>
      </c>
      <c r="M49" s="2">
        <f>SUM(C49:K49)</f>
        <v>122395697</v>
      </c>
      <c r="N49" s="2">
        <f>SUM('Fund Cover Sheets'!C31:K31)</f>
        <v>122395697</v>
      </c>
      <c r="O49" s="95">
        <f>M49-N49</f>
        <v>0</v>
      </c>
    </row>
    <row r="50" spans="1:15" ht="15" customHeight="1">
      <c r="A50" s="78"/>
      <c r="C50" s="2"/>
      <c r="D50" s="2"/>
      <c r="E50" s="2"/>
      <c r="F50" s="2"/>
      <c r="G50" s="2"/>
      <c r="H50" s="2"/>
      <c r="I50" s="2"/>
      <c r="J50" s="2"/>
      <c r="K50" s="2"/>
      <c r="M50" s="2"/>
      <c r="N50" s="2"/>
    </row>
    <row r="51" spans="1:15" ht="24" customHeight="1">
      <c r="A51" s="78" t="s">
        <v>984</v>
      </c>
      <c r="C51" s="80"/>
      <c r="D51" s="80"/>
      <c r="E51" s="80"/>
      <c r="F51" s="80"/>
      <c r="G51" s="80"/>
      <c r="H51" s="80"/>
      <c r="I51" s="80"/>
      <c r="J51" s="80"/>
      <c r="K51" s="80"/>
      <c r="M51" s="2"/>
      <c r="N51" s="2"/>
    </row>
    <row r="52" spans="1:15" ht="24" customHeight="1">
      <c r="A52" s="78"/>
      <c r="B52" s="1" t="s">
        <v>899</v>
      </c>
      <c r="C52" s="80">
        <f>'Budget Detail FY 2012-19'!N374</f>
        <v>276141</v>
      </c>
      <c r="D52" s="80">
        <f>'Budget Detail FY 2012-19'!O374</f>
        <v>281196</v>
      </c>
      <c r="E52" s="80">
        <f>'Budget Detail FY 2012-19'!P374</f>
        <v>1429456</v>
      </c>
      <c r="F52" s="80">
        <f>'Budget Detail FY 2012-19'!Q374</f>
        <v>1278456</v>
      </c>
      <c r="G52" s="80">
        <f>'Budget Detail FY 2012-19'!R374</f>
        <v>863499</v>
      </c>
      <c r="H52" s="80">
        <f>'Budget Detail FY 2012-19'!S374</f>
        <v>679465</v>
      </c>
      <c r="I52" s="80">
        <f>'Budget Detail FY 2012-19'!T374</f>
        <v>696449</v>
      </c>
      <c r="J52" s="80">
        <f>'Budget Detail FY 2012-19'!U374</f>
        <v>568521</v>
      </c>
      <c r="K52" s="80">
        <f>'Budget Detail FY 2012-19'!V374</f>
        <v>522598</v>
      </c>
      <c r="M52" s="2">
        <f t="shared" ref="M52:M59" si="9">SUM(C52:K52)</f>
        <v>6595781</v>
      </c>
      <c r="N52" s="2">
        <f>SUM('Fund Cover Sheets'!C164:K164)</f>
        <v>6595781</v>
      </c>
      <c r="O52" s="95">
        <f t="shared" ref="O52:O59" si="10">M52-N52</f>
        <v>0</v>
      </c>
    </row>
    <row r="53" spans="1:15" ht="24" customHeight="1">
      <c r="A53" s="79"/>
      <c r="B53" s="76" t="s">
        <v>985</v>
      </c>
      <c r="C53" s="80">
        <f>'Budget Detail FY 2012-19'!N873</f>
        <v>1151098</v>
      </c>
      <c r="D53" s="80">
        <f>'Budget Detail FY 2012-19'!O873</f>
        <v>1398256</v>
      </c>
      <c r="E53" s="80">
        <f>'Budget Detail FY 2012-19'!P873</f>
        <v>2199048</v>
      </c>
      <c r="F53" s="80">
        <f>'Budget Detail FY 2012-19'!Q873</f>
        <v>2120831</v>
      </c>
      <c r="G53" s="80">
        <f>'Budget Detail FY 2012-19'!R873</f>
        <v>1911447</v>
      </c>
      <c r="H53" s="80">
        <f>'Budget Detail FY 2012-19'!S873</f>
        <v>1838749</v>
      </c>
      <c r="I53" s="80">
        <f>'Budget Detail FY 2012-19'!T873</f>
        <v>1883504</v>
      </c>
      <c r="J53" s="80">
        <f>'Budget Detail FY 2012-19'!U873</f>
        <v>1948958</v>
      </c>
      <c r="K53" s="80">
        <f>'Budget Detail FY 2012-19'!V873</f>
        <v>2018520</v>
      </c>
      <c r="M53" s="2">
        <f t="shared" si="9"/>
        <v>16470411</v>
      </c>
      <c r="N53" s="2">
        <f>SUM('Fund Cover Sheets'!C607:K607)</f>
        <v>16470411</v>
      </c>
      <c r="O53" s="95">
        <f t="shared" si="10"/>
        <v>0</v>
      </c>
    </row>
    <row r="54" spans="1:15" ht="24" customHeight="1">
      <c r="A54" s="79"/>
      <c r="B54" s="76" t="s">
        <v>748</v>
      </c>
      <c r="C54" s="80">
        <f>'Budget Detail FY 2012-19'!N782</f>
        <v>336920</v>
      </c>
      <c r="D54" s="80">
        <f>'Budget Detail FY 2012-19'!O782</f>
        <v>52570</v>
      </c>
      <c r="E54" s="80">
        <f>'Budget Detail FY 2012-19'!P782</f>
        <v>111000</v>
      </c>
      <c r="F54" s="80">
        <f>'Budget Detail FY 2012-19'!Q782</f>
        <v>111000</v>
      </c>
      <c r="G54" s="80">
        <f>'Budget Detail FY 2012-19'!R782</f>
        <v>406850</v>
      </c>
      <c r="H54" s="80">
        <f>'Budget Detail FY 2012-19'!S782</f>
        <v>313000</v>
      </c>
      <c r="I54" s="80">
        <f>'Budget Detail FY 2012-19'!T782</f>
        <v>13000</v>
      </c>
      <c r="J54" s="80">
        <f>'Budget Detail FY 2012-19'!U782</f>
        <v>13000</v>
      </c>
      <c r="K54" s="80">
        <f>'Budget Detail FY 2012-19'!V782</f>
        <v>13000</v>
      </c>
      <c r="M54" s="2">
        <f t="shared" si="9"/>
        <v>1370340</v>
      </c>
      <c r="N54" s="2">
        <f>SUM('Fund Cover Sheets'!C555:K555)</f>
        <v>1370340</v>
      </c>
      <c r="O54" s="95">
        <f t="shared" si="10"/>
        <v>0</v>
      </c>
    </row>
    <row r="55" spans="1:15" ht="24" customHeight="1">
      <c r="A55" s="79"/>
      <c r="B55" s="76" t="s">
        <v>869</v>
      </c>
      <c r="C55" s="3">
        <f>'Budget Detail FY 2012-19'!N1065</f>
        <v>829118</v>
      </c>
      <c r="D55" s="3">
        <f>'Budget Detail FY 2012-19'!O1065</f>
        <v>0</v>
      </c>
      <c r="E55" s="3">
        <f>'Budget Detail FY 2012-19'!P1065</f>
        <v>0</v>
      </c>
      <c r="F55" s="3">
        <f>'Budget Detail FY 2012-19'!Q1065</f>
        <v>0</v>
      </c>
      <c r="G55" s="3">
        <f>'Budget Detail FY 2012-19'!R1065</f>
        <v>0</v>
      </c>
      <c r="H55" s="3">
        <f>'Budget Detail FY 2012-19'!S1065</f>
        <v>0</v>
      </c>
      <c r="I55" s="3">
        <f>'Budget Detail FY 2012-19'!T1065</f>
        <v>0</v>
      </c>
      <c r="J55" s="3">
        <f>'Budget Detail FY 2012-19'!U1065</f>
        <v>0</v>
      </c>
      <c r="K55" s="3">
        <f>'Budget Detail FY 2012-19'!V1065</f>
        <v>0</v>
      </c>
      <c r="M55" s="2">
        <f t="shared" si="9"/>
        <v>829118</v>
      </c>
      <c r="N55" s="2">
        <f>SUM('Fund Cover Sheets'!C857:K857)</f>
        <v>829118</v>
      </c>
      <c r="O55" s="95">
        <f t="shared" si="10"/>
        <v>0</v>
      </c>
    </row>
    <row r="56" spans="1:15" ht="24" customHeight="1">
      <c r="A56" s="79"/>
      <c r="B56" s="76" t="s">
        <v>647</v>
      </c>
      <c r="C56" s="3">
        <f>'Budget Detail FY 2012-19'!N1090</f>
        <v>307585</v>
      </c>
      <c r="D56" s="3">
        <f>'Budget Detail FY 2012-19'!O1090</f>
        <v>307670</v>
      </c>
      <c r="E56" s="3">
        <f>'Budget Detail FY 2012-19'!P1090</f>
        <v>2105113</v>
      </c>
      <c r="F56" s="3">
        <f>'Budget Detail FY 2012-19'!Q1090</f>
        <v>2105113</v>
      </c>
      <c r="G56" s="3">
        <f>'Budget Detail FY 2012-19'!R1090</f>
        <v>91398</v>
      </c>
      <c r="H56" s="3">
        <f>'Budget Detail FY 2012-19'!S1090</f>
        <v>116756</v>
      </c>
      <c r="I56" s="3">
        <f>'Budget Detail FY 2012-19'!T1090</f>
        <v>142113</v>
      </c>
      <c r="J56" s="3">
        <f>'Budget Detail FY 2012-19'!U1090</f>
        <v>142113</v>
      </c>
      <c r="K56" s="3">
        <f>'Budget Detail FY 2012-19'!V1090</f>
        <v>142113</v>
      </c>
      <c r="M56" s="2">
        <f t="shared" si="9"/>
        <v>5459974</v>
      </c>
      <c r="N56" s="2">
        <f>SUM('Fund Cover Sheets'!C902:K902)</f>
        <v>5459974</v>
      </c>
      <c r="O56" s="95">
        <f t="shared" si="10"/>
        <v>0</v>
      </c>
    </row>
    <row r="57" spans="1:15" ht="24" customHeight="1">
      <c r="A57" s="79"/>
      <c r="B57" s="76" t="s">
        <v>653</v>
      </c>
      <c r="C57" s="3">
        <f>'Budget Detail FY 2012-19'!N1113</f>
        <v>19741</v>
      </c>
      <c r="D57" s="3">
        <f>'Budget Detail FY 2012-19'!O1113</f>
        <v>86425</v>
      </c>
      <c r="E57" s="3">
        <f>'Budget Detail FY 2012-19'!P1113</f>
        <v>45350</v>
      </c>
      <c r="F57" s="3">
        <f>'Budget Detail FY 2012-19'!Q1113</f>
        <v>51850</v>
      </c>
      <c r="G57" s="3">
        <f>'Budget Detail FY 2012-19'!R1113</f>
        <v>52788</v>
      </c>
      <c r="H57" s="3">
        <f>'Budget Detail FY 2012-19'!S1113</f>
        <v>363543</v>
      </c>
      <c r="I57" s="3">
        <f>'Budget Detail FY 2012-19'!T1113</f>
        <v>52798</v>
      </c>
      <c r="J57" s="3">
        <f>'Budget Detail FY 2012-19'!U1113</f>
        <v>52808</v>
      </c>
      <c r="K57" s="3">
        <f>'Budget Detail FY 2012-19'!V1113</f>
        <v>52808</v>
      </c>
      <c r="M57" s="2">
        <f t="shared" si="9"/>
        <v>778111</v>
      </c>
      <c r="N57" s="2">
        <f>SUM('Fund Cover Sheets'!C947:K947)</f>
        <v>778111</v>
      </c>
      <c r="O57" s="95">
        <f t="shared" si="10"/>
        <v>0</v>
      </c>
    </row>
    <row r="58" spans="1:15" ht="24" customHeight="1">
      <c r="A58" s="79"/>
      <c r="B58" s="76" t="s">
        <v>986</v>
      </c>
      <c r="C58" s="80">
        <f>'Budget Detail FY 2012-19'!N320</f>
        <v>4664</v>
      </c>
      <c r="D58" s="80">
        <f>'Budget Detail FY 2012-19'!O320</f>
        <v>5743</v>
      </c>
      <c r="E58" s="80">
        <f>'Budget Detail FY 2012-19'!P320</f>
        <v>7500</v>
      </c>
      <c r="F58" s="80">
        <f>'Budget Detail FY 2012-19'!Q320</f>
        <v>7690</v>
      </c>
      <c r="G58" s="80">
        <f>'Budget Detail FY 2012-19'!R320</f>
        <v>19603</v>
      </c>
      <c r="H58" s="80">
        <f>'Budget Detail FY 2012-19'!S320</f>
        <v>19603</v>
      </c>
      <c r="I58" s="80">
        <f>'Budget Detail FY 2012-19'!T320</f>
        <v>4603</v>
      </c>
      <c r="J58" s="80">
        <f>'Budget Detail FY 2012-19'!U320</f>
        <v>4603</v>
      </c>
      <c r="K58" s="80">
        <f>'Budget Detail FY 2012-19'!V320</f>
        <v>4603</v>
      </c>
      <c r="M58" s="2">
        <f t="shared" si="9"/>
        <v>78612</v>
      </c>
      <c r="N58" s="2">
        <f>SUM('Fund Cover Sheets'!C74:K74)</f>
        <v>78612</v>
      </c>
      <c r="O58" s="95">
        <f t="shared" si="10"/>
        <v>0</v>
      </c>
    </row>
    <row r="59" spans="1:15" ht="24" customHeight="1">
      <c r="A59" s="79"/>
      <c r="B59" s="76" t="s">
        <v>987</v>
      </c>
      <c r="C59" s="80">
        <f>'Budget Detail FY 2012-19'!N337</f>
        <v>7272</v>
      </c>
      <c r="D59" s="80">
        <f>'Budget Detail FY 2012-19'!O337</f>
        <v>11992</v>
      </c>
      <c r="E59" s="80">
        <f>'Budget Detail FY 2012-19'!P337</f>
        <v>14985</v>
      </c>
      <c r="F59" s="80">
        <f>'Budget Detail FY 2012-19'!Q337</f>
        <v>14985</v>
      </c>
      <c r="G59" s="80">
        <f>'Budget Detail FY 2012-19'!R337</f>
        <v>35985</v>
      </c>
      <c r="H59" s="80">
        <f>'Budget Detail FY 2012-19'!S337</f>
        <v>35985</v>
      </c>
      <c r="I59" s="80">
        <f>'Budget Detail FY 2012-19'!T337</f>
        <v>10985</v>
      </c>
      <c r="J59" s="80">
        <f>'Budget Detail FY 2012-19'!U337</f>
        <v>10985</v>
      </c>
      <c r="K59" s="80">
        <f>'Budget Detail FY 2012-19'!V337</f>
        <v>10985</v>
      </c>
      <c r="M59" s="2">
        <f t="shared" si="9"/>
        <v>154159</v>
      </c>
      <c r="N59" s="2">
        <f>SUM('Fund Cover Sheets'!C118:K118)</f>
        <v>154159</v>
      </c>
      <c r="O59" s="95">
        <f t="shared" si="10"/>
        <v>0</v>
      </c>
    </row>
    <row r="60" spans="1:15">
      <c r="A60" s="79"/>
      <c r="B60" s="76"/>
      <c r="C60" s="80"/>
      <c r="D60" s="80"/>
      <c r="E60" s="80"/>
      <c r="F60" s="80"/>
      <c r="G60" s="80"/>
      <c r="H60" s="80"/>
      <c r="I60" s="80"/>
      <c r="J60" s="80"/>
      <c r="K60" s="80"/>
      <c r="M60" s="2"/>
      <c r="N60" s="2"/>
    </row>
    <row r="61" spans="1:15" ht="24" customHeight="1">
      <c r="A61" s="78" t="s">
        <v>988</v>
      </c>
      <c r="B61" s="71"/>
      <c r="C61" s="3">
        <f>'Budget Detail FY 2012-19'!N562</f>
        <v>428668</v>
      </c>
      <c r="D61" s="3">
        <f>'Budget Detail FY 2012-19'!O562</f>
        <v>504996</v>
      </c>
      <c r="E61" s="3">
        <f>'Budget Detail FY 2012-19'!P562</f>
        <v>328554</v>
      </c>
      <c r="F61" s="3">
        <f>'Budget Detail FY 2012-19'!Q562</f>
        <v>328554</v>
      </c>
      <c r="G61" s="3">
        <f>'Budget Detail FY 2012-19'!R562</f>
        <v>330354</v>
      </c>
      <c r="H61" s="3">
        <f>'Budget Detail FY 2012-19'!S562</f>
        <v>331354</v>
      </c>
      <c r="I61" s="3">
        <f>'Budget Detail FY 2012-19'!T562</f>
        <v>336954</v>
      </c>
      <c r="J61" s="3">
        <f>'Budget Detail FY 2012-19'!U562</f>
        <v>336954</v>
      </c>
      <c r="K61" s="3">
        <f>'Budget Detail FY 2012-19'!V562</f>
        <v>341294</v>
      </c>
      <c r="M61" s="2">
        <f>SUM(C61:K61)</f>
        <v>3267682</v>
      </c>
      <c r="N61" s="2">
        <f>SUM('Fund Cover Sheets'!C397:K397)</f>
        <v>3267682</v>
      </c>
      <c r="O61" s="95">
        <f>M61-N61</f>
        <v>0</v>
      </c>
    </row>
    <row r="62" spans="1:15">
      <c r="A62" s="78"/>
      <c r="B62" s="71"/>
      <c r="C62" s="3"/>
      <c r="D62" s="3"/>
      <c r="E62" s="3"/>
      <c r="F62" s="3"/>
      <c r="G62" s="3"/>
      <c r="H62" s="3"/>
      <c r="I62" s="3"/>
      <c r="J62" s="3"/>
      <c r="K62" s="3"/>
      <c r="M62" s="2"/>
      <c r="N62" s="2"/>
    </row>
    <row r="63" spans="1:15" ht="24" customHeight="1">
      <c r="A63" s="78" t="s">
        <v>989</v>
      </c>
      <c r="B63" s="71"/>
      <c r="C63" s="3"/>
      <c r="D63" s="3"/>
      <c r="E63" s="3"/>
      <c r="F63" s="3"/>
      <c r="G63" s="3"/>
      <c r="H63" s="3"/>
      <c r="I63" s="3"/>
      <c r="J63" s="3"/>
      <c r="K63" s="3"/>
      <c r="M63" s="2"/>
      <c r="N63" s="2"/>
    </row>
    <row r="64" spans="1:15" ht="24" customHeight="1">
      <c r="A64" s="78"/>
      <c r="B64" s="76" t="s">
        <v>990</v>
      </c>
      <c r="C64" s="3">
        <f>'Budget Detail FY 2012-19'!N390</f>
        <v>750</v>
      </c>
      <c r="D64" s="3">
        <f>'Budget Detail FY 2012-19'!O390</f>
        <v>5100</v>
      </c>
      <c r="E64" s="3">
        <f>'Budget Detail FY 2012-19'!P390</f>
        <v>0</v>
      </c>
      <c r="F64" s="3">
        <f>'Budget Detail FY 2012-19'!Q390</f>
        <v>0</v>
      </c>
      <c r="G64" s="3">
        <f>'Budget Detail FY 2012-19'!R390</f>
        <v>0</v>
      </c>
      <c r="H64" s="3">
        <f>'Budget Detail FY 2012-19'!S390</f>
        <v>0</v>
      </c>
      <c r="I64" s="3">
        <f>'Budget Detail FY 2012-19'!T390</f>
        <v>0</v>
      </c>
      <c r="J64" s="3">
        <f>'Budget Detail FY 2012-19'!U390</f>
        <v>0</v>
      </c>
      <c r="K64" s="3">
        <f>'Budget Detail FY 2012-19'!V390</f>
        <v>0</v>
      </c>
      <c r="M64" s="2">
        <f t="shared" ref="M64:M66" si="11">SUM(C64:K64)</f>
        <v>5850</v>
      </c>
      <c r="N64" s="2">
        <f>SUM('Fund Cover Sheets'!C207:K207)</f>
        <v>5850</v>
      </c>
      <c r="O64" s="95">
        <f t="shared" ref="O64:O66" si="12">M64-N64</f>
        <v>0</v>
      </c>
    </row>
    <row r="65" spans="1:15" ht="24" customHeight="1">
      <c r="A65" s="79"/>
      <c r="B65" s="76" t="s">
        <v>1155</v>
      </c>
      <c r="C65" s="3">
        <f>'Budget Detail FY 2012-19'!N524</f>
        <v>98518</v>
      </c>
      <c r="D65" s="3">
        <f>'Budget Detail FY 2012-19'!O524</f>
        <v>291163</v>
      </c>
      <c r="E65" s="3">
        <f>'Budget Detail FY 2012-19'!P524</f>
        <v>347462</v>
      </c>
      <c r="F65" s="3">
        <f>'Budget Detail FY 2012-19'!Q524</f>
        <v>337293</v>
      </c>
      <c r="G65" s="3">
        <f>'Budget Detail FY 2012-19'!R524</f>
        <v>559202</v>
      </c>
      <c r="H65" s="3">
        <f>'Budget Detail FY 2012-19'!S524</f>
        <v>274201</v>
      </c>
      <c r="I65" s="3">
        <f>'Budget Detail FY 2012-19'!T524</f>
        <v>174201</v>
      </c>
      <c r="J65" s="3">
        <f>'Budget Detail FY 2012-19'!U524</f>
        <v>174201</v>
      </c>
      <c r="K65" s="3">
        <f>'Budget Detail FY 2012-19'!V524</f>
        <v>174201</v>
      </c>
      <c r="M65" s="2">
        <f t="shared" si="11"/>
        <v>2430442</v>
      </c>
      <c r="N65" s="2">
        <f>SUM('Fund Cover Sheets'!C340:K340)</f>
        <v>2430442</v>
      </c>
      <c r="O65" s="95">
        <f t="shared" si="12"/>
        <v>0</v>
      </c>
    </row>
    <row r="66" spans="1:15" ht="24" customHeight="1">
      <c r="A66" s="79"/>
      <c r="B66" s="76" t="s">
        <v>992</v>
      </c>
      <c r="C66" s="80">
        <f>'Budget Detail FY 2012-19'!N451</f>
        <v>146573</v>
      </c>
      <c r="D66" s="80">
        <f>'Budget Detail FY 2012-19'!O451</f>
        <v>386213</v>
      </c>
      <c r="E66" s="80">
        <f>'Budget Detail FY 2012-19'!P451</f>
        <v>1462556</v>
      </c>
      <c r="F66" s="80">
        <f>'Budget Detail FY 2012-19'!Q451</f>
        <v>1736516</v>
      </c>
      <c r="G66" s="80">
        <f>'Budget Detail FY 2012-19'!R451</f>
        <v>2548272</v>
      </c>
      <c r="H66" s="80">
        <f>'Budget Detail FY 2012-19'!S451</f>
        <v>4831504</v>
      </c>
      <c r="I66" s="80">
        <f>'Budget Detail FY 2012-19'!T451</f>
        <v>1756003</v>
      </c>
      <c r="J66" s="80">
        <f>'Budget Detail FY 2012-19'!U451</f>
        <v>892955</v>
      </c>
      <c r="K66" s="80">
        <f>'Budget Detail FY 2012-19'!V451</f>
        <v>848015</v>
      </c>
      <c r="M66" s="2">
        <f t="shared" si="11"/>
        <v>14608607</v>
      </c>
      <c r="N66" s="2">
        <f>SUM('Fund Cover Sheets'!C258:K258)</f>
        <v>14608607</v>
      </c>
      <c r="O66" s="95">
        <f t="shared" si="12"/>
        <v>0</v>
      </c>
    </row>
    <row r="67" spans="1:15">
      <c r="A67" s="79"/>
      <c r="B67" s="76"/>
      <c r="C67" s="80"/>
      <c r="D67" s="80"/>
      <c r="E67" s="80"/>
      <c r="F67" s="80"/>
      <c r="G67" s="80"/>
      <c r="H67" s="80"/>
      <c r="I67" s="80"/>
      <c r="J67" s="80"/>
      <c r="K67" s="80"/>
      <c r="M67" s="2"/>
      <c r="N67" s="2"/>
    </row>
    <row r="68" spans="1:15" ht="24" customHeight="1">
      <c r="A68" s="78" t="s">
        <v>993</v>
      </c>
      <c r="B68" s="76"/>
      <c r="C68" s="80"/>
      <c r="D68" s="80"/>
      <c r="E68" s="80"/>
      <c r="F68" s="80"/>
      <c r="G68" s="80"/>
      <c r="H68" s="80"/>
      <c r="I68" s="80"/>
      <c r="J68" s="80"/>
      <c r="K68" s="80"/>
      <c r="M68" s="2"/>
      <c r="N68" s="2"/>
    </row>
    <row r="69" spans="1:15" ht="24" customHeight="1">
      <c r="B69" s="76" t="s">
        <v>746</v>
      </c>
      <c r="C69" s="80">
        <f>'Budget Detail FY 2012-19'!N655</f>
        <v>2379621</v>
      </c>
      <c r="D69" s="80">
        <f>'Budget Detail FY 2012-19'!O655</f>
        <v>2878499</v>
      </c>
      <c r="E69" s="80">
        <f>'Budget Detail FY 2012-19'!P655</f>
        <v>2859595</v>
      </c>
      <c r="F69" s="80">
        <f>'Budget Detail FY 2012-19'!Q655</f>
        <v>2799270</v>
      </c>
      <c r="G69" s="80">
        <f>'Budget Detail FY 2012-19'!R655</f>
        <v>3093781</v>
      </c>
      <c r="H69" s="80">
        <f>'Budget Detail FY 2012-19'!S655</f>
        <v>3254632</v>
      </c>
      <c r="I69" s="80">
        <f>'Budget Detail FY 2012-19'!T655</f>
        <v>3507043</v>
      </c>
      <c r="J69" s="80">
        <f>'Budget Detail FY 2012-19'!U655</f>
        <v>3346045</v>
      </c>
      <c r="K69" s="80">
        <f>'Budget Detail FY 2012-19'!V655</f>
        <v>3202566</v>
      </c>
      <c r="M69" s="2">
        <f t="shared" ref="M69:M71" si="13">SUM(C69:K69)</f>
        <v>27321052</v>
      </c>
      <c r="N69" s="2">
        <f>SUM('Fund Cover Sheets'!C450:K450)</f>
        <v>27321052</v>
      </c>
      <c r="O69" s="95">
        <f t="shared" ref="O69:O71" si="14">M69-N69</f>
        <v>0</v>
      </c>
    </row>
    <row r="70" spans="1:15" ht="24" customHeight="1">
      <c r="B70" s="76" t="s">
        <v>747</v>
      </c>
      <c r="C70" s="80">
        <f>'Budget Detail FY 2012-19'!N747</f>
        <v>2494670</v>
      </c>
      <c r="D70" s="80">
        <f>'Budget Detail FY 2012-19'!O747</f>
        <v>1660200</v>
      </c>
      <c r="E70" s="80">
        <f>'Budget Detail FY 2012-19'!P747</f>
        <v>2570120</v>
      </c>
      <c r="F70" s="80">
        <f>'Budget Detail FY 2012-19'!Q747</f>
        <v>2569620</v>
      </c>
      <c r="G70" s="80">
        <f>'Budget Detail FY 2012-19'!R747</f>
        <v>3217226</v>
      </c>
      <c r="H70" s="80">
        <f>'Budget Detail FY 2012-19'!S747</f>
        <v>2713676</v>
      </c>
      <c r="I70" s="80">
        <f>'Budget Detail FY 2012-19'!T747</f>
        <v>2736202</v>
      </c>
      <c r="J70" s="80">
        <f>'Budget Detail FY 2012-19'!U747</f>
        <v>2768208</v>
      </c>
      <c r="K70" s="80">
        <f>'Budget Detail FY 2012-19'!V747</f>
        <v>2798521</v>
      </c>
      <c r="M70" s="2">
        <f t="shared" si="13"/>
        <v>23528443</v>
      </c>
      <c r="N70" s="2">
        <f>SUM('Fund Cover Sheets'!C505:K505)</f>
        <v>23528443</v>
      </c>
      <c r="O70" s="95">
        <f t="shared" si="14"/>
        <v>0</v>
      </c>
    </row>
    <row r="71" spans="1:15" ht="24" customHeight="1">
      <c r="B71" s="76" t="s">
        <v>673</v>
      </c>
      <c r="C71" s="80">
        <f>'Budget Detail FY 2012-19'!N926</f>
        <v>659476</v>
      </c>
      <c r="D71" s="80">
        <f>'Budget Detail FY 2012-19'!O926</f>
        <v>591504</v>
      </c>
      <c r="E71" s="80">
        <f>'Budget Detail FY 2012-19'!P926</f>
        <v>150489</v>
      </c>
      <c r="F71" s="80">
        <f>'Budget Detail FY 2012-19'!Q926</f>
        <v>232883</v>
      </c>
      <c r="G71" s="80">
        <f>'Budget Detail FY 2012-19'!R926</f>
        <v>0</v>
      </c>
      <c r="H71" s="80">
        <f>'Budget Detail FY 2012-19'!S926</f>
        <v>0</v>
      </c>
      <c r="I71" s="80">
        <f>'Budget Detail FY 2012-19'!T926</f>
        <v>0</v>
      </c>
      <c r="J71" s="80">
        <f>'Budget Detail FY 2012-19'!U926</f>
        <v>0</v>
      </c>
      <c r="K71" s="80">
        <f>'Budget Detail FY 2012-19'!V926</f>
        <v>0</v>
      </c>
      <c r="M71" s="2">
        <f t="shared" si="13"/>
        <v>1634352</v>
      </c>
      <c r="N71" s="2">
        <f>SUM('Fund Cover Sheets'!C657:K657)</f>
        <v>1634352</v>
      </c>
      <c r="O71" s="95">
        <f t="shared" si="14"/>
        <v>0</v>
      </c>
    </row>
    <row r="72" spans="1:15">
      <c r="B72" s="76"/>
      <c r="C72" s="80"/>
      <c r="D72" s="80"/>
      <c r="E72" s="80"/>
      <c r="F72" s="80"/>
      <c r="G72" s="80"/>
      <c r="H72" s="80"/>
      <c r="I72" s="80"/>
      <c r="J72" s="80"/>
      <c r="K72" s="80"/>
      <c r="M72" s="2"/>
      <c r="N72" s="2"/>
    </row>
    <row r="73" spans="1:15" ht="24" customHeight="1">
      <c r="A73" s="78" t="s">
        <v>997</v>
      </c>
      <c r="B73" s="76"/>
      <c r="C73" s="80"/>
      <c r="D73" s="80"/>
      <c r="E73" s="80"/>
      <c r="F73" s="80"/>
      <c r="G73" s="80"/>
      <c r="H73" s="80"/>
      <c r="I73" s="80"/>
      <c r="J73" s="80"/>
      <c r="K73" s="80"/>
      <c r="M73" s="2"/>
      <c r="N73" s="2"/>
    </row>
    <row r="74" spans="1:15" ht="24" customHeight="1">
      <c r="A74" s="78"/>
      <c r="B74" s="76" t="s">
        <v>734</v>
      </c>
      <c r="C74" s="80">
        <f>'Budget Detail FY 2012-19'!N996</f>
        <v>1024044</v>
      </c>
      <c r="D74" s="80">
        <f>'Budget Detail FY 2012-19'!O996</f>
        <v>732279</v>
      </c>
      <c r="E74" s="80">
        <f>'Budget Detail FY 2012-19'!P996</f>
        <v>771363</v>
      </c>
      <c r="F74" s="80">
        <f>'Budget Detail FY 2012-19'!Q996</f>
        <v>790589</v>
      </c>
      <c r="G74" s="80">
        <f>'Budget Detail FY 2012-19'!R996</f>
        <v>783453</v>
      </c>
      <c r="H74" s="80">
        <f>'Budget Detail FY 2012-19'!S996</f>
        <v>796768</v>
      </c>
      <c r="I74" s="80">
        <f>'Budget Detail FY 2012-19'!T996</f>
        <v>810646</v>
      </c>
      <c r="J74" s="80">
        <f>'Budget Detail FY 2012-19'!U996</f>
        <v>825513</v>
      </c>
      <c r="K74" s="80">
        <f>'Budget Detail FY 2012-19'!V996</f>
        <v>839353</v>
      </c>
      <c r="M74" s="2">
        <f t="shared" ref="M74:M76" si="15">SUM(C74:K74)</f>
        <v>7374008</v>
      </c>
      <c r="N74" s="2">
        <f>SUM('Fund Cover Sheets'!C714:K714)</f>
        <v>7374008</v>
      </c>
      <c r="O74" s="95">
        <f t="shared" ref="O74:O78" si="16">M74-N74</f>
        <v>0</v>
      </c>
    </row>
    <row r="75" spans="1:15" ht="24" customHeight="1">
      <c r="A75" s="78"/>
      <c r="B75" s="76" t="s">
        <v>639</v>
      </c>
      <c r="C75" s="80">
        <f>'Budget Detail FY 2012-19'!N1021</f>
        <v>720800</v>
      </c>
      <c r="D75" s="80">
        <f>'Budget Detail FY 2012-19'!O1021</f>
        <v>795488</v>
      </c>
      <c r="E75" s="80">
        <f>'Budget Detail FY 2012-19'!P1021</f>
        <v>769638</v>
      </c>
      <c r="F75" s="80">
        <f>'Budget Detail FY 2012-19'!Q1021</f>
        <v>767720</v>
      </c>
      <c r="G75" s="80">
        <f>'Budget Detail FY 2012-19'!R1021</f>
        <v>731321</v>
      </c>
      <c r="H75" s="80">
        <f>'Budget Detail FY 2012-19'!S1021</f>
        <v>749846</v>
      </c>
      <c r="I75" s="80">
        <f>'Budget Detail FY 2012-19'!T1021</f>
        <v>752771</v>
      </c>
      <c r="J75" s="80">
        <f>'Budget Detail FY 2012-19'!U1021</f>
        <v>760396</v>
      </c>
      <c r="K75" s="80">
        <f>'Budget Detail FY 2012-19'!V1021</f>
        <v>792101</v>
      </c>
      <c r="M75" s="2">
        <f t="shared" si="15"/>
        <v>6840081</v>
      </c>
      <c r="N75" s="2">
        <f>SUM('Fund Cover Sheets'!C761:K761)</f>
        <v>6840081</v>
      </c>
      <c r="O75" s="95">
        <f t="shared" si="16"/>
        <v>0</v>
      </c>
    </row>
    <row r="76" spans="1:15" ht="24" customHeight="1">
      <c r="A76" s="78"/>
      <c r="B76" s="76" t="s">
        <v>995</v>
      </c>
      <c r="C76" s="80">
        <f>'Budget Detail FY 2012-19'!N1044</f>
        <v>343465</v>
      </c>
      <c r="D76" s="80">
        <f>'Budget Detail FY 2012-19'!O1044</f>
        <v>26312</v>
      </c>
      <c r="E76" s="80">
        <f>'Budget Detail FY 2012-19'!P1044</f>
        <v>38850</v>
      </c>
      <c r="F76" s="80">
        <f>'Budget Detail FY 2012-19'!Q1044</f>
        <v>35709</v>
      </c>
      <c r="G76" s="80">
        <f>'Budget Detail FY 2012-19'!R1044</f>
        <v>55015</v>
      </c>
      <c r="H76" s="80">
        <f>'Budget Detail FY 2012-19'!S1044</f>
        <v>20020</v>
      </c>
      <c r="I76" s="80">
        <f>'Budget Detail FY 2012-19'!T1044</f>
        <v>20020</v>
      </c>
      <c r="J76" s="80">
        <f>'Budget Detail FY 2012-19'!U1044</f>
        <v>20020</v>
      </c>
      <c r="K76" s="80">
        <f>'Budget Detail FY 2012-19'!V1044</f>
        <v>20020</v>
      </c>
      <c r="M76" s="2">
        <f t="shared" si="15"/>
        <v>579431</v>
      </c>
      <c r="N76" s="2">
        <f>SUM('Fund Cover Sheets'!C810:K810)</f>
        <v>579431</v>
      </c>
      <c r="O76" s="95">
        <f t="shared" si="16"/>
        <v>0</v>
      </c>
    </row>
    <row r="77" spans="1:15">
      <c r="C77" s="2"/>
      <c r="D77" s="2"/>
      <c r="E77" s="2"/>
      <c r="F77" s="2"/>
      <c r="G77" s="2"/>
      <c r="H77" s="2"/>
      <c r="I77" s="2"/>
      <c r="J77" s="2"/>
      <c r="K77" s="2"/>
      <c r="M77" s="2"/>
      <c r="N77" s="2"/>
    </row>
    <row r="78" spans="1:15" ht="24" customHeight="1" thickBot="1">
      <c r="A78" s="8"/>
      <c r="B78" s="82" t="s">
        <v>1054</v>
      </c>
      <c r="C78" s="83">
        <f>SUM(C49:C77)</f>
        <v>22198454</v>
      </c>
      <c r="D78" s="83">
        <f t="shared" ref="D78:K78" si="17">SUM(D49:D77)</f>
        <v>20377223</v>
      </c>
      <c r="E78" s="83">
        <f t="shared" si="17"/>
        <v>29113672</v>
      </c>
      <c r="F78" s="83">
        <f t="shared" si="17"/>
        <v>29136222</v>
      </c>
      <c r="G78" s="83">
        <f t="shared" si="17"/>
        <v>28270306</v>
      </c>
      <c r="H78" s="83">
        <f t="shared" si="17"/>
        <v>30431423</v>
      </c>
      <c r="I78" s="83">
        <f t="shared" si="17"/>
        <v>27513852</v>
      </c>
      <c r="J78" s="83">
        <f t="shared" si="17"/>
        <v>27089494</v>
      </c>
      <c r="K78" s="83">
        <f t="shared" si="17"/>
        <v>27591505</v>
      </c>
      <c r="M78" s="2">
        <f>SUM(M49:M76)</f>
        <v>241722151</v>
      </c>
      <c r="N78" s="2">
        <f>SUM(N49:N76)</f>
        <v>241722151</v>
      </c>
      <c r="O78" s="95">
        <f t="shared" si="16"/>
        <v>0</v>
      </c>
    </row>
    <row r="79" spans="1:15" ht="15.75" thickTop="1">
      <c r="M79" s="2"/>
      <c r="N79" s="2"/>
    </row>
    <row r="80" spans="1:15">
      <c r="M80" s="2"/>
      <c r="N80" s="2"/>
    </row>
    <row r="81" spans="13:14">
      <c r="M81" s="2"/>
      <c r="N81" s="2"/>
    </row>
    <row r="82" spans="13:14">
      <c r="M82" s="2"/>
      <c r="N82" s="2"/>
    </row>
    <row r="83" spans="13:14">
      <c r="M83" s="2"/>
      <c r="N83" s="2"/>
    </row>
    <row r="84" spans="13:14">
      <c r="M84" s="2"/>
      <c r="N84" s="2"/>
    </row>
    <row r="85" spans="13:14">
      <c r="M85" s="2"/>
      <c r="N85" s="2"/>
    </row>
    <row r="86" spans="13:14">
      <c r="M86" s="2"/>
      <c r="N86" s="2"/>
    </row>
    <row r="87" spans="13:14">
      <c r="M87" s="2"/>
      <c r="N87" s="2"/>
    </row>
    <row r="88" spans="13:14">
      <c r="M88" s="2"/>
      <c r="N88" s="2"/>
    </row>
    <row r="89" spans="13:14">
      <c r="M89" s="2"/>
      <c r="N89" s="2"/>
    </row>
    <row r="90" spans="13:14">
      <c r="M90" s="2"/>
      <c r="N90" s="2"/>
    </row>
    <row r="91" spans="13:14">
      <c r="M91" s="2"/>
      <c r="N91" s="2"/>
    </row>
    <row r="92" spans="13:14">
      <c r="M92" s="2"/>
      <c r="N92" s="2"/>
    </row>
    <row r="93" spans="13:14">
      <c r="M93" s="2"/>
      <c r="N93" s="2"/>
    </row>
    <row r="94" spans="13:14">
      <c r="M94" s="2"/>
      <c r="N94" s="2"/>
    </row>
    <row r="95" spans="13:14">
      <c r="M95" s="2"/>
      <c r="N95" s="2"/>
    </row>
    <row r="96" spans="13:14">
      <c r="M96" s="2"/>
      <c r="N96" s="2"/>
    </row>
    <row r="97" spans="13:14">
      <c r="M97" s="2"/>
      <c r="N97" s="2"/>
    </row>
    <row r="98" spans="13:14">
      <c r="M98" s="2"/>
      <c r="N98" s="2"/>
    </row>
    <row r="99" spans="13:14">
      <c r="M99" s="2"/>
      <c r="N99" s="2"/>
    </row>
    <row r="100" spans="13:14">
      <c r="M100" s="2"/>
      <c r="N100" s="2"/>
    </row>
    <row r="101" spans="13:14">
      <c r="M101" s="2"/>
      <c r="N101" s="2"/>
    </row>
    <row r="102" spans="13:14">
      <c r="M102" s="2"/>
      <c r="N102" s="2"/>
    </row>
    <row r="103" spans="13:14">
      <c r="M103" s="2"/>
      <c r="N103" s="2"/>
    </row>
    <row r="104" spans="13:14">
      <c r="M104" s="2"/>
      <c r="N104" s="2"/>
    </row>
    <row r="105" spans="13:14">
      <c r="M105" s="2"/>
      <c r="N105" s="2"/>
    </row>
    <row r="106" spans="13:14">
      <c r="M106" s="2"/>
      <c r="N106" s="2"/>
    </row>
    <row r="107" spans="13:14">
      <c r="M107" s="2"/>
      <c r="N107" s="2"/>
    </row>
  </sheetData>
  <mergeCells count="6">
    <mergeCell ref="B41:K41"/>
    <mergeCell ref="B42:K42"/>
    <mergeCell ref="B43:K43"/>
    <mergeCell ref="B1:K1"/>
    <mergeCell ref="B2:K2"/>
    <mergeCell ref="B3:K3"/>
  </mergeCells>
  <printOptions horizontalCentered="1"/>
  <pageMargins left="0" right="0" top="0.5" bottom="0" header="0" footer="0"/>
  <pageSetup scale="70" orientation="landscape" r:id="rId1"/>
  <rowBreaks count="1" manualBreakCount="1">
    <brk id="40" max="10" man="1"/>
  </rowBreaks>
</worksheet>
</file>

<file path=xl/worksheets/sheet2.xml><?xml version="1.0" encoding="utf-8"?>
<worksheet xmlns="http://schemas.openxmlformats.org/spreadsheetml/2006/main" xmlns:r="http://schemas.openxmlformats.org/officeDocument/2006/relationships">
  <dimension ref="A1:U112"/>
  <sheetViews>
    <sheetView view="pageBreakPreview" zoomScale="60" zoomScaleNormal="100" workbookViewId="0">
      <selection activeCell="G30" sqref="G30"/>
    </sheetView>
  </sheetViews>
  <sheetFormatPr defaultColWidth="10.42578125" defaultRowHeight="15"/>
  <cols>
    <col min="1" max="1" width="3.7109375" style="1" customWidth="1"/>
    <col min="2" max="2" width="25.85546875" style="1" customWidth="1"/>
    <col min="3" max="5" width="15.5703125" style="1" bestFit="1" customWidth="1"/>
    <col min="6" max="6" width="14.7109375" style="1" bestFit="1" customWidth="1"/>
    <col min="7" max="8" width="15.5703125" style="1" bestFit="1" customWidth="1"/>
    <col min="9" max="9" width="15.140625" style="1" bestFit="1" customWidth="1"/>
    <col min="10" max="10" width="17" style="1" bestFit="1" customWidth="1"/>
    <col min="11" max="11" width="12.7109375" style="1" customWidth="1"/>
    <col min="12" max="12" width="15.140625" style="1" bestFit="1" customWidth="1"/>
    <col min="13" max="13" width="17" style="1" bestFit="1" customWidth="1"/>
    <col min="14" max="14" width="6.28515625" style="72" customWidth="1"/>
    <col min="15" max="15" width="19.28515625" style="86" customWidth="1"/>
    <col min="16" max="16" width="12.7109375" style="1" customWidth="1"/>
    <col min="17" max="18" width="10.42578125" style="1"/>
    <col min="19" max="19" width="14" style="1" bestFit="1" customWidth="1"/>
    <col min="20" max="16384" width="10.42578125" style="1"/>
  </cols>
  <sheetData>
    <row r="1" spans="1:16" ht="24" customHeight="1">
      <c r="A1" s="712" t="s">
        <v>980</v>
      </c>
      <c r="B1" s="712"/>
      <c r="C1" s="712"/>
      <c r="D1" s="712"/>
      <c r="E1" s="712"/>
      <c r="F1" s="712"/>
      <c r="G1" s="712"/>
      <c r="H1" s="712"/>
      <c r="I1" s="712"/>
      <c r="J1" s="712"/>
      <c r="K1" s="712"/>
      <c r="L1" s="712"/>
      <c r="M1" s="712"/>
      <c r="N1" s="85"/>
    </row>
    <row r="2" spans="1:16" ht="24" customHeight="1">
      <c r="A2" s="713" t="s">
        <v>998</v>
      </c>
      <c r="B2" s="713"/>
      <c r="C2" s="713"/>
      <c r="D2" s="713"/>
      <c r="E2" s="713"/>
      <c r="F2" s="713"/>
      <c r="G2" s="713"/>
      <c r="H2" s="713"/>
      <c r="I2" s="713"/>
      <c r="J2" s="713"/>
      <c r="K2" s="713"/>
      <c r="L2" s="713"/>
      <c r="M2" s="713"/>
      <c r="N2" s="85"/>
    </row>
    <row r="3" spans="1:16" ht="24" customHeight="1">
      <c r="A3" s="712" t="s">
        <v>1340</v>
      </c>
      <c r="B3" s="712"/>
      <c r="C3" s="712"/>
      <c r="D3" s="712"/>
      <c r="E3" s="712"/>
      <c r="F3" s="712"/>
      <c r="G3" s="712"/>
      <c r="H3" s="712"/>
      <c r="I3" s="712"/>
      <c r="J3" s="712"/>
      <c r="K3" s="712"/>
      <c r="L3" s="712"/>
      <c r="M3" s="712"/>
      <c r="N3" s="85"/>
    </row>
    <row r="4" spans="1:16" ht="15" customHeight="1"/>
    <row r="5" spans="1:16" ht="15" customHeight="1">
      <c r="L5" s="73" t="s">
        <v>999</v>
      </c>
      <c r="O5" s="136" t="s">
        <v>1289</v>
      </c>
    </row>
    <row r="6" spans="1:16" ht="15" customHeight="1">
      <c r="D6" s="72" t="s">
        <v>1000</v>
      </c>
      <c r="E6" s="72" t="s">
        <v>1001</v>
      </c>
      <c r="F6" s="73" t="s">
        <v>1002</v>
      </c>
      <c r="G6" s="72" t="s">
        <v>1003</v>
      </c>
      <c r="H6" s="72" t="s">
        <v>1004</v>
      </c>
      <c r="I6" s="72" t="s">
        <v>1005</v>
      </c>
      <c r="J6" s="73" t="s">
        <v>1006</v>
      </c>
      <c r="K6" s="73" t="s">
        <v>1007</v>
      </c>
      <c r="L6" s="73" t="s">
        <v>1008</v>
      </c>
      <c r="M6" s="73" t="s">
        <v>1009</v>
      </c>
      <c r="N6" s="73"/>
      <c r="O6" s="136" t="s">
        <v>1288</v>
      </c>
      <c r="P6" s="137" t="s">
        <v>1285</v>
      </c>
    </row>
    <row r="7" spans="1:16" ht="15" customHeight="1" thickBot="1">
      <c r="A7" s="74"/>
      <c r="B7" s="74" t="s">
        <v>982</v>
      </c>
      <c r="C7" s="87" t="s">
        <v>919</v>
      </c>
      <c r="D7" s="87" t="s">
        <v>1010</v>
      </c>
      <c r="E7" s="75" t="s">
        <v>1011</v>
      </c>
      <c r="F7" s="75" t="s">
        <v>1012</v>
      </c>
      <c r="G7" s="75" t="s">
        <v>1013</v>
      </c>
      <c r="H7" s="75" t="s">
        <v>1014</v>
      </c>
      <c r="I7" s="75" t="s">
        <v>1015</v>
      </c>
      <c r="J7" s="75" t="s">
        <v>1016</v>
      </c>
      <c r="K7" s="75" t="s">
        <v>1017</v>
      </c>
      <c r="L7" s="75" t="s">
        <v>1018</v>
      </c>
      <c r="M7" s="75" t="s">
        <v>1019</v>
      </c>
      <c r="N7" s="77"/>
    </row>
    <row r="8" spans="1:16" ht="15" customHeight="1">
      <c r="A8" s="76"/>
      <c r="B8" s="76"/>
      <c r="C8" s="88"/>
      <c r="D8" s="88"/>
      <c r="E8" s="77"/>
      <c r="F8" s="77"/>
      <c r="G8" s="77"/>
      <c r="H8" s="77"/>
      <c r="I8" s="77"/>
      <c r="J8" s="77"/>
      <c r="K8" s="77"/>
      <c r="L8" s="77"/>
      <c r="M8" s="77"/>
      <c r="N8" s="77"/>
    </row>
    <row r="9" spans="1:16" ht="15" customHeight="1"/>
    <row r="10" spans="1:16" ht="24" customHeight="1">
      <c r="A10" s="78" t="s">
        <v>983</v>
      </c>
      <c r="C10" s="2">
        <f>'Fund Cover Sheets'!G11</f>
        <v>9871724</v>
      </c>
      <c r="D10" s="2">
        <f>'Fund Cover Sheets'!G12</f>
        <v>2177200</v>
      </c>
      <c r="E10" s="2">
        <f>'Fund Cover Sheets'!G13</f>
        <v>193000</v>
      </c>
      <c r="F10" s="2">
        <f>'Fund Cover Sheets'!G14</f>
        <v>175250</v>
      </c>
      <c r="G10" s="2">
        <f>'Fund Cover Sheets'!G15</f>
        <v>1203201</v>
      </c>
      <c r="H10" s="2">
        <f>'Fund Cover Sheets'!G16</f>
        <v>8000</v>
      </c>
      <c r="I10" s="2">
        <f>'Fund Cover Sheets'!G17</f>
        <v>80000</v>
      </c>
      <c r="J10" s="2">
        <f>'Fund Cover Sheets'!G18</f>
        <v>13000</v>
      </c>
      <c r="K10" s="2">
        <v>0</v>
      </c>
      <c r="L10" s="2">
        <f>'Fund Cover Sheets'!G19</f>
        <v>5250</v>
      </c>
      <c r="M10" s="2">
        <f>SUM(C10:L10)</f>
        <v>13726625</v>
      </c>
      <c r="N10" s="89"/>
      <c r="O10" s="2">
        <f>'Fund Cover Sheets'!G20</f>
        <v>13726625</v>
      </c>
      <c r="P10" s="2">
        <f>M10-O10</f>
        <v>0</v>
      </c>
    </row>
    <row r="11" spans="1:16" ht="15" customHeight="1">
      <c r="A11" s="78"/>
      <c r="C11" s="2"/>
      <c r="D11" s="2"/>
      <c r="E11" s="2"/>
      <c r="F11" s="2"/>
      <c r="G11" s="2"/>
      <c r="H11" s="2"/>
      <c r="I11" s="2"/>
      <c r="J11" s="2"/>
      <c r="K11" s="2"/>
      <c r="L11" s="2"/>
      <c r="M11" s="2"/>
      <c r="N11" s="89"/>
      <c r="O11" s="2"/>
      <c r="P11" s="2"/>
    </row>
    <row r="12" spans="1:16" ht="24" customHeight="1">
      <c r="A12" s="78" t="s">
        <v>984</v>
      </c>
      <c r="C12" s="80"/>
      <c r="D12" s="80"/>
      <c r="E12" s="80"/>
      <c r="F12" s="80"/>
      <c r="G12" s="80"/>
      <c r="H12" s="80"/>
      <c r="I12" s="80"/>
      <c r="J12" s="80"/>
      <c r="K12" s="80"/>
      <c r="L12" s="3"/>
      <c r="M12" s="3"/>
      <c r="N12" s="89"/>
      <c r="O12" s="2"/>
      <c r="P12" s="2"/>
    </row>
    <row r="13" spans="1:16" ht="24" customHeight="1">
      <c r="A13" s="78"/>
      <c r="B13" s="1" t="s">
        <v>899</v>
      </c>
      <c r="C13" s="80">
        <v>0</v>
      </c>
      <c r="D13" s="80">
        <f>'Fund Cover Sheets'!G153</f>
        <v>480000</v>
      </c>
      <c r="E13" s="80">
        <v>0</v>
      </c>
      <c r="F13" s="80">
        <v>0</v>
      </c>
      <c r="G13" s="80">
        <v>0</v>
      </c>
      <c r="H13" s="80">
        <f>'Fund Cover Sheets'!G154</f>
        <v>3000</v>
      </c>
      <c r="I13" s="80">
        <f>'Fund Cover Sheets'!G155</f>
        <v>0</v>
      </c>
      <c r="J13" s="80">
        <v>0</v>
      </c>
      <c r="K13" s="80">
        <v>0</v>
      </c>
      <c r="L13" s="3">
        <v>0</v>
      </c>
      <c r="M13" s="2">
        <f>SUM(C13:L13)</f>
        <v>483000</v>
      </c>
      <c r="N13" s="89"/>
      <c r="O13" s="2">
        <f>'Fund Cover Sheets'!G156</f>
        <v>483000</v>
      </c>
      <c r="P13" s="2">
        <f t="shared" ref="P13:P19" si="0">M13-O13</f>
        <v>0</v>
      </c>
    </row>
    <row r="14" spans="1:16" ht="24" customHeight="1">
      <c r="A14" s="79"/>
      <c r="B14" s="76" t="s">
        <v>985</v>
      </c>
      <c r="C14" s="80">
        <v>0</v>
      </c>
      <c r="D14" s="22">
        <v>0</v>
      </c>
      <c r="E14" s="80">
        <v>0</v>
      </c>
      <c r="F14" s="80">
        <v>0</v>
      </c>
      <c r="G14" s="22">
        <f>'Fund Cover Sheets'!G592</f>
        <v>280000</v>
      </c>
      <c r="H14" s="22">
        <f>'Fund Cover Sheets'!G593</f>
        <v>250</v>
      </c>
      <c r="I14" s="22">
        <f>'Fund Cover Sheets'!G594</f>
        <v>0</v>
      </c>
      <c r="J14" s="22">
        <f>'Fund Cover Sheets'!G595</f>
        <v>208000</v>
      </c>
      <c r="K14" s="22">
        <v>0</v>
      </c>
      <c r="L14" s="22">
        <f>'Fund Cover Sheets'!G596</f>
        <v>1277606</v>
      </c>
      <c r="M14" s="2">
        <f t="shared" ref="M14:M19" si="1">SUM(C14:L14)</f>
        <v>1765856</v>
      </c>
      <c r="N14" s="89"/>
      <c r="O14" s="2">
        <f>'Fund Cover Sheets'!G597</f>
        <v>1765856</v>
      </c>
      <c r="P14" s="2">
        <f t="shared" si="0"/>
        <v>0</v>
      </c>
    </row>
    <row r="15" spans="1:16" ht="24" customHeight="1">
      <c r="A15" s="79"/>
      <c r="B15" s="76" t="s">
        <v>748</v>
      </c>
      <c r="C15" s="80">
        <v>0</v>
      </c>
      <c r="D15" s="80">
        <f>'Fund Cover Sheets'!G543</f>
        <v>0</v>
      </c>
      <c r="E15" s="80">
        <v>0</v>
      </c>
      <c r="F15" s="80">
        <v>0</v>
      </c>
      <c r="G15" s="80">
        <v>0</v>
      </c>
      <c r="H15" s="80">
        <v>0</v>
      </c>
      <c r="I15" s="80">
        <v>0</v>
      </c>
      <c r="J15" s="80">
        <v>0</v>
      </c>
      <c r="K15" s="80">
        <f>'Fund Cover Sheets'!G546</f>
        <v>23000</v>
      </c>
      <c r="L15" s="3">
        <f>'Fund Cover Sheets'!G547</f>
        <v>50000</v>
      </c>
      <c r="M15" s="2">
        <f>SUM(C15:L15)</f>
        <v>73000</v>
      </c>
      <c r="N15" s="89"/>
      <c r="O15" s="2">
        <f>'Fund Cover Sheets'!G548</f>
        <v>73000</v>
      </c>
      <c r="P15" s="2">
        <f t="shared" si="0"/>
        <v>0</v>
      </c>
    </row>
    <row r="16" spans="1:16" ht="24" customHeight="1">
      <c r="A16" s="79"/>
      <c r="B16" s="76" t="s">
        <v>647</v>
      </c>
      <c r="C16" s="80">
        <f>'Fund Cover Sheets'!G893</f>
        <v>20000</v>
      </c>
      <c r="D16" s="80">
        <v>0</v>
      </c>
      <c r="E16" s="80">
        <v>0</v>
      </c>
      <c r="F16" s="80">
        <v>0</v>
      </c>
      <c r="G16" s="80">
        <v>0</v>
      </c>
      <c r="H16" s="80">
        <f>'Fund Cover Sheets'!G894</f>
        <v>0</v>
      </c>
      <c r="I16" s="80">
        <v>0</v>
      </c>
      <c r="J16" s="3">
        <v>0</v>
      </c>
      <c r="K16" s="3">
        <v>0</v>
      </c>
      <c r="L16" s="3">
        <v>0</v>
      </c>
      <c r="M16" s="2">
        <f>SUM(C16:L16)</f>
        <v>20000</v>
      </c>
      <c r="N16" s="89"/>
      <c r="O16" s="2">
        <f>'Fund Cover Sheets'!G895</f>
        <v>20000</v>
      </c>
      <c r="P16" s="2">
        <f t="shared" si="0"/>
        <v>0</v>
      </c>
    </row>
    <row r="17" spans="1:16" ht="24" customHeight="1">
      <c r="A17" s="79"/>
      <c r="B17" s="76" t="s">
        <v>653</v>
      </c>
      <c r="C17" s="2">
        <f>'Fund Cover Sheets'!G937</f>
        <v>85000</v>
      </c>
      <c r="D17" s="3">
        <v>0</v>
      </c>
      <c r="E17" s="3">
        <v>0</v>
      </c>
      <c r="F17" s="3">
        <v>0</v>
      </c>
      <c r="G17" s="3">
        <v>0</v>
      </c>
      <c r="H17" s="3">
        <f>'Fund Cover Sheets'!G938</f>
        <v>75</v>
      </c>
      <c r="I17" s="3">
        <v>0</v>
      </c>
      <c r="J17" s="3">
        <v>0</v>
      </c>
      <c r="K17" s="3">
        <v>0</v>
      </c>
      <c r="L17" s="3">
        <v>0</v>
      </c>
      <c r="M17" s="2">
        <f t="shared" si="1"/>
        <v>85075</v>
      </c>
      <c r="N17" s="89"/>
      <c r="O17" s="2">
        <f>'Fund Cover Sheets'!G940</f>
        <v>85075</v>
      </c>
      <c r="P17" s="2">
        <f t="shared" si="0"/>
        <v>0</v>
      </c>
    </row>
    <row r="18" spans="1:16" ht="24" customHeight="1">
      <c r="A18" s="79"/>
      <c r="B18" s="76" t="s">
        <v>986</v>
      </c>
      <c r="C18" s="2">
        <f>'Fund Cover Sheets'!G66</f>
        <v>8536</v>
      </c>
      <c r="D18" s="2">
        <v>0</v>
      </c>
      <c r="E18" s="2">
        <v>0</v>
      </c>
      <c r="F18" s="2">
        <v>0</v>
      </c>
      <c r="G18" s="2">
        <v>0</v>
      </c>
      <c r="H18" s="2">
        <v>0</v>
      </c>
      <c r="I18" s="3">
        <v>0</v>
      </c>
      <c r="J18" s="3">
        <v>0</v>
      </c>
      <c r="K18" s="3">
        <v>0</v>
      </c>
      <c r="L18" s="3">
        <v>0</v>
      </c>
      <c r="M18" s="2">
        <f>SUM(C18:L18)</f>
        <v>8536</v>
      </c>
      <c r="N18" s="90"/>
      <c r="O18" s="2">
        <f>'Fund Cover Sheets'!G68</f>
        <v>8536</v>
      </c>
      <c r="P18" s="2">
        <f t="shared" si="0"/>
        <v>0</v>
      </c>
    </row>
    <row r="19" spans="1:16" ht="24" customHeight="1">
      <c r="A19" s="79"/>
      <c r="B19" s="76" t="s">
        <v>987</v>
      </c>
      <c r="C19" s="3">
        <f>'Fund Cover Sheets'!G110</f>
        <v>17416</v>
      </c>
      <c r="D19" s="3">
        <v>0</v>
      </c>
      <c r="E19" s="3">
        <v>0</v>
      </c>
      <c r="F19" s="3">
        <v>0</v>
      </c>
      <c r="G19" s="3">
        <v>0</v>
      </c>
      <c r="H19" s="3">
        <f>'Fund Cover Sheets'!G111</f>
        <v>0</v>
      </c>
      <c r="I19" s="3">
        <v>0</v>
      </c>
      <c r="J19" s="80">
        <v>0</v>
      </c>
      <c r="K19" s="80">
        <v>0</v>
      </c>
      <c r="L19" s="3">
        <v>0</v>
      </c>
      <c r="M19" s="2">
        <f t="shared" si="1"/>
        <v>17416</v>
      </c>
      <c r="N19" s="90"/>
      <c r="O19" s="2">
        <f>'Fund Cover Sheets'!G112</f>
        <v>17416</v>
      </c>
      <c r="P19" s="2">
        <f t="shared" si="0"/>
        <v>0</v>
      </c>
    </row>
    <row r="20" spans="1:16">
      <c r="A20" s="79"/>
      <c r="B20" s="76"/>
      <c r="C20" s="3"/>
      <c r="D20" s="3"/>
      <c r="E20" s="3"/>
      <c r="F20" s="3"/>
      <c r="G20" s="3"/>
      <c r="H20" s="3"/>
      <c r="I20" s="3"/>
      <c r="J20" s="80"/>
      <c r="K20" s="80"/>
      <c r="L20" s="3"/>
      <c r="M20" s="2"/>
      <c r="N20" s="90"/>
      <c r="O20" s="2"/>
      <c r="P20" s="2"/>
    </row>
    <row r="21" spans="1:16" ht="24" customHeight="1">
      <c r="A21" s="78" t="s">
        <v>988</v>
      </c>
      <c r="B21" s="71"/>
      <c r="C21" s="2">
        <f>'Fund Cover Sheets'!G386</f>
        <v>329579</v>
      </c>
      <c r="D21" s="3">
        <v>0</v>
      </c>
      <c r="E21" s="3">
        <f>'Fund Cover Sheets'!G387</f>
        <v>2500</v>
      </c>
      <c r="F21" s="3">
        <v>0</v>
      </c>
      <c r="G21" s="3">
        <v>0</v>
      </c>
      <c r="H21" s="3">
        <f>'Fund Cover Sheets'!G388</f>
        <v>100</v>
      </c>
      <c r="I21" s="3">
        <v>0</v>
      </c>
      <c r="J21" s="3">
        <v>0</v>
      </c>
      <c r="K21" s="3">
        <v>0</v>
      </c>
      <c r="L21" s="3">
        <f>'Fund Cover Sheets'!G389</f>
        <v>0</v>
      </c>
      <c r="M21" s="2">
        <f>SUM(C21:L21)</f>
        <v>332179</v>
      </c>
      <c r="N21" s="90"/>
      <c r="O21" s="2">
        <f>'Fund Cover Sheets'!G390</f>
        <v>332179</v>
      </c>
      <c r="P21" s="2">
        <f>M21-O21</f>
        <v>0</v>
      </c>
    </row>
    <row r="22" spans="1:16" ht="15" customHeight="1">
      <c r="A22" s="78"/>
      <c r="B22" s="71"/>
      <c r="C22" s="2"/>
      <c r="D22" s="3"/>
      <c r="E22" s="3"/>
      <c r="F22" s="3"/>
      <c r="G22" s="3"/>
      <c r="H22" s="3"/>
      <c r="I22" s="3"/>
      <c r="J22" s="3"/>
      <c r="K22" s="3"/>
      <c r="L22" s="3"/>
      <c r="M22" s="2"/>
      <c r="N22" s="90"/>
      <c r="O22" s="2"/>
      <c r="P22" s="2"/>
    </row>
    <row r="23" spans="1:16" ht="24" customHeight="1">
      <c r="A23" s="78" t="s">
        <v>989</v>
      </c>
      <c r="B23" s="71"/>
      <c r="C23" s="80"/>
      <c r="D23" s="80"/>
      <c r="E23" s="80"/>
      <c r="F23" s="80"/>
      <c r="G23" s="80"/>
      <c r="H23" s="80"/>
      <c r="I23" s="80"/>
      <c r="J23" s="80"/>
      <c r="K23" s="80"/>
      <c r="L23" s="80"/>
      <c r="M23" s="2"/>
      <c r="N23" s="89"/>
      <c r="O23" s="2"/>
      <c r="P23" s="2"/>
    </row>
    <row r="24" spans="1:16" ht="24" customHeight="1">
      <c r="A24" s="78"/>
      <c r="B24" s="76" t="s">
        <v>990</v>
      </c>
      <c r="C24" s="3">
        <v>0</v>
      </c>
      <c r="D24" s="80">
        <v>0</v>
      </c>
      <c r="E24" s="80">
        <f>'Fund Cover Sheets'!G199</f>
        <v>0</v>
      </c>
      <c r="F24" s="80">
        <v>0</v>
      </c>
      <c r="G24" s="80">
        <v>0</v>
      </c>
      <c r="H24" s="80">
        <v>0</v>
      </c>
      <c r="I24" s="80">
        <v>0</v>
      </c>
      <c r="J24" s="3">
        <v>0</v>
      </c>
      <c r="K24" s="3">
        <v>0</v>
      </c>
      <c r="L24" s="3">
        <f>'Fund Cover Sheets'!G200</f>
        <v>0</v>
      </c>
      <c r="M24" s="2">
        <f>SUM(C24:L24)</f>
        <v>0</v>
      </c>
      <c r="N24" s="89"/>
      <c r="O24" s="2">
        <f>'Fund Cover Sheets'!G201</f>
        <v>0</v>
      </c>
      <c r="P24" s="2">
        <f t="shared" ref="P24:P26" si="2">M24-O24</f>
        <v>0</v>
      </c>
    </row>
    <row r="25" spans="1:16" ht="24" customHeight="1">
      <c r="A25" s="79"/>
      <c r="B25" s="76" t="s">
        <v>1155</v>
      </c>
      <c r="C25" s="80">
        <v>0</v>
      </c>
      <c r="D25" s="3">
        <v>0</v>
      </c>
      <c r="E25" s="3">
        <f>'Fund Cover Sheets'!G304</f>
        <v>49275</v>
      </c>
      <c r="F25" s="3">
        <f>'Fund Cover Sheets'!G305</f>
        <v>10750</v>
      </c>
      <c r="G25" s="3">
        <f>'Fund Cover Sheets'!G306</f>
        <v>262078</v>
      </c>
      <c r="H25" s="3">
        <f>'Fund Cover Sheets'!G307</f>
        <v>450</v>
      </c>
      <c r="I25" s="22">
        <f>'Fund Cover Sheets'!G308</f>
        <v>50000</v>
      </c>
      <c r="J25" s="3">
        <f>'Fund Cover Sheets'!G309</f>
        <v>1000</v>
      </c>
      <c r="K25" s="3">
        <v>0</v>
      </c>
      <c r="L25" s="3">
        <f>'Fund Cover Sheets'!G310</f>
        <v>61000</v>
      </c>
      <c r="M25" s="2">
        <f>SUM(C25:L25)</f>
        <v>434553</v>
      </c>
      <c r="N25" s="89"/>
      <c r="O25" s="2">
        <f>'Fund Cover Sheets'!G311</f>
        <v>434553</v>
      </c>
      <c r="P25" s="2">
        <f t="shared" si="2"/>
        <v>0</v>
      </c>
    </row>
    <row r="26" spans="1:16" ht="24" customHeight="1">
      <c r="A26" s="79"/>
      <c r="B26" s="76" t="s">
        <v>992</v>
      </c>
      <c r="C26" s="3">
        <v>0</v>
      </c>
      <c r="D26" s="3">
        <f>'Fund Cover Sheets'!G242</f>
        <v>105960</v>
      </c>
      <c r="E26" s="6">
        <f>'Fund Cover Sheets'!G243</f>
        <v>20250</v>
      </c>
      <c r="F26" s="3">
        <v>0</v>
      </c>
      <c r="G26" s="80">
        <f>'Fund Cover Sheets'!G244</f>
        <v>680000</v>
      </c>
      <c r="H26" s="80">
        <f>'Fund Cover Sheets'!G245</f>
        <v>3000</v>
      </c>
      <c r="I26" s="80">
        <f>'Fund Cover Sheets'!G246</f>
        <v>885630</v>
      </c>
      <c r="J26" s="3">
        <v>0</v>
      </c>
      <c r="K26" s="3">
        <v>0</v>
      </c>
      <c r="L26" s="3">
        <f>'Fund Cover Sheets'!G247</f>
        <v>4855000</v>
      </c>
      <c r="M26" s="2">
        <f>SUM(C26:L26)</f>
        <v>6549840</v>
      </c>
      <c r="N26" s="89"/>
      <c r="O26" s="2">
        <f>'Fund Cover Sheets'!G248</f>
        <v>6549840</v>
      </c>
      <c r="P26" s="2">
        <f t="shared" si="2"/>
        <v>0</v>
      </c>
    </row>
    <row r="27" spans="1:16">
      <c r="A27" s="79"/>
      <c r="B27" s="76"/>
      <c r="C27" s="3"/>
      <c r="D27" s="3"/>
      <c r="E27" s="6"/>
      <c r="F27" s="3"/>
      <c r="G27" s="80"/>
      <c r="H27" s="80"/>
      <c r="I27" s="80"/>
      <c r="J27" s="3"/>
      <c r="K27" s="3"/>
      <c r="L27" s="3"/>
      <c r="M27" s="2"/>
      <c r="N27" s="89"/>
      <c r="O27" s="2"/>
      <c r="P27" s="2"/>
    </row>
    <row r="28" spans="1:16" ht="24" customHeight="1">
      <c r="A28" s="78" t="s">
        <v>993</v>
      </c>
      <c r="B28" s="76"/>
      <c r="C28" s="2"/>
      <c r="D28" s="80"/>
      <c r="E28" s="80"/>
      <c r="F28" s="80"/>
      <c r="G28" s="80"/>
      <c r="H28" s="80"/>
      <c r="I28" s="80"/>
      <c r="J28" s="80"/>
      <c r="K28" s="80"/>
      <c r="L28" s="3"/>
      <c r="M28" s="3"/>
      <c r="N28" s="89"/>
      <c r="O28" s="2"/>
      <c r="P28" s="2"/>
    </row>
    <row r="29" spans="1:16" ht="24" customHeight="1">
      <c r="B29" s="76" t="s">
        <v>746</v>
      </c>
      <c r="C29" s="80">
        <f>'Fund Cover Sheets'!G431</f>
        <v>5235</v>
      </c>
      <c r="D29" s="80">
        <v>0</v>
      </c>
      <c r="E29" s="80">
        <v>0</v>
      </c>
      <c r="F29" s="80">
        <v>0</v>
      </c>
      <c r="G29" s="2">
        <f>'Fund Cover Sheets'!G433</f>
        <v>2693000</v>
      </c>
      <c r="H29" s="2">
        <f>'Fund Cover Sheets'!G434</f>
        <v>2200</v>
      </c>
      <c r="I29" s="2">
        <f>'Fund Cover Sheets'!G435</f>
        <v>0</v>
      </c>
      <c r="J29" s="80">
        <f>'Fund Cover Sheets'!G436</f>
        <v>55203</v>
      </c>
      <c r="K29" s="80">
        <v>0</v>
      </c>
      <c r="L29" s="3">
        <f>'Fund Cover Sheets'!G437</f>
        <v>83588</v>
      </c>
      <c r="M29" s="2">
        <f>SUM(C29:L29)</f>
        <v>2839226</v>
      </c>
      <c r="N29" s="89"/>
      <c r="O29" s="2">
        <f>'Fund Cover Sheets'!G438</f>
        <v>2839226</v>
      </c>
      <c r="P29" s="2">
        <f t="shared" ref="P29:P31" si="3">M29-O29</f>
        <v>0</v>
      </c>
    </row>
    <row r="30" spans="1:16" ht="24" customHeight="1">
      <c r="B30" s="76" t="s">
        <v>747</v>
      </c>
      <c r="C30" s="80">
        <f>'Fund Cover Sheets'!G486</f>
        <v>0</v>
      </c>
      <c r="D30" s="80">
        <v>0</v>
      </c>
      <c r="E30" s="80">
        <v>0</v>
      </c>
      <c r="F30" s="80">
        <v>0</v>
      </c>
      <c r="G30" s="80">
        <f>'Fund Cover Sheets'!G488</f>
        <v>1140500</v>
      </c>
      <c r="H30" s="80">
        <f>'Fund Cover Sheets'!G489</f>
        <v>6000</v>
      </c>
      <c r="I30" s="80">
        <f>'Fund Cover Sheets'!G490</f>
        <v>0</v>
      </c>
      <c r="J30" s="80">
        <v>0</v>
      </c>
      <c r="K30" s="80">
        <v>0</v>
      </c>
      <c r="L30" s="3">
        <f>'Fund Cover Sheets'!G491</f>
        <v>1238972</v>
      </c>
      <c r="M30" s="2">
        <f>SUM(C30:L30)</f>
        <v>2385472</v>
      </c>
      <c r="N30" s="89"/>
      <c r="O30" s="2">
        <f>'Fund Cover Sheets'!G492</f>
        <v>2385472</v>
      </c>
      <c r="P30" s="2">
        <f t="shared" si="3"/>
        <v>0</v>
      </c>
    </row>
    <row r="31" spans="1:16" ht="24" customHeight="1">
      <c r="B31" s="76" t="s">
        <v>673</v>
      </c>
      <c r="C31" s="80">
        <v>0</v>
      </c>
      <c r="D31" s="80">
        <v>0</v>
      </c>
      <c r="E31" s="80">
        <v>0</v>
      </c>
      <c r="F31" s="80">
        <v>0</v>
      </c>
      <c r="G31" s="80">
        <f>'Fund Cover Sheets'!G645</f>
        <v>0</v>
      </c>
      <c r="H31" s="80">
        <v>0</v>
      </c>
      <c r="I31" s="80">
        <v>0</v>
      </c>
      <c r="J31" s="80">
        <f>'Fund Cover Sheets'!G646</f>
        <v>0</v>
      </c>
      <c r="K31" s="80">
        <v>0</v>
      </c>
      <c r="L31" s="3">
        <f>'Fund Cover Sheets'!G647</f>
        <v>0</v>
      </c>
      <c r="M31" s="2">
        <f>SUM(C31:L31)</f>
        <v>0</v>
      </c>
      <c r="N31" s="89"/>
      <c r="O31" s="2">
        <f>'Fund Cover Sheets'!G648</f>
        <v>0</v>
      </c>
      <c r="P31" s="2">
        <f t="shared" si="3"/>
        <v>0</v>
      </c>
    </row>
    <row r="32" spans="1:16" ht="15" customHeight="1">
      <c r="B32" s="76"/>
      <c r="C32" s="80"/>
      <c r="D32" s="80"/>
      <c r="E32" s="80"/>
      <c r="F32" s="80"/>
      <c r="G32" s="80"/>
      <c r="H32" s="80"/>
      <c r="I32" s="80"/>
      <c r="J32" s="80"/>
      <c r="K32" s="80"/>
      <c r="L32" s="3"/>
      <c r="M32" s="2"/>
      <c r="N32" s="89"/>
      <c r="O32" s="2"/>
      <c r="P32" s="2"/>
    </row>
    <row r="33" spans="1:21" ht="24" customHeight="1">
      <c r="A33" s="78" t="s">
        <v>994</v>
      </c>
      <c r="B33" s="76"/>
      <c r="C33" s="80"/>
      <c r="D33" s="80"/>
      <c r="E33" s="80"/>
      <c r="F33" s="80"/>
      <c r="G33" s="80"/>
      <c r="H33" s="80"/>
      <c r="I33" s="80"/>
      <c r="J33" s="80"/>
      <c r="K33" s="80"/>
      <c r="L33" s="80"/>
      <c r="M33" s="2"/>
      <c r="N33" s="89"/>
      <c r="O33" s="2"/>
      <c r="P33" s="2"/>
    </row>
    <row r="34" spans="1:21" ht="24" customHeight="1">
      <c r="A34" s="78"/>
      <c r="B34" s="76" t="s">
        <v>734</v>
      </c>
      <c r="C34" s="80">
        <f>'Fund Cover Sheets'!G695</f>
        <v>646010</v>
      </c>
      <c r="D34" s="80">
        <f>'Fund Cover Sheets'!G696</f>
        <v>22200</v>
      </c>
      <c r="E34" s="80">
        <f>'Fund Cover Sheets'!G697</f>
        <v>0</v>
      </c>
      <c r="F34" s="80">
        <f>'Fund Cover Sheets'!G698</f>
        <v>9300</v>
      </c>
      <c r="G34" s="80">
        <f>'Fund Cover Sheets'!G699</f>
        <v>14000</v>
      </c>
      <c r="H34" s="80">
        <f>'Fund Cover Sheets'!G700</f>
        <v>1300</v>
      </c>
      <c r="I34" s="80">
        <f>'Fund Cover Sheets'!G701</f>
        <v>0</v>
      </c>
      <c r="J34" s="80">
        <f>'Fund Cover Sheets'!G702</f>
        <v>7500</v>
      </c>
      <c r="K34" s="80">
        <v>0</v>
      </c>
      <c r="L34" s="80">
        <f>'Fund Cover Sheets'!G703</f>
        <v>32375</v>
      </c>
      <c r="M34" s="2">
        <f>SUM(C34:L34)</f>
        <v>732685</v>
      </c>
      <c r="N34" s="89"/>
      <c r="O34" s="2">
        <f>'Fund Cover Sheets'!G704</f>
        <v>732685</v>
      </c>
      <c r="P34" s="2">
        <f t="shared" ref="P34:P36" si="4">M34-O34</f>
        <v>0</v>
      </c>
    </row>
    <row r="35" spans="1:21" ht="24" customHeight="1">
      <c r="A35" s="78"/>
      <c r="B35" s="76" t="s">
        <v>639</v>
      </c>
      <c r="C35" s="80">
        <f>'Fund Cover Sheets'!G752</f>
        <v>731321</v>
      </c>
      <c r="D35" s="80">
        <v>0</v>
      </c>
      <c r="E35" s="80">
        <v>0</v>
      </c>
      <c r="F35" s="80">
        <v>0</v>
      </c>
      <c r="G35" s="80">
        <v>0</v>
      </c>
      <c r="H35" s="80">
        <f>'Fund Cover Sheets'!G753</f>
        <v>30</v>
      </c>
      <c r="I35" s="80">
        <v>0</v>
      </c>
      <c r="J35" s="80">
        <v>0</v>
      </c>
      <c r="K35" s="80">
        <v>0</v>
      </c>
      <c r="L35" s="80">
        <f>'Fund Cover Sheets'!G754</f>
        <v>0</v>
      </c>
      <c r="M35" s="2">
        <f>SUM(C35:L35)</f>
        <v>731351</v>
      </c>
      <c r="N35" s="89"/>
      <c r="O35" s="2">
        <f>'Fund Cover Sheets'!G755</f>
        <v>731351</v>
      </c>
      <c r="P35" s="2">
        <f t="shared" si="4"/>
        <v>0</v>
      </c>
    </row>
    <row r="36" spans="1:21" ht="24" customHeight="1">
      <c r="A36" s="78"/>
      <c r="B36" s="76" t="s">
        <v>995</v>
      </c>
      <c r="C36" s="80">
        <v>0</v>
      </c>
      <c r="D36" s="80">
        <v>0</v>
      </c>
      <c r="E36" s="80">
        <f>'Fund Cover Sheets'!G798</f>
        <v>20000</v>
      </c>
      <c r="F36" s="80">
        <v>0</v>
      </c>
      <c r="G36" s="80">
        <v>0</v>
      </c>
      <c r="H36" s="80">
        <f>'Fund Cover Sheets'!G799</f>
        <v>20</v>
      </c>
      <c r="I36" s="80">
        <v>0</v>
      </c>
      <c r="J36" s="80">
        <v>0</v>
      </c>
      <c r="K36" s="80">
        <v>0</v>
      </c>
      <c r="L36" s="80">
        <f>'Fund Cover Sheets'!G800</f>
        <v>0</v>
      </c>
      <c r="M36" s="2">
        <f>SUM(C36:L36)</f>
        <v>20020</v>
      </c>
      <c r="N36" s="89"/>
      <c r="O36" s="2">
        <f>'Fund Cover Sheets'!G801</f>
        <v>20020</v>
      </c>
      <c r="P36" s="2">
        <f t="shared" si="4"/>
        <v>0</v>
      </c>
    </row>
    <row r="37" spans="1:21" ht="15" customHeight="1">
      <c r="A37" s="78"/>
      <c r="B37" s="76"/>
      <c r="C37" s="80"/>
      <c r="D37" s="80"/>
      <c r="E37" s="80"/>
      <c r="F37" s="80"/>
      <c r="G37" s="80"/>
      <c r="H37" s="80"/>
      <c r="I37" s="80"/>
      <c r="J37" s="80"/>
      <c r="K37" s="80"/>
      <c r="L37" s="80"/>
      <c r="M37" s="2"/>
      <c r="N37" s="89"/>
      <c r="O37" s="138" t="s">
        <v>1291</v>
      </c>
      <c r="P37" s="138" t="s">
        <v>1287</v>
      </c>
      <c r="S37" s="137" t="s">
        <v>1294</v>
      </c>
      <c r="T37" s="137"/>
      <c r="U37" s="137" t="s">
        <v>1285</v>
      </c>
    </row>
    <row r="38" spans="1:21" ht="24" customHeight="1" thickBot="1">
      <c r="A38" s="8"/>
      <c r="B38" s="82" t="s">
        <v>1053</v>
      </c>
      <c r="C38" s="91">
        <f t="shared" ref="C38:M38" si="5">SUM(C10:C37)</f>
        <v>11714821</v>
      </c>
      <c r="D38" s="91">
        <f t="shared" si="5"/>
        <v>2785360</v>
      </c>
      <c r="E38" s="91">
        <f t="shared" si="5"/>
        <v>285025</v>
      </c>
      <c r="F38" s="91">
        <f t="shared" si="5"/>
        <v>195300</v>
      </c>
      <c r="G38" s="91">
        <f t="shared" si="5"/>
        <v>6272779</v>
      </c>
      <c r="H38" s="91">
        <f t="shared" si="5"/>
        <v>24425</v>
      </c>
      <c r="I38" s="91">
        <f t="shared" si="5"/>
        <v>1015630</v>
      </c>
      <c r="J38" s="91">
        <f t="shared" si="5"/>
        <v>284703</v>
      </c>
      <c r="K38" s="91">
        <f t="shared" si="5"/>
        <v>23000</v>
      </c>
      <c r="L38" s="91">
        <f t="shared" si="5"/>
        <v>7603791</v>
      </c>
      <c r="M38" s="91">
        <f t="shared" si="5"/>
        <v>30204834</v>
      </c>
      <c r="N38" s="129" t="s">
        <v>1286</v>
      </c>
      <c r="O38" s="2">
        <f>SUM(C38:L38)</f>
        <v>30204834</v>
      </c>
      <c r="P38" s="2">
        <f>M38-O38</f>
        <v>0</v>
      </c>
      <c r="S38" s="2">
        <f>'Budget Summary'!G38</f>
        <v>30204834</v>
      </c>
      <c r="U38" s="95">
        <f>M38-S38</f>
        <v>0</v>
      </c>
    </row>
    <row r="39" spans="1:21" ht="15" customHeight="1" thickTop="1">
      <c r="C39" s="2"/>
      <c r="D39" s="2"/>
      <c r="E39" s="2"/>
      <c r="F39" s="2"/>
      <c r="G39" s="2"/>
      <c r="H39" s="2"/>
      <c r="I39" s="2"/>
      <c r="J39" s="2"/>
      <c r="K39" s="2"/>
      <c r="L39" s="2"/>
      <c r="N39" s="89"/>
      <c r="O39" s="2">
        <f>SUM(O10:O36)-O38</f>
        <v>0</v>
      </c>
      <c r="P39" s="129" t="s">
        <v>1290</v>
      </c>
    </row>
    <row r="40" spans="1:21" ht="15" customHeight="1">
      <c r="C40" s="92"/>
      <c r="D40" s="92"/>
      <c r="E40" s="92"/>
      <c r="F40" s="92"/>
      <c r="G40" s="92"/>
      <c r="H40" s="92"/>
      <c r="I40" s="92"/>
      <c r="J40" s="92"/>
      <c r="K40" s="92"/>
      <c r="L40" s="92"/>
      <c r="M40" s="92"/>
      <c r="N40" s="89"/>
      <c r="O40" s="2"/>
      <c r="P40" s="2"/>
    </row>
    <row r="41" spans="1:21" ht="24" customHeight="1">
      <c r="A41" s="712" t="s">
        <v>980</v>
      </c>
      <c r="B41" s="712"/>
      <c r="C41" s="712"/>
      <c r="D41" s="712"/>
      <c r="E41" s="712"/>
      <c r="F41" s="712"/>
      <c r="G41" s="712"/>
      <c r="H41" s="712"/>
      <c r="I41" s="712"/>
      <c r="J41" s="712"/>
      <c r="K41" s="683"/>
      <c r="L41" s="683"/>
      <c r="M41" s="2"/>
      <c r="N41" s="89"/>
      <c r="O41" s="2"/>
      <c r="P41" s="2"/>
    </row>
    <row r="42" spans="1:21" ht="24" customHeight="1">
      <c r="A42" s="713" t="s">
        <v>1020</v>
      </c>
      <c r="B42" s="713"/>
      <c r="C42" s="713"/>
      <c r="D42" s="713"/>
      <c r="E42" s="713"/>
      <c r="F42" s="713"/>
      <c r="G42" s="713"/>
      <c r="H42" s="713"/>
      <c r="I42" s="713"/>
      <c r="J42" s="713"/>
      <c r="K42" s="684"/>
      <c r="L42" s="684"/>
    </row>
    <row r="43" spans="1:21" ht="24" customHeight="1">
      <c r="A43" s="712" t="s">
        <v>1340</v>
      </c>
      <c r="B43" s="712"/>
      <c r="C43" s="712"/>
      <c r="D43" s="712"/>
      <c r="E43" s="712"/>
      <c r="F43" s="712"/>
      <c r="G43" s="712"/>
      <c r="H43" s="712"/>
      <c r="I43" s="712"/>
      <c r="J43" s="712"/>
      <c r="K43" s="683"/>
      <c r="L43" s="683"/>
      <c r="M43" s="2"/>
      <c r="N43" s="89"/>
      <c r="O43" s="2"/>
      <c r="P43" s="2"/>
    </row>
    <row r="44" spans="1:21" ht="15" customHeight="1">
      <c r="M44" s="2"/>
      <c r="N44" s="89"/>
      <c r="O44" s="2"/>
      <c r="P44" s="2"/>
    </row>
    <row r="45" spans="1:21" ht="15" customHeight="1">
      <c r="I45" s="72" t="s">
        <v>999</v>
      </c>
      <c r="M45" s="2"/>
      <c r="N45" s="89"/>
      <c r="O45" s="2"/>
      <c r="P45" s="2"/>
    </row>
    <row r="46" spans="1:21" ht="15" customHeight="1">
      <c r="C46" s="72"/>
      <c r="D46" s="72"/>
      <c r="E46" s="72" t="s">
        <v>1021</v>
      </c>
      <c r="F46" s="73"/>
      <c r="G46" s="72" t="s">
        <v>1022</v>
      </c>
      <c r="H46" s="72" t="s">
        <v>1023</v>
      </c>
      <c r="I46" s="73" t="s">
        <v>1024</v>
      </c>
      <c r="J46" s="73" t="s">
        <v>1009</v>
      </c>
      <c r="M46" s="2"/>
      <c r="N46" s="89"/>
      <c r="O46" s="136" t="s">
        <v>1289</v>
      </c>
    </row>
    <row r="47" spans="1:21" ht="15" customHeight="1" thickBot="1">
      <c r="A47" s="74"/>
      <c r="B47" s="74" t="s">
        <v>982</v>
      </c>
      <c r="C47" s="87" t="s">
        <v>929</v>
      </c>
      <c r="D47" s="87" t="s">
        <v>930</v>
      </c>
      <c r="E47" s="75" t="s">
        <v>1025</v>
      </c>
      <c r="F47" s="75" t="s">
        <v>932</v>
      </c>
      <c r="G47" s="75" t="s">
        <v>1026</v>
      </c>
      <c r="H47" s="75" t="s">
        <v>1027</v>
      </c>
      <c r="I47" s="75" t="s">
        <v>1028</v>
      </c>
      <c r="J47" s="75" t="s">
        <v>1019</v>
      </c>
      <c r="M47" s="2"/>
      <c r="N47" s="89"/>
      <c r="O47" s="136" t="s">
        <v>1288</v>
      </c>
      <c r="P47" s="137" t="s">
        <v>1285</v>
      </c>
    </row>
    <row r="48" spans="1:21" s="71" customFormat="1" ht="15" customHeight="1">
      <c r="A48" s="76"/>
      <c r="B48" s="76"/>
      <c r="C48" s="88"/>
      <c r="D48" s="88"/>
      <c r="E48" s="77"/>
      <c r="F48" s="77"/>
      <c r="G48" s="77"/>
      <c r="H48" s="77"/>
      <c r="I48" s="77"/>
      <c r="J48" s="77"/>
      <c r="M48" s="3"/>
      <c r="N48" s="90"/>
      <c r="O48" s="3"/>
      <c r="P48" s="3"/>
    </row>
    <row r="49" spans="1:16" ht="15" customHeight="1">
      <c r="M49" s="2"/>
      <c r="N49" s="89"/>
      <c r="O49" s="2"/>
      <c r="P49" s="2"/>
    </row>
    <row r="50" spans="1:16" ht="24" customHeight="1">
      <c r="A50" s="78" t="s">
        <v>983</v>
      </c>
      <c r="C50" s="3">
        <f>'Fund Cover Sheets'!G25</f>
        <v>3967218</v>
      </c>
      <c r="D50" s="3">
        <f>'Fund Cover Sheets'!G26</f>
        <v>2470227</v>
      </c>
      <c r="E50" s="3">
        <f>'Fund Cover Sheets'!G27</f>
        <v>4283415</v>
      </c>
      <c r="F50" s="3">
        <f>'Fund Cover Sheets'!G28</f>
        <v>300299</v>
      </c>
      <c r="G50" s="3">
        <v>0</v>
      </c>
      <c r="H50" s="3">
        <v>0</v>
      </c>
      <c r="I50" s="3">
        <f>'Fund Cover Sheets'!G30</f>
        <v>2548953</v>
      </c>
      <c r="J50" s="3">
        <f>SUM(C50:I50)</f>
        <v>13570112</v>
      </c>
      <c r="M50" s="2"/>
      <c r="N50" s="89"/>
      <c r="O50" s="2">
        <f>'Fund Cover Sheets'!G31</f>
        <v>13570112</v>
      </c>
      <c r="P50" s="2">
        <f>J50-O50</f>
        <v>0</v>
      </c>
    </row>
    <row r="51" spans="1:16" ht="15" customHeight="1">
      <c r="A51" s="78"/>
      <c r="C51" s="3"/>
      <c r="D51" s="3"/>
      <c r="E51" s="3"/>
      <c r="F51" s="3"/>
      <c r="G51" s="3"/>
      <c r="H51" s="3"/>
      <c r="I51" s="3"/>
      <c r="J51" s="3"/>
      <c r="M51" s="2"/>
      <c r="N51" s="89"/>
      <c r="O51" s="2"/>
      <c r="P51" s="2"/>
    </row>
    <row r="52" spans="1:16" ht="24" customHeight="1">
      <c r="A52" s="78" t="s">
        <v>984</v>
      </c>
      <c r="C52" s="80"/>
      <c r="D52" s="80"/>
      <c r="E52" s="80"/>
      <c r="F52" s="80"/>
      <c r="G52" s="80"/>
      <c r="H52" s="80"/>
      <c r="I52" s="3"/>
      <c r="J52" s="3"/>
      <c r="M52" s="6"/>
      <c r="N52" s="93"/>
      <c r="O52" s="2"/>
    </row>
    <row r="53" spans="1:16" ht="24" customHeight="1">
      <c r="A53" s="78"/>
      <c r="B53" s="1" t="s">
        <v>899</v>
      </c>
      <c r="C53" s="80">
        <v>0</v>
      </c>
      <c r="D53" s="80">
        <v>0</v>
      </c>
      <c r="E53" s="80">
        <f>'Fund Cover Sheets'!G161</f>
        <v>111000</v>
      </c>
      <c r="F53" s="80">
        <f>'Fund Cover Sheets'!G162</f>
        <v>178712</v>
      </c>
      <c r="G53" s="80">
        <f>'Fund Cover Sheets'!G163</f>
        <v>573787</v>
      </c>
      <c r="H53" s="80">
        <v>0</v>
      </c>
      <c r="I53" s="3">
        <v>0</v>
      </c>
      <c r="J53" s="3">
        <f t="shared" ref="J53:J59" si="6">SUM(C53:I53)</f>
        <v>863499</v>
      </c>
      <c r="M53" s="6"/>
      <c r="N53" s="93"/>
      <c r="O53" s="2">
        <f>'Fund Cover Sheets'!G164</f>
        <v>863499</v>
      </c>
      <c r="P53" s="2">
        <f t="shared" ref="P53:P59" si="7">J53-O53</f>
        <v>0</v>
      </c>
    </row>
    <row r="54" spans="1:16" ht="24" customHeight="1">
      <c r="A54" s="79"/>
      <c r="B54" s="76" t="s">
        <v>985</v>
      </c>
      <c r="C54" s="80">
        <f>'Fund Cover Sheets'!G602</f>
        <v>840647</v>
      </c>
      <c r="D54" s="80">
        <f>'Fund Cover Sheets'!G603</f>
        <v>397762</v>
      </c>
      <c r="E54" s="2">
        <f>'Fund Cover Sheets'!G604</f>
        <v>374430</v>
      </c>
      <c r="F54" s="80">
        <f>'Fund Cover Sheets'!G605</f>
        <v>298608</v>
      </c>
      <c r="G54" s="80">
        <v>0</v>
      </c>
      <c r="H54" s="80">
        <v>0</v>
      </c>
      <c r="I54" s="3">
        <f>'Fund Cover Sheets'!G606</f>
        <v>0</v>
      </c>
      <c r="J54" s="3">
        <f t="shared" si="6"/>
        <v>1911447</v>
      </c>
      <c r="M54" s="6"/>
      <c r="N54" s="93"/>
      <c r="O54" s="2">
        <f>'Fund Cover Sheets'!G607</f>
        <v>1911447</v>
      </c>
      <c r="P54" s="2">
        <f t="shared" si="7"/>
        <v>0</v>
      </c>
    </row>
    <row r="55" spans="1:16" ht="24" customHeight="1">
      <c r="A55" s="79"/>
      <c r="B55" s="76" t="s">
        <v>748</v>
      </c>
      <c r="C55" s="80">
        <v>0</v>
      </c>
      <c r="D55" s="80">
        <v>0</v>
      </c>
      <c r="E55" s="80">
        <v>0</v>
      </c>
      <c r="F55" s="80">
        <v>0</v>
      </c>
      <c r="G55" s="80">
        <f>'Fund Cover Sheets'!G554</f>
        <v>406850</v>
      </c>
      <c r="H55" s="80">
        <v>0</v>
      </c>
      <c r="I55" s="3">
        <v>0</v>
      </c>
      <c r="J55" s="3">
        <f t="shared" si="6"/>
        <v>406850</v>
      </c>
      <c r="M55" s="6"/>
      <c r="N55" s="93"/>
      <c r="O55" s="2">
        <f>'Fund Cover Sheets'!G555</f>
        <v>406850</v>
      </c>
      <c r="P55" s="2">
        <f t="shared" si="7"/>
        <v>0</v>
      </c>
    </row>
    <row r="56" spans="1:16" ht="24" customHeight="1">
      <c r="A56" s="79"/>
      <c r="B56" s="76" t="s">
        <v>647</v>
      </c>
      <c r="C56" s="80">
        <v>0</v>
      </c>
      <c r="D56" s="80">
        <v>0</v>
      </c>
      <c r="E56" s="80">
        <f>'Fund Cover Sheets'!G900</f>
        <v>23325</v>
      </c>
      <c r="F56" s="80">
        <v>0</v>
      </c>
      <c r="G56" s="80">
        <v>0</v>
      </c>
      <c r="H56" s="80">
        <f>'Fund Cover Sheets'!G901</f>
        <v>68073</v>
      </c>
      <c r="I56" s="3">
        <v>0</v>
      </c>
      <c r="J56" s="3">
        <f t="shared" si="6"/>
        <v>91398</v>
      </c>
      <c r="M56" s="6"/>
      <c r="N56" s="93"/>
      <c r="O56" s="2">
        <f>'Fund Cover Sheets'!G902</f>
        <v>91398</v>
      </c>
      <c r="P56" s="2">
        <f t="shared" si="7"/>
        <v>0</v>
      </c>
    </row>
    <row r="57" spans="1:16" ht="24" customHeight="1">
      <c r="A57" s="79"/>
      <c r="B57" s="76" t="s">
        <v>653</v>
      </c>
      <c r="C57" s="2">
        <v>0</v>
      </c>
      <c r="D57" s="80">
        <v>0</v>
      </c>
      <c r="E57" s="2">
        <f>'Fund Cover Sheets'!G945</f>
        <v>35355</v>
      </c>
      <c r="F57" s="80">
        <v>0</v>
      </c>
      <c r="G57" s="80">
        <f>'Fund Cover Sheets'!G946</f>
        <v>17433</v>
      </c>
      <c r="H57" s="80">
        <v>0</v>
      </c>
      <c r="I57" s="3">
        <v>0</v>
      </c>
      <c r="J57" s="3">
        <f t="shared" si="6"/>
        <v>52788</v>
      </c>
      <c r="M57" s="6"/>
      <c r="N57" s="93"/>
      <c r="O57" s="2">
        <f>'Fund Cover Sheets'!G947</f>
        <v>52788</v>
      </c>
      <c r="P57" s="2">
        <f t="shared" si="7"/>
        <v>0</v>
      </c>
    </row>
    <row r="58" spans="1:16" ht="24" customHeight="1">
      <c r="A58" s="79"/>
      <c r="B58" s="76" t="s">
        <v>986</v>
      </c>
      <c r="C58" s="3">
        <v>0</v>
      </c>
      <c r="D58" s="3">
        <v>0</v>
      </c>
      <c r="E58" s="3">
        <f>'Fund Cover Sheets'!G73</f>
        <v>19603</v>
      </c>
      <c r="F58" s="3">
        <v>0</v>
      </c>
      <c r="G58" s="3">
        <v>0</v>
      </c>
      <c r="H58" s="3">
        <v>0</v>
      </c>
      <c r="I58" s="3">
        <v>0</v>
      </c>
      <c r="J58" s="3">
        <f t="shared" si="6"/>
        <v>19603</v>
      </c>
      <c r="M58" s="6"/>
      <c r="N58" s="93"/>
      <c r="O58" s="2">
        <f>'Fund Cover Sheets'!G73</f>
        <v>19603</v>
      </c>
      <c r="P58" s="2">
        <f t="shared" si="7"/>
        <v>0</v>
      </c>
    </row>
    <row r="59" spans="1:16" ht="24" customHeight="1">
      <c r="A59" s="79"/>
      <c r="B59" s="76" t="s">
        <v>987</v>
      </c>
      <c r="C59" s="3">
        <v>0</v>
      </c>
      <c r="D59" s="3">
        <v>0</v>
      </c>
      <c r="E59" s="3">
        <f>'Fund Cover Sheets'!G117</f>
        <v>35985</v>
      </c>
      <c r="F59" s="3">
        <v>0</v>
      </c>
      <c r="G59" s="3">
        <v>0</v>
      </c>
      <c r="H59" s="80">
        <v>0</v>
      </c>
      <c r="I59" s="2">
        <v>0</v>
      </c>
      <c r="J59" s="3">
        <f t="shared" si="6"/>
        <v>35985</v>
      </c>
      <c r="M59" s="6"/>
      <c r="N59" s="93"/>
      <c r="O59" s="2">
        <f>'Fund Cover Sheets'!G117</f>
        <v>35985</v>
      </c>
      <c r="P59" s="2">
        <f t="shared" si="7"/>
        <v>0</v>
      </c>
    </row>
    <row r="60" spans="1:16">
      <c r="A60" s="79"/>
      <c r="B60" s="76"/>
      <c r="C60" s="3"/>
      <c r="D60" s="3"/>
      <c r="E60" s="3"/>
      <c r="F60" s="3"/>
      <c r="G60" s="3"/>
      <c r="H60" s="80"/>
      <c r="I60" s="2"/>
      <c r="J60" s="3"/>
      <c r="M60" s="6"/>
      <c r="N60" s="93"/>
      <c r="O60" s="2"/>
    </row>
    <row r="61" spans="1:16" ht="24" customHeight="1">
      <c r="A61" s="78" t="s">
        <v>988</v>
      </c>
      <c r="B61" s="71"/>
      <c r="C61" s="80">
        <v>0</v>
      </c>
      <c r="D61" s="80">
        <v>0</v>
      </c>
      <c r="E61" s="80">
        <f>'Fund Cover Sheets'!G395</f>
        <v>775</v>
      </c>
      <c r="F61" s="80">
        <v>0</v>
      </c>
      <c r="G61" s="80">
        <v>0</v>
      </c>
      <c r="H61" s="3">
        <f>'Fund Cover Sheets'!G396</f>
        <v>329579</v>
      </c>
      <c r="I61" s="2">
        <v>0</v>
      </c>
      <c r="J61" s="3">
        <f>SUM(C61:I61)</f>
        <v>330354</v>
      </c>
      <c r="M61" s="6"/>
      <c r="N61" s="93"/>
      <c r="O61" s="2">
        <f>'Fund Cover Sheets'!G397</f>
        <v>330354</v>
      </c>
      <c r="P61" s="2">
        <f>J61-O61</f>
        <v>0</v>
      </c>
    </row>
    <row r="62" spans="1:16">
      <c r="A62" s="79"/>
      <c r="B62" s="71"/>
      <c r="C62" s="3"/>
      <c r="D62" s="3"/>
      <c r="E62" s="2"/>
      <c r="F62" s="3"/>
      <c r="G62" s="80"/>
      <c r="H62" s="3"/>
      <c r="I62" s="2"/>
      <c r="J62" s="3"/>
      <c r="O62" s="2"/>
    </row>
    <row r="63" spans="1:16" ht="24" customHeight="1">
      <c r="A63" s="78" t="s">
        <v>989</v>
      </c>
      <c r="B63" s="71"/>
      <c r="C63" s="80"/>
      <c r="D63" s="80"/>
      <c r="E63" s="2"/>
      <c r="F63" s="80"/>
      <c r="G63" s="80"/>
      <c r="H63" s="80"/>
      <c r="I63" s="2"/>
      <c r="J63" s="3"/>
      <c r="O63" s="2"/>
    </row>
    <row r="64" spans="1:16" ht="24" customHeight="1">
      <c r="A64" s="78"/>
      <c r="B64" s="76" t="s">
        <v>990</v>
      </c>
      <c r="C64" s="80">
        <v>0</v>
      </c>
      <c r="D64" s="80">
        <v>0</v>
      </c>
      <c r="E64" s="2">
        <v>0</v>
      </c>
      <c r="F64" s="80">
        <v>0</v>
      </c>
      <c r="G64" s="80">
        <v>0</v>
      </c>
      <c r="H64" s="80">
        <v>0</v>
      </c>
      <c r="I64" s="80">
        <v>0</v>
      </c>
      <c r="J64" s="3">
        <f>SUM(C64:I64)</f>
        <v>0</v>
      </c>
      <c r="O64" s="2">
        <f>'Fund Cover Sheets'!G207</f>
        <v>0</v>
      </c>
      <c r="P64" s="2">
        <f>J64-O64</f>
        <v>0</v>
      </c>
    </row>
    <row r="65" spans="1:21" ht="24" customHeight="1">
      <c r="A65" s="79"/>
      <c r="B65" s="76" t="s">
        <v>1155</v>
      </c>
      <c r="C65" s="3">
        <v>0</v>
      </c>
      <c r="D65" s="3">
        <v>0</v>
      </c>
      <c r="E65" s="2">
        <f>'Fund Cover Sheets'!G316+'Fund Cover Sheets'!G323</f>
        <v>24167</v>
      </c>
      <c r="F65" s="3">
        <f>'Fund Cover Sheets'!G324</f>
        <v>2000</v>
      </c>
      <c r="G65" s="3">
        <f>'Fund Cover Sheets'!G317+'Fund Cover Sheets'!G325+'Fund Cover Sheets'!G333</f>
        <v>410000</v>
      </c>
      <c r="H65" s="3">
        <f>'Fund Cover Sheets'!G326+'Fund Cover Sheets'!G334</f>
        <v>73035</v>
      </c>
      <c r="I65" s="3">
        <f>'Fund Cover Sheets'!G335</f>
        <v>50000</v>
      </c>
      <c r="J65" s="3">
        <f>SUM(C65:I65)</f>
        <v>559202</v>
      </c>
      <c r="O65" s="2">
        <f>'Fund Cover Sheets'!G340</f>
        <v>559202</v>
      </c>
      <c r="P65" s="2">
        <f>J65-O65</f>
        <v>0</v>
      </c>
    </row>
    <row r="66" spans="1:21" ht="24" customHeight="1">
      <c r="A66" s="79"/>
      <c r="B66" s="76" t="s">
        <v>992</v>
      </c>
      <c r="C66" s="3">
        <v>0</v>
      </c>
      <c r="D66" s="80">
        <v>0</v>
      </c>
      <c r="E66" s="80">
        <f>'Fund Cover Sheets'!G253</f>
        <v>130000</v>
      </c>
      <c r="F66" s="80">
        <f>'Fund Cover Sheets'!G254</f>
        <v>25000</v>
      </c>
      <c r="G66" s="80">
        <f>'Fund Cover Sheets'!G255</f>
        <v>2303022</v>
      </c>
      <c r="H66" s="80">
        <f>'Fund Cover Sheets'!G256</f>
        <v>85000</v>
      </c>
      <c r="I66" s="80">
        <f>'Fund Cover Sheets'!G257</f>
        <v>5250</v>
      </c>
      <c r="J66" s="3">
        <f>SUM(C66:I66)</f>
        <v>2548272</v>
      </c>
      <c r="O66" s="2">
        <f>'Fund Cover Sheets'!G258</f>
        <v>2548272</v>
      </c>
      <c r="P66" s="2">
        <f>J66-O66</f>
        <v>0</v>
      </c>
    </row>
    <row r="67" spans="1:21">
      <c r="A67" s="79"/>
      <c r="B67" s="76"/>
      <c r="C67" s="3"/>
      <c r="D67" s="80"/>
      <c r="E67" s="80"/>
      <c r="F67" s="80"/>
      <c r="G67" s="80"/>
      <c r="H67" s="80"/>
      <c r="I67" s="80"/>
      <c r="J67" s="3"/>
      <c r="O67" s="2"/>
    </row>
    <row r="68" spans="1:21" ht="24" customHeight="1">
      <c r="A68" s="78" t="s">
        <v>993</v>
      </c>
      <c r="B68" s="76"/>
      <c r="C68" s="2"/>
      <c r="D68" s="80"/>
      <c r="E68" s="80"/>
      <c r="F68" s="80"/>
      <c r="G68" s="80"/>
      <c r="H68" s="80"/>
      <c r="I68" s="3"/>
      <c r="J68" s="3"/>
      <c r="O68" s="2"/>
    </row>
    <row r="69" spans="1:21" ht="24" customHeight="1">
      <c r="B69" s="76" t="s">
        <v>746</v>
      </c>
      <c r="C69" s="2">
        <f>'Fund Cover Sheets'!G443</f>
        <v>351860</v>
      </c>
      <c r="D69" s="80">
        <f>'Fund Cover Sheets'!G444</f>
        <v>215055</v>
      </c>
      <c r="E69" s="80">
        <f>'Fund Cover Sheets'!G445</f>
        <v>485700</v>
      </c>
      <c r="F69" s="80">
        <f>'Fund Cover Sheets'!G446</f>
        <v>301234</v>
      </c>
      <c r="G69" s="80">
        <f>'Fund Cover Sheets'!G447</f>
        <v>571548</v>
      </c>
      <c r="H69" s="80">
        <f>'Fund Cover Sheets'!G449</f>
        <v>1168384</v>
      </c>
      <c r="I69" s="3">
        <v>0</v>
      </c>
      <c r="J69" s="3">
        <f>SUM(C69:I69)</f>
        <v>3093781</v>
      </c>
      <c r="O69" s="2">
        <f>'Fund Cover Sheets'!G450</f>
        <v>3093781</v>
      </c>
      <c r="P69" s="2">
        <f>J69-O69</f>
        <v>0</v>
      </c>
    </row>
    <row r="70" spans="1:21" ht="24" customHeight="1">
      <c r="B70" s="76" t="s">
        <v>747</v>
      </c>
      <c r="C70" s="2">
        <f>'Fund Cover Sheets'!G497</f>
        <v>195304</v>
      </c>
      <c r="D70" s="2">
        <f>'Fund Cover Sheets'!G498</f>
        <v>105056</v>
      </c>
      <c r="E70" s="2">
        <f>'Fund Cover Sheets'!G499</f>
        <v>95578</v>
      </c>
      <c r="F70" s="80">
        <f>'Fund Cover Sheets'!G500</f>
        <v>90144</v>
      </c>
      <c r="G70" s="80">
        <f>'Fund Cover Sheets'!G501</f>
        <v>593095</v>
      </c>
      <c r="H70" s="80">
        <f>'Fund Cover Sheets'!G503</f>
        <v>2054461</v>
      </c>
      <c r="I70" s="3">
        <f>'Fund Cover Sheets'!G504</f>
        <v>83588</v>
      </c>
      <c r="J70" s="3">
        <f>SUM(C70:I70)</f>
        <v>3217226</v>
      </c>
      <c r="O70" s="2">
        <f>'Fund Cover Sheets'!G505</f>
        <v>3217226</v>
      </c>
      <c r="P70" s="2">
        <f>J70-O70</f>
        <v>0</v>
      </c>
    </row>
    <row r="71" spans="1:21" ht="24" customHeight="1">
      <c r="B71" s="76" t="s">
        <v>673</v>
      </c>
      <c r="C71" s="80">
        <f>'Fund Cover Sheets'!G653</f>
        <v>0</v>
      </c>
      <c r="D71" s="80">
        <f>'Fund Cover Sheets'!G654</f>
        <v>0</v>
      </c>
      <c r="E71" s="80">
        <f>'Fund Cover Sheets'!G655</f>
        <v>0</v>
      </c>
      <c r="F71" s="80">
        <f>'Fund Cover Sheets'!G656</f>
        <v>0</v>
      </c>
      <c r="G71" s="80">
        <v>0</v>
      </c>
      <c r="H71" s="80">
        <v>0</v>
      </c>
      <c r="I71" s="80">
        <v>0</v>
      </c>
      <c r="J71" s="3">
        <f>SUM(C71:I71)</f>
        <v>0</v>
      </c>
      <c r="O71" s="2">
        <f>'Fund Cover Sheets'!G657</f>
        <v>0</v>
      </c>
      <c r="P71" s="2">
        <f>J71-O71</f>
        <v>0</v>
      </c>
    </row>
    <row r="72" spans="1:21">
      <c r="B72" s="76"/>
      <c r="C72" s="80"/>
      <c r="D72" s="80"/>
      <c r="E72" s="80"/>
      <c r="F72" s="80"/>
      <c r="G72" s="80"/>
      <c r="H72" s="80"/>
      <c r="I72" s="80"/>
      <c r="J72" s="3"/>
      <c r="O72" s="2"/>
    </row>
    <row r="73" spans="1:21" ht="24" customHeight="1">
      <c r="A73" s="78" t="s">
        <v>994</v>
      </c>
      <c r="B73" s="76"/>
      <c r="C73" s="80"/>
      <c r="D73" s="80"/>
      <c r="E73" s="80"/>
      <c r="F73" s="80"/>
      <c r="G73" s="80"/>
      <c r="H73" s="80"/>
      <c r="I73" s="80"/>
      <c r="J73" s="3"/>
      <c r="O73" s="2"/>
    </row>
    <row r="74" spans="1:21" ht="24" customHeight="1">
      <c r="A74" s="78"/>
      <c r="B74" s="76" t="s">
        <v>734</v>
      </c>
      <c r="C74" s="80">
        <f>'Fund Cover Sheets'!G709</f>
        <v>447540</v>
      </c>
      <c r="D74" s="80">
        <f>'Fund Cover Sheets'!G710</f>
        <v>204448</v>
      </c>
      <c r="E74" s="80">
        <f>'Fund Cover Sheets'!G711</f>
        <v>112465</v>
      </c>
      <c r="F74" s="80">
        <f>'Fund Cover Sheets'!G712</f>
        <v>19000</v>
      </c>
      <c r="G74" s="80">
        <v>0</v>
      </c>
      <c r="H74" s="80">
        <v>0</v>
      </c>
      <c r="I74" s="80">
        <f>'Fund Cover Sheets'!G713</f>
        <v>0</v>
      </c>
      <c r="J74" s="3">
        <f>SUM(C74:I74)</f>
        <v>783453</v>
      </c>
      <c r="O74" s="2">
        <f>'Fund Cover Sheets'!G714</f>
        <v>783453</v>
      </c>
      <c r="P74" s="2">
        <f>J74-O74</f>
        <v>0</v>
      </c>
    </row>
    <row r="75" spans="1:21" ht="24" customHeight="1">
      <c r="A75" s="78"/>
      <c r="B75" s="76" t="s">
        <v>639</v>
      </c>
      <c r="C75" s="80">
        <v>0</v>
      </c>
      <c r="D75" s="80">
        <v>0</v>
      </c>
      <c r="E75" s="80">
        <v>0</v>
      </c>
      <c r="F75" s="80">
        <v>0</v>
      </c>
      <c r="G75" s="80">
        <v>0</v>
      </c>
      <c r="H75" s="80">
        <f>'Fund Cover Sheets'!G760</f>
        <v>731321</v>
      </c>
      <c r="I75" s="80"/>
      <c r="J75" s="3">
        <f>SUM(C75:I75)</f>
        <v>731321</v>
      </c>
      <c r="O75" s="2">
        <f>'Fund Cover Sheets'!G761</f>
        <v>731321</v>
      </c>
      <c r="P75" s="2">
        <f>J75-O75</f>
        <v>0</v>
      </c>
    </row>
    <row r="76" spans="1:21" ht="24" customHeight="1">
      <c r="A76" s="78"/>
      <c r="B76" s="76" t="s">
        <v>995</v>
      </c>
      <c r="C76" s="80">
        <v>0</v>
      </c>
      <c r="D76" s="80">
        <v>0</v>
      </c>
      <c r="E76" s="80">
        <f>'Fund Cover Sheets'!G806</f>
        <v>3500</v>
      </c>
      <c r="F76" s="80">
        <f>'Fund Cover Sheets'!G807</f>
        <v>51515</v>
      </c>
      <c r="G76" s="80">
        <f>'Fund Cover Sheets'!G808</f>
        <v>0</v>
      </c>
      <c r="H76" s="80">
        <v>0</v>
      </c>
      <c r="I76" s="80">
        <f>'Fund Cover Sheets'!G809</f>
        <v>0</v>
      </c>
      <c r="J76" s="3">
        <f>SUM(C76:I76)</f>
        <v>55015</v>
      </c>
      <c r="O76" s="2">
        <f>'Fund Cover Sheets'!G810</f>
        <v>55015</v>
      </c>
      <c r="P76" s="2">
        <f>J76-O76</f>
        <v>0</v>
      </c>
    </row>
    <row r="77" spans="1:21">
      <c r="A77" s="81"/>
      <c r="B77" s="76"/>
      <c r="C77" s="80"/>
      <c r="D77" s="80"/>
      <c r="E77" s="80"/>
      <c r="F77" s="80"/>
      <c r="G77" s="80"/>
      <c r="H77" s="80"/>
      <c r="I77" s="3"/>
      <c r="J77" s="3"/>
      <c r="O77" s="7" t="s">
        <v>1291</v>
      </c>
      <c r="P77" s="1" t="s">
        <v>1287</v>
      </c>
      <c r="S77" s="137" t="s">
        <v>1294</v>
      </c>
      <c r="T77" s="137"/>
      <c r="U77" s="137" t="s">
        <v>1285</v>
      </c>
    </row>
    <row r="78" spans="1:21" ht="24" customHeight="1" thickBot="1">
      <c r="A78" s="8"/>
      <c r="B78" s="82" t="s">
        <v>1054</v>
      </c>
      <c r="C78" s="91">
        <f t="shared" ref="C78:G78" si="8">SUM(C50:C77)</f>
        <v>5802569</v>
      </c>
      <c r="D78" s="91">
        <f t="shared" si="8"/>
        <v>3392548</v>
      </c>
      <c r="E78" s="91">
        <f t="shared" si="8"/>
        <v>5735298</v>
      </c>
      <c r="F78" s="91">
        <f t="shared" si="8"/>
        <v>1266512</v>
      </c>
      <c r="G78" s="91">
        <f t="shared" si="8"/>
        <v>4875735</v>
      </c>
      <c r="H78" s="91">
        <f>SUM(H50:H77)</f>
        <v>4509853</v>
      </c>
      <c r="I78" s="91">
        <f>SUM(I50:I77)</f>
        <v>2687791</v>
      </c>
      <c r="J78" s="91">
        <f>SUM(J50:J77)</f>
        <v>28270306</v>
      </c>
      <c r="N78" s="1" t="s">
        <v>1286</v>
      </c>
      <c r="O78" s="2">
        <f>SUM(C78:I78)</f>
        <v>28270306</v>
      </c>
      <c r="P78" s="95">
        <f>J78-O78</f>
        <v>0</v>
      </c>
      <c r="S78" s="2">
        <f>'Budget Summary'!G78</f>
        <v>28270306</v>
      </c>
      <c r="U78" s="95">
        <f>J78-S78</f>
        <v>0</v>
      </c>
    </row>
    <row r="79" spans="1:21" ht="15.75" thickTop="1">
      <c r="C79" s="84"/>
      <c r="D79" s="84"/>
      <c r="E79" s="84"/>
      <c r="F79" s="84"/>
      <c r="G79" s="84"/>
      <c r="H79" s="84"/>
      <c r="I79" s="84"/>
      <c r="O79" s="2">
        <f>SUM(O50:O76)-O78</f>
        <v>0</v>
      </c>
      <c r="P79" s="129" t="s">
        <v>1290</v>
      </c>
    </row>
    <row r="80" spans="1:21">
      <c r="C80" s="84"/>
      <c r="D80" s="84"/>
      <c r="E80" s="84"/>
      <c r="F80" s="84"/>
      <c r="G80" s="84"/>
      <c r="H80" s="84"/>
      <c r="I80" s="84"/>
      <c r="O80" s="2"/>
    </row>
    <row r="81" spans="3:15">
      <c r="C81" s="84"/>
      <c r="D81" s="84"/>
      <c r="E81" s="84"/>
      <c r="F81" s="84"/>
      <c r="G81" s="84"/>
      <c r="H81" s="84"/>
      <c r="I81" s="84"/>
      <c r="O81" s="2"/>
    </row>
    <row r="82" spans="3:15">
      <c r="C82" s="84"/>
      <c r="D82" s="84"/>
      <c r="E82" s="84"/>
      <c r="F82" s="84"/>
      <c r="G82" s="84"/>
      <c r="H82" s="84"/>
      <c r="I82" s="84"/>
      <c r="O82" s="2"/>
    </row>
    <row r="83" spans="3:15">
      <c r="C83" s="84"/>
      <c r="D83" s="84"/>
      <c r="E83" s="84"/>
      <c r="F83" s="84"/>
      <c r="G83" s="84"/>
      <c r="H83" s="84"/>
      <c r="I83" s="84"/>
    </row>
    <row r="84" spans="3:15">
      <c r="C84" s="84"/>
      <c r="D84" s="84"/>
      <c r="E84" s="84"/>
      <c r="F84" s="84"/>
      <c r="G84" s="84"/>
      <c r="H84" s="84"/>
      <c r="I84" s="84"/>
    </row>
    <row r="85" spans="3:15">
      <c r="C85" s="84"/>
      <c r="D85" s="84"/>
      <c r="E85" s="84"/>
      <c r="F85" s="84"/>
      <c r="G85" s="84"/>
      <c r="H85" s="84"/>
      <c r="I85" s="84"/>
    </row>
    <row r="86" spans="3:15">
      <c r="C86" s="84"/>
      <c r="D86" s="84"/>
      <c r="E86" s="84"/>
      <c r="F86" s="84"/>
      <c r="G86" s="84"/>
      <c r="H86" s="84"/>
      <c r="I86" s="84"/>
    </row>
    <row r="87" spans="3:15">
      <c r="C87" s="84"/>
      <c r="D87" s="84"/>
      <c r="E87" s="84"/>
      <c r="F87" s="84"/>
      <c r="G87" s="84"/>
      <c r="H87" s="84"/>
      <c r="I87" s="84"/>
    </row>
    <row r="88" spans="3:15">
      <c r="C88" s="84"/>
      <c r="D88" s="84"/>
      <c r="E88" s="84"/>
      <c r="F88" s="84"/>
      <c r="G88" s="84"/>
      <c r="H88" s="84"/>
      <c r="I88" s="84"/>
    </row>
    <row r="89" spans="3:15">
      <c r="C89" s="84"/>
      <c r="D89" s="84"/>
      <c r="E89" s="84"/>
      <c r="F89" s="84"/>
      <c r="G89" s="84"/>
      <c r="H89" s="84"/>
      <c r="I89" s="84"/>
    </row>
    <row r="90" spans="3:15">
      <c r="C90" s="84"/>
      <c r="D90" s="84"/>
      <c r="E90" s="84"/>
      <c r="F90" s="84"/>
      <c r="G90" s="84"/>
      <c r="H90" s="84"/>
      <c r="I90" s="84"/>
    </row>
    <row r="91" spans="3:15">
      <c r="C91" s="84"/>
      <c r="D91" s="84"/>
      <c r="E91" s="84"/>
      <c r="F91" s="84"/>
      <c r="G91" s="84"/>
      <c r="H91" s="84"/>
      <c r="I91" s="84"/>
    </row>
    <row r="92" spans="3:15">
      <c r="C92" s="84"/>
      <c r="D92" s="84"/>
      <c r="E92" s="84"/>
      <c r="F92" s="84"/>
      <c r="G92" s="84"/>
      <c r="H92" s="84"/>
      <c r="I92" s="84"/>
    </row>
    <row r="93" spans="3:15">
      <c r="C93" s="84"/>
      <c r="D93" s="84"/>
      <c r="E93" s="84"/>
      <c r="F93" s="84"/>
      <c r="G93" s="84"/>
      <c r="H93" s="84"/>
      <c r="I93" s="84"/>
    </row>
    <row r="94" spans="3:15">
      <c r="C94" s="84"/>
      <c r="D94" s="84"/>
      <c r="E94" s="84"/>
      <c r="F94" s="84"/>
      <c r="G94" s="84"/>
      <c r="H94" s="84"/>
      <c r="I94" s="84"/>
    </row>
    <row r="95" spans="3:15">
      <c r="C95" s="84"/>
      <c r="D95" s="84"/>
      <c r="E95" s="84"/>
      <c r="F95" s="84"/>
      <c r="G95" s="84"/>
      <c r="H95" s="84"/>
      <c r="I95" s="84"/>
    </row>
    <row r="96" spans="3:15">
      <c r="C96" s="84"/>
      <c r="D96" s="84"/>
      <c r="E96" s="84"/>
      <c r="F96" s="84"/>
      <c r="G96" s="84"/>
      <c r="H96" s="84"/>
      <c r="I96" s="84"/>
    </row>
    <row r="97" spans="3:9">
      <c r="C97" s="84"/>
      <c r="D97" s="84"/>
      <c r="E97" s="84"/>
      <c r="F97" s="84"/>
      <c r="G97" s="84"/>
      <c r="H97" s="84"/>
      <c r="I97" s="84"/>
    </row>
    <row r="98" spans="3:9">
      <c r="C98" s="84"/>
      <c r="D98" s="84"/>
      <c r="E98" s="84"/>
      <c r="F98" s="84"/>
      <c r="G98" s="84"/>
      <c r="H98" s="84"/>
      <c r="I98" s="84"/>
    </row>
    <row r="99" spans="3:9">
      <c r="C99" s="84"/>
      <c r="D99" s="84"/>
      <c r="E99" s="84"/>
      <c r="F99" s="84"/>
      <c r="G99" s="84"/>
      <c r="H99" s="84"/>
      <c r="I99" s="84"/>
    </row>
    <row r="100" spans="3:9">
      <c r="C100" s="84"/>
      <c r="D100" s="84"/>
      <c r="E100" s="84"/>
      <c r="F100" s="84"/>
      <c r="G100" s="84"/>
      <c r="H100" s="84"/>
      <c r="I100" s="84"/>
    </row>
    <row r="101" spans="3:9">
      <c r="C101" s="84"/>
      <c r="D101" s="84"/>
      <c r="E101" s="84"/>
      <c r="F101" s="84"/>
      <c r="G101" s="84"/>
      <c r="H101" s="84"/>
      <c r="I101" s="84"/>
    </row>
    <row r="102" spans="3:9">
      <c r="C102" s="84"/>
      <c r="D102" s="84"/>
      <c r="E102" s="84"/>
      <c r="F102" s="84"/>
      <c r="G102" s="84"/>
      <c r="H102" s="84"/>
      <c r="I102" s="84"/>
    </row>
    <row r="103" spans="3:9">
      <c r="C103" s="84"/>
      <c r="D103" s="84"/>
      <c r="E103" s="84"/>
      <c r="F103" s="84"/>
      <c r="G103" s="84"/>
      <c r="H103" s="84"/>
      <c r="I103" s="84"/>
    </row>
    <row r="104" spans="3:9">
      <c r="C104" s="84"/>
      <c r="D104" s="84"/>
      <c r="E104" s="84"/>
      <c r="F104" s="84"/>
      <c r="G104" s="84"/>
      <c r="H104" s="84"/>
      <c r="I104" s="84"/>
    </row>
    <row r="105" spans="3:9">
      <c r="C105" s="84"/>
      <c r="D105" s="84"/>
      <c r="E105" s="84"/>
      <c r="F105" s="84"/>
      <c r="G105" s="84"/>
      <c r="H105" s="84"/>
      <c r="I105" s="84"/>
    </row>
    <row r="106" spans="3:9">
      <c r="C106" s="84"/>
      <c r="D106" s="84"/>
      <c r="E106" s="84"/>
      <c r="F106" s="84"/>
      <c r="G106" s="84"/>
      <c r="H106" s="84"/>
      <c r="I106" s="84"/>
    </row>
    <row r="107" spans="3:9">
      <c r="C107" s="84"/>
      <c r="D107" s="84"/>
      <c r="E107" s="84"/>
      <c r="F107" s="84"/>
      <c r="G107" s="84"/>
      <c r="H107" s="84"/>
      <c r="I107" s="84"/>
    </row>
    <row r="108" spans="3:9">
      <c r="C108" s="84"/>
      <c r="D108" s="84"/>
      <c r="E108" s="84"/>
      <c r="F108" s="84"/>
      <c r="G108" s="84"/>
      <c r="H108" s="84"/>
      <c r="I108" s="84"/>
    </row>
    <row r="109" spans="3:9">
      <c r="C109" s="84"/>
      <c r="D109" s="84"/>
      <c r="E109" s="84"/>
      <c r="F109" s="84"/>
      <c r="G109" s="84"/>
      <c r="H109" s="84"/>
      <c r="I109" s="84"/>
    </row>
    <row r="110" spans="3:9">
      <c r="C110" s="84"/>
      <c r="D110" s="84"/>
      <c r="E110" s="84"/>
      <c r="F110" s="84"/>
      <c r="G110" s="84"/>
      <c r="H110" s="84"/>
      <c r="I110" s="84"/>
    </row>
    <row r="111" spans="3:9">
      <c r="C111" s="84"/>
      <c r="D111" s="84"/>
      <c r="E111" s="84"/>
      <c r="F111" s="84"/>
      <c r="G111" s="84"/>
      <c r="H111" s="84"/>
      <c r="I111" s="84"/>
    </row>
    <row r="112" spans="3:9">
      <c r="C112" s="84"/>
      <c r="D112" s="84"/>
      <c r="E112" s="84"/>
      <c r="F112" s="84"/>
      <c r="G112" s="84"/>
      <c r="H112" s="84"/>
      <c r="I112" s="84"/>
    </row>
  </sheetData>
  <mergeCells count="6">
    <mergeCell ref="A43:J43"/>
    <mergeCell ref="A1:M1"/>
    <mergeCell ref="A2:M2"/>
    <mergeCell ref="A3:M3"/>
    <mergeCell ref="A41:J41"/>
    <mergeCell ref="A42:J42"/>
  </mergeCells>
  <printOptions horizontalCentered="1"/>
  <pageMargins left="0" right="0" top="0.5" bottom="0" header="0" footer="0"/>
  <pageSetup scale="69" orientation="landscape" r:id="rId1"/>
  <rowBreaks count="1" manualBreakCount="1">
    <brk id="40" max="12" man="1"/>
  </rowBreaks>
</worksheet>
</file>

<file path=xl/worksheets/sheet3.xml><?xml version="1.0" encoding="utf-8"?>
<worksheet xmlns="http://schemas.openxmlformats.org/spreadsheetml/2006/main" xmlns:r="http://schemas.openxmlformats.org/officeDocument/2006/relationships">
  <dimension ref="A1:S104"/>
  <sheetViews>
    <sheetView view="pageBreakPreview" zoomScale="60" zoomScaleNormal="100" workbookViewId="0">
      <selection activeCell="N19" sqref="N19:N20"/>
    </sheetView>
  </sheetViews>
  <sheetFormatPr defaultColWidth="10.42578125" defaultRowHeight="15"/>
  <cols>
    <col min="1" max="1" width="2.7109375" style="44" customWidth="1"/>
    <col min="2" max="2" width="25.7109375" style="11" customWidth="1"/>
    <col min="3" max="3" width="15.5703125" style="11" bestFit="1" customWidth="1"/>
    <col min="4" max="4" width="16.140625" style="44" bestFit="1" customWidth="1"/>
    <col min="5" max="5" width="15.5703125" style="112" bestFit="1" customWidth="1"/>
    <col min="6" max="6" width="16.5703125" style="112" bestFit="1" customWidth="1"/>
    <col min="7" max="7" width="16.140625" style="112" bestFit="1" customWidth="1"/>
    <col min="8" max="8" width="15.5703125" style="112" bestFit="1" customWidth="1"/>
    <col min="9" max="9" width="14.7109375" style="112" bestFit="1" customWidth="1"/>
    <col min="10" max="11" width="15.140625" style="112" bestFit="1" customWidth="1"/>
    <col min="12" max="13" width="10.42578125" style="112"/>
    <col min="14" max="14" width="29" style="112" customWidth="1"/>
    <col min="15" max="16384" width="10.42578125" style="112"/>
  </cols>
  <sheetData>
    <row r="1" spans="1:19" ht="24" customHeight="1">
      <c r="A1" s="712" t="s">
        <v>980</v>
      </c>
      <c r="B1" s="712"/>
      <c r="C1" s="712"/>
      <c r="D1" s="712"/>
      <c r="E1" s="712"/>
      <c r="F1" s="712"/>
      <c r="G1" s="712"/>
      <c r="H1" s="712"/>
      <c r="I1" s="712"/>
      <c r="J1" s="712"/>
      <c r="K1" s="712"/>
      <c r="M1" s="132"/>
      <c r="N1" s="131"/>
      <c r="O1" s="131"/>
    </row>
    <row r="2" spans="1:19" ht="24" customHeight="1">
      <c r="A2" s="713" t="s">
        <v>1038</v>
      </c>
      <c r="B2" s="713"/>
      <c r="C2" s="713"/>
      <c r="D2" s="713"/>
      <c r="E2" s="713"/>
      <c r="F2" s="713"/>
      <c r="G2" s="713"/>
      <c r="H2" s="713"/>
      <c r="I2" s="713"/>
      <c r="J2" s="713"/>
      <c r="K2" s="713"/>
      <c r="L2" s="113"/>
      <c r="M2" s="113"/>
      <c r="N2" s="113"/>
      <c r="O2" s="113"/>
      <c r="P2" s="113"/>
      <c r="Q2" s="114"/>
      <c r="R2" s="114"/>
      <c r="S2" s="114"/>
    </row>
    <row r="3" spans="1:19" ht="24" customHeight="1">
      <c r="A3" s="712" t="s">
        <v>1341</v>
      </c>
      <c r="B3" s="712"/>
      <c r="C3" s="712"/>
      <c r="D3" s="712"/>
      <c r="E3" s="712"/>
      <c r="F3" s="712"/>
      <c r="G3" s="712"/>
      <c r="H3" s="712"/>
      <c r="I3" s="712"/>
      <c r="J3" s="712"/>
      <c r="K3" s="712"/>
      <c r="L3" s="114"/>
      <c r="M3" s="114"/>
      <c r="N3" s="114"/>
      <c r="O3" s="114"/>
      <c r="P3" s="114"/>
      <c r="Q3" s="114"/>
      <c r="R3" s="114"/>
      <c r="S3" s="114"/>
    </row>
    <row r="4" spans="1:19" ht="15" customHeight="1">
      <c r="A4" s="115"/>
      <c r="B4" s="115"/>
      <c r="C4" s="115"/>
      <c r="D4" s="115"/>
      <c r="E4" s="115"/>
      <c r="F4" s="115"/>
      <c r="G4" s="115"/>
      <c r="H4" s="115"/>
      <c r="L4" s="114"/>
      <c r="M4" s="114"/>
      <c r="N4" s="114"/>
      <c r="O4" s="114"/>
      <c r="P4" s="114"/>
      <c r="Q4" s="114"/>
      <c r="R4" s="114"/>
      <c r="S4" s="114"/>
    </row>
    <row r="5" spans="1:19" ht="15" customHeight="1">
      <c r="B5" s="12"/>
      <c r="C5" s="72"/>
      <c r="D5" s="72"/>
      <c r="E5" s="73" t="s">
        <v>283</v>
      </c>
      <c r="F5" s="72"/>
      <c r="G5" s="1"/>
      <c r="H5" s="1"/>
      <c r="I5" s="1"/>
      <c r="J5" s="1"/>
      <c r="K5" s="1"/>
    </row>
    <row r="6" spans="1:19" ht="15" customHeight="1">
      <c r="C6" s="72" t="s">
        <v>229</v>
      </c>
      <c r="D6" s="72" t="s">
        <v>282</v>
      </c>
      <c r="E6" s="55" t="s">
        <v>917</v>
      </c>
      <c r="F6" s="73" t="s">
        <v>283</v>
      </c>
      <c r="G6" s="73" t="s">
        <v>298</v>
      </c>
      <c r="H6" s="73" t="s">
        <v>299</v>
      </c>
      <c r="I6" s="73" t="s">
        <v>300</v>
      </c>
      <c r="J6" s="73" t="s">
        <v>1087</v>
      </c>
      <c r="K6" s="73" t="s">
        <v>1224</v>
      </c>
    </row>
    <row r="7" spans="1:19" ht="15" customHeight="1" thickBot="1">
      <c r="B7" s="98" t="s">
        <v>982</v>
      </c>
      <c r="C7" s="75" t="s">
        <v>1</v>
      </c>
      <c r="D7" s="75" t="s">
        <v>1</v>
      </c>
      <c r="E7" s="75" t="s">
        <v>871</v>
      </c>
      <c r="F7" s="75" t="s">
        <v>20</v>
      </c>
      <c r="G7" s="75" t="s">
        <v>917</v>
      </c>
      <c r="H7" s="75" t="s">
        <v>20</v>
      </c>
      <c r="I7" s="75" t="s">
        <v>20</v>
      </c>
      <c r="J7" s="75" t="s">
        <v>20</v>
      </c>
      <c r="K7" s="75" t="s">
        <v>20</v>
      </c>
    </row>
    <row r="8" spans="1:19" ht="15" customHeight="1">
      <c r="B8" s="24"/>
      <c r="C8" s="77"/>
      <c r="D8" s="77"/>
      <c r="E8" s="77"/>
      <c r="F8" s="77"/>
      <c r="G8" s="77"/>
      <c r="H8" s="77"/>
      <c r="I8" s="77"/>
      <c r="J8" s="77"/>
      <c r="K8" s="77"/>
    </row>
    <row r="9" spans="1:19" ht="24" customHeight="1">
      <c r="A9" s="670" t="s">
        <v>983</v>
      </c>
      <c r="C9" s="2">
        <f>'Fund Cover Sheets'!C39</f>
        <v>1270623</v>
      </c>
      <c r="D9" s="2">
        <f>'Fund Cover Sheets'!D39</f>
        <v>4223820</v>
      </c>
      <c r="E9" s="2">
        <f>'Fund Cover Sheets'!E39</f>
        <v>2541653</v>
      </c>
      <c r="F9" s="2">
        <f>'Fund Cover Sheets'!F39</f>
        <v>3717540</v>
      </c>
      <c r="G9" s="2">
        <f>'Fund Cover Sheets'!G39</f>
        <v>3874053</v>
      </c>
      <c r="H9" s="2">
        <f>'Fund Cover Sheets'!H39</f>
        <v>3640285</v>
      </c>
      <c r="I9" s="2">
        <f>'Fund Cover Sheets'!I39</f>
        <v>3091865</v>
      </c>
      <c r="J9" s="2">
        <f>'Fund Cover Sheets'!J39</f>
        <v>2086071</v>
      </c>
      <c r="K9" s="2">
        <f>'Fund Cover Sheets'!K39</f>
        <v>641694</v>
      </c>
    </row>
    <row r="10" spans="1:19" ht="15" customHeight="1">
      <c r="A10" s="116"/>
      <c r="C10" s="3"/>
      <c r="D10" s="3"/>
      <c r="E10" s="102"/>
      <c r="F10" s="102"/>
      <c r="G10" s="102"/>
      <c r="H10" s="102"/>
      <c r="I10" s="117"/>
      <c r="J10" s="117"/>
      <c r="K10" s="117"/>
    </row>
    <row r="11" spans="1:19" ht="15" customHeight="1">
      <c r="A11" s="116"/>
      <c r="C11" s="3"/>
      <c r="D11" s="3"/>
      <c r="E11" s="102"/>
      <c r="F11" s="102"/>
      <c r="G11" s="102"/>
      <c r="H11" s="102"/>
      <c r="I11" s="117"/>
      <c r="J11" s="117"/>
      <c r="K11" s="117"/>
    </row>
    <row r="12" spans="1:19" ht="15" customHeight="1">
      <c r="A12" s="116"/>
      <c r="C12" s="80"/>
      <c r="D12" s="80"/>
      <c r="E12" s="102"/>
      <c r="F12" s="102"/>
      <c r="G12" s="102"/>
      <c r="H12" s="102"/>
      <c r="I12" s="117"/>
      <c r="J12" s="117"/>
      <c r="K12" s="117"/>
    </row>
    <row r="13" spans="1:19" ht="24" customHeight="1">
      <c r="A13" s="78" t="s">
        <v>984</v>
      </c>
      <c r="B13" s="1"/>
      <c r="C13" s="80"/>
      <c r="D13" s="80"/>
      <c r="E13" s="102"/>
      <c r="F13" s="102"/>
      <c r="G13" s="102"/>
      <c r="H13" s="102"/>
      <c r="I13" s="117"/>
      <c r="J13" s="117"/>
      <c r="K13" s="117"/>
    </row>
    <row r="14" spans="1:19" ht="24" customHeight="1">
      <c r="A14" s="78"/>
      <c r="B14" s="1" t="s">
        <v>899</v>
      </c>
      <c r="C14" s="2">
        <f>'Fund Cover Sheets'!C172</f>
        <v>924857</v>
      </c>
      <c r="D14" s="2">
        <f>'Fund Cover Sheets'!D172</f>
        <v>1162506</v>
      </c>
      <c r="E14" s="2">
        <f>'Fund Cover Sheets'!E172</f>
        <v>605132</v>
      </c>
      <c r="F14" s="2">
        <f>'Fund Cover Sheets'!F172</f>
        <v>1000846</v>
      </c>
      <c r="G14" s="2">
        <f>'Fund Cover Sheets'!G172</f>
        <v>620347</v>
      </c>
      <c r="H14" s="2">
        <f>'Fund Cover Sheets'!H172</f>
        <v>383882</v>
      </c>
      <c r="I14" s="2">
        <f>'Fund Cover Sheets'!I172</f>
        <v>130433</v>
      </c>
      <c r="J14" s="2">
        <f>'Fund Cover Sheets'!J172</f>
        <v>4912</v>
      </c>
      <c r="K14" s="2">
        <f>'Fund Cover Sheets'!K172</f>
        <v>-74686</v>
      </c>
    </row>
    <row r="15" spans="1:19" s="119" customFormat="1" ht="24" customHeight="1">
      <c r="A15" s="79"/>
      <c r="B15" s="76" t="s">
        <v>985</v>
      </c>
      <c r="C15" s="118">
        <f>'Fund Cover Sheets'!C615</f>
        <v>280065</v>
      </c>
      <c r="D15" s="118">
        <f>'Fund Cover Sheets'!D615</f>
        <v>320370</v>
      </c>
      <c r="E15" s="118">
        <f>'Fund Cover Sheets'!E615</f>
        <v>322699</v>
      </c>
      <c r="F15" s="118">
        <f>'Fund Cover Sheets'!F615</f>
        <v>432308</v>
      </c>
      <c r="G15" s="118">
        <f>'Fund Cover Sheets'!G615</f>
        <v>286717</v>
      </c>
      <c r="H15" s="118">
        <f>'Fund Cover Sheets'!H615</f>
        <v>275812</v>
      </c>
      <c r="I15" s="118">
        <f>'Fund Cover Sheets'!I615</f>
        <v>282526</v>
      </c>
      <c r="J15" s="118">
        <f>'Fund Cover Sheets'!J615</f>
        <v>292344</v>
      </c>
      <c r="K15" s="118">
        <f>'Fund Cover Sheets'!K615</f>
        <v>302778</v>
      </c>
    </row>
    <row r="16" spans="1:19" s="119" customFormat="1" ht="24" customHeight="1">
      <c r="A16" s="79"/>
      <c r="B16" s="76" t="s">
        <v>748</v>
      </c>
      <c r="C16" s="2">
        <f>'Fund Cover Sheets'!C563</f>
        <v>-294778</v>
      </c>
      <c r="D16" s="2">
        <f>'Fund Cover Sheets'!D563</f>
        <v>121420</v>
      </c>
      <c r="E16" s="2">
        <f>'Fund Cover Sheets'!E563</f>
        <v>162581</v>
      </c>
      <c r="F16" s="2">
        <f>'Fund Cover Sheets'!F563</f>
        <v>188637</v>
      </c>
      <c r="G16" s="2">
        <f>'Fund Cover Sheets'!G563</f>
        <v>-145213</v>
      </c>
      <c r="H16" s="2">
        <f>'Fund Cover Sheets'!H563</f>
        <v>-385213</v>
      </c>
      <c r="I16" s="2">
        <f>'Fund Cover Sheets'!I563</f>
        <v>24787</v>
      </c>
      <c r="J16" s="2">
        <f>'Fund Cover Sheets'!J563</f>
        <v>34787</v>
      </c>
      <c r="K16" s="2">
        <f>'Fund Cover Sheets'!K563</f>
        <v>44787</v>
      </c>
    </row>
    <row r="17" spans="1:11" ht="24" customHeight="1">
      <c r="A17" s="79"/>
      <c r="B17" s="76" t="s">
        <v>869</v>
      </c>
      <c r="C17" s="118">
        <f>'Fund Cover Sheets'!C865</f>
        <v>0</v>
      </c>
      <c r="D17" s="118">
        <f>'Fund Cover Sheets'!D865</f>
        <v>0</v>
      </c>
      <c r="E17" s="118">
        <f>'Fund Cover Sheets'!E865</f>
        <v>0</v>
      </c>
      <c r="F17" s="118">
        <f>'Fund Cover Sheets'!F865</f>
        <v>0</v>
      </c>
      <c r="G17" s="118">
        <f>'Fund Cover Sheets'!G865</f>
        <v>0</v>
      </c>
      <c r="H17" s="118">
        <f>'Fund Cover Sheets'!H865</f>
        <v>0</v>
      </c>
      <c r="I17" s="118">
        <f>'Fund Cover Sheets'!I865</f>
        <v>0</v>
      </c>
      <c r="J17" s="118">
        <f>'Fund Cover Sheets'!J865</f>
        <v>0</v>
      </c>
      <c r="K17" s="118">
        <f>'Fund Cover Sheets'!K865</f>
        <v>0</v>
      </c>
    </row>
    <row r="18" spans="1:11" ht="24" customHeight="1">
      <c r="A18" s="79"/>
      <c r="B18" s="76" t="s">
        <v>647</v>
      </c>
      <c r="C18" s="2">
        <f>'Fund Cover Sheets'!C910</f>
        <v>1877872</v>
      </c>
      <c r="D18" s="2">
        <f>'Fund Cover Sheets'!D910</f>
        <v>1572335</v>
      </c>
      <c r="E18" s="2">
        <f>'Fund Cover Sheets'!E910</f>
        <v>-529634</v>
      </c>
      <c r="F18" s="2">
        <f>'Fund Cover Sheets'!F910</f>
        <v>-532672</v>
      </c>
      <c r="G18" s="2">
        <f>'Fund Cover Sheets'!G910</f>
        <v>-604070</v>
      </c>
      <c r="H18" s="2">
        <f>'Fund Cover Sheets'!H910</f>
        <v>-600826</v>
      </c>
      <c r="I18" s="2">
        <f>'Fund Cover Sheets'!I910</f>
        <v>-622939</v>
      </c>
      <c r="J18" s="2">
        <f>'Fund Cover Sheets'!J910</f>
        <v>-645052</v>
      </c>
      <c r="K18" s="2">
        <f>'Fund Cover Sheets'!K910</f>
        <v>-667165</v>
      </c>
    </row>
    <row r="19" spans="1:11" ht="24" customHeight="1">
      <c r="A19" s="79"/>
      <c r="B19" s="76" t="s">
        <v>653</v>
      </c>
      <c r="C19" s="2">
        <f>'Fund Cover Sheets'!C955</f>
        <v>257953</v>
      </c>
      <c r="D19" s="2">
        <f>'Fund Cover Sheets'!D955</f>
        <v>216937</v>
      </c>
      <c r="E19" s="2">
        <f>'Fund Cover Sheets'!E955</f>
        <v>251449</v>
      </c>
      <c r="F19" s="2">
        <f>'Fund Cover Sheets'!F955</f>
        <v>232973</v>
      </c>
      <c r="G19" s="2">
        <f>'Fund Cover Sheets'!G955</f>
        <v>265260</v>
      </c>
      <c r="H19" s="2">
        <f>'Fund Cover Sheets'!H955</f>
        <v>-13208</v>
      </c>
      <c r="I19" s="2">
        <f>'Fund Cover Sheets'!I955</f>
        <v>24069</v>
      </c>
      <c r="J19" s="2">
        <f>'Fund Cover Sheets'!J955</f>
        <v>61336</v>
      </c>
      <c r="K19" s="2">
        <f>'Fund Cover Sheets'!K955</f>
        <v>103603</v>
      </c>
    </row>
    <row r="20" spans="1:11" ht="24" customHeight="1">
      <c r="A20" s="79"/>
      <c r="B20" s="76" t="s">
        <v>986</v>
      </c>
      <c r="C20" s="2">
        <f>'Fund Cover Sheets'!C82</f>
        <v>17071</v>
      </c>
      <c r="D20" s="2">
        <f>'Fund Cover Sheets'!D82</f>
        <v>15124</v>
      </c>
      <c r="E20" s="2">
        <f>'Fund Cover Sheets'!E82</f>
        <v>11677</v>
      </c>
      <c r="F20" s="2">
        <f>'Fund Cover Sheets'!F82</f>
        <v>11221</v>
      </c>
      <c r="G20" s="2">
        <f>'Fund Cover Sheets'!G82</f>
        <v>154</v>
      </c>
      <c r="H20" s="2">
        <f>'Fund Cover Sheets'!H82</f>
        <v>-10913</v>
      </c>
      <c r="I20" s="2">
        <f>'Fund Cover Sheets'!I82</f>
        <v>-6980</v>
      </c>
      <c r="J20" s="2">
        <f>'Fund Cover Sheets'!J82</f>
        <v>-3047</v>
      </c>
      <c r="K20" s="2">
        <f>'Fund Cover Sheets'!K82</f>
        <v>886</v>
      </c>
    </row>
    <row r="21" spans="1:11" ht="24" customHeight="1">
      <c r="A21" s="79"/>
      <c r="B21" s="76" t="s">
        <v>987</v>
      </c>
      <c r="C21" s="101">
        <f>'Fund Cover Sheets'!C126</f>
        <v>12188</v>
      </c>
      <c r="D21" s="101">
        <f>'Fund Cover Sheets'!D126</f>
        <v>7740</v>
      </c>
      <c r="E21" s="101">
        <f>'Fund Cover Sheets'!E126</f>
        <v>560</v>
      </c>
      <c r="F21" s="101">
        <f>'Fund Cover Sheets'!F126</f>
        <v>224</v>
      </c>
      <c r="G21" s="101">
        <f>'Fund Cover Sheets'!G126</f>
        <v>-18345</v>
      </c>
      <c r="H21" s="101">
        <f>'Fund Cover Sheets'!H126</f>
        <v>-36914</v>
      </c>
      <c r="I21" s="101">
        <f>'Fund Cover Sheets'!I126</f>
        <v>-30483</v>
      </c>
      <c r="J21" s="101">
        <f>'Fund Cover Sheets'!J126</f>
        <v>-24052</v>
      </c>
      <c r="K21" s="101">
        <f>'Fund Cover Sheets'!K126</f>
        <v>-17621</v>
      </c>
    </row>
    <row r="22" spans="1:11">
      <c r="A22" s="79"/>
      <c r="B22" s="76"/>
      <c r="C22" s="80"/>
      <c r="D22" s="80"/>
      <c r="E22" s="80"/>
      <c r="F22" s="80"/>
      <c r="G22" s="80"/>
      <c r="H22" s="80"/>
      <c r="I22" s="80"/>
      <c r="J22" s="80"/>
      <c r="K22" s="80"/>
    </row>
    <row r="23" spans="1:11">
      <c r="A23" s="79"/>
      <c r="B23" s="76"/>
      <c r="C23" s="80"/>
      <c r="D23" s="80"/>
      <c r="E23" s="80"/>
      <c r="F23" s="80"/>
      <c r="G23" s="80"/>
      <c r="H23" s="80"/>
      <c r="I23" s="80"/>
      <c r="J23" s="80"/>
      <c r="K23" s="80"/>
    </row>
    <row r="24" spans="1:11">
      <c r="A24" s="79"/>
      <c r="B24" s="76"/>
      <c r="C24" s="101"/>
      <c r="D24" s="101"/>
      <c r="E24" s="101"/>
      <c r="F24" s="101"/>
      <c r="G24" s="101"/>
      <c r="H24" s="101"/>
      <c r="I24" s="101"/>
      <c r="J24" s="101"/>
      <c r="K24" s="101"/>
    </row>
    <row r="25" spans="1:11" ht="24" customHeight="1">
      <c r="A25" s="78" t="s">
        <v>988</v>
      </c>
      <c r="B25" s="71"/>
      <c r="C25" s="101">
        <f>'Fund Cover Sheets'!C405</f>
        <v>87510</v>
      </c>
      <c r="D25" s="101">
        <f>'Fund Cover Sheets'!D405</f>
        <v>12046</v>
      </c>
      <c r="E25" s="101">
        <f>'Fund Cover Sheets'!E405</f>
        <v>11611</v>
      </c>
      <c r="F25" s="101">
        <f>'Fund Cover Sheets'!F405</f>
        <v>4382</v>
      </c>
      <c r="G25" s="101">
        <f>'Fund Cover Sheets'!G405</f>
        <v>6207</v>
      </c>
      <c r="H25" s="101">
        <f>'Fund Cover Sheets'!H405</f>
        <v>0</v>
      </c>
      <c r="I25" s="101">
        <f>'Fund Cover Sheets'!I405</f>
        <v>0</v>
      </c>
      <c r="J25" s="101">
        <f>'Fund Cover Sheets'!J405</f>
        <v>0</v>
      </c>
      <c r="K25" s="101">
        <f>'Fund Cover Sheets'!K405</f>
        <v>0</v>
      </c>
    </row>
    <row r="26" spans="1:11">
      <c r="A26" s="78"/>
      <c r="B26" s="71"/>
      <c r="C26" s="101"/>
      <c r="D26" s="101"/>
      <c r="E26" s="101"/>
      <c r="F26" s="101"/>
      <c r="G26" s="101"/>
      <c r="H26" s="101"/>
      <c r="I26" s="101"/>
      <c r="J26" s="101"/>
      <c r="K26" s="101"/>
    </row>
    <row r="27" spans="1:11">
      <c r="A27" s="78"/>
      <c r="B27" s="71"/>
      <c r="C27" s="101"/>
      <c r="D27" s="101"/>
      <c r="E27" s="101"/>
      <c r="F27" s="101"/>
      <c r="G27" s="101"/>
      <c r="H27" s="101"/>
      <c r="I27" s="101"/>
      <c r="J27" s="101"/>
      <c r="K27" s="101"/>
    </row>
    <row r="28" spans="1:11">
      <c r="A28" s="79"/>
      <c r="B28" s="71"/>
      <c r="C28" s="101"/>
      <c r="D28" s="101"/>
      <c r="E28" s="101"/>
      <c r="F28" s="101"/>
      <c r="G28" s="101"/>
      <c r="H28" s="101"/>
      <c r="I28" s="101"/>
      <c r="J28" s="101"/>
      <c r="K28" s="101"/>
    </row>
    <row r="29" spans="1:11" ht="24" customHeight="1">
      <c r="A29" s="78" t="s">
        <v>989</v>
      </c>
      <c r="B29" s="71"/>
      <c r="C29" s="101"/>
      <c r="D29" s="101"/>
      <c r="E29" s="101"/>
      <c r="F29" s="101"/>
      <c r="G29" s="101"/>
      <c r="H29" s="101"/>
      <c r="I29" s="101"/>
      <c r="J29" s="101"/>
      <c r="K29" s="101"/>
    </row>
    <row r="30" spans="1:11" ht="24" customHeight="1">
      <c r="A30" s="78"/>
      <c r="B30" s="76" t="s">
        <v>990</v>
      </c>
      <c r="C30" s="101">
        <f>'Fund Cover Sheets'!C215</f>
        <v>-579374</v>
      </c>
      <c r="D30" s="101">
        <f>'Fund Cover Sheets'!D215</f>
        <v>-571615</v>
      </c>
      <c r="E30" s="101">
        <f>'Fund Cover Sheets'!E215</f>
        <v>0</v>
      </c>
      <c r="F30" s="101">
        <f>'Fund Cover Sheets'!F215</f>
        <v>0</v>
      </c>
      <c r="G30" s="101">
        <f>'Fund Cover Sheets'!G215</f>
        <v>0</v>
      </c>
      <c r="H30" s="101">
        <f>'Fund Cover Sheets'!H215</f>
        <v>0</v>
      </c>
      <c r="I30" s="101">
        <f>'Fund Cover Sheets'!I215</f>
        <v>0</v>
      </c>
      <c r="J30" s="101">
        <f>'Fund Cover Sheets'!J215</f>
        <v>0</v>
      </c>
      <c r="K30" s="101">
        <f>'Fund Cover Sheets'!K215</f>
        <v>0</v>
      </c>
    </row>
    <row r="31" spans="1:11" ht="24" customHeight="1">
      <c r="A31" s="79"/>
      <c r="B31" s="76" t="s">
        <v>1155</v>
      </c>
      <c r="C31" s="101">
        <f>'Fund Cover Sheets'!C360</f>
        <v>354595</v>
      </c>
      <c r="D31" s="101">
        <f>'Fund Cover Sheets'!D360</f>
        <v>175588</v>
      </c>
      <c r="E31" s="101">
        <f>'Fund Cover Sheets'!E360</f>
        <v>116558</v>
      </c>
      <c r="F31" s="101">
        <f>'Fund Cover Sheets'!F360</f>
        <v>124649</v>
      </c>
      <c r="G31" s="101">
        <f>'Fund Cover Sheets'!G360</f>
        <v>0</v>
      </c>
      <c r="H31" s="101">
        <f>'Fund Cover Sheets'!H360</f>
        <v>0</v>
      </c>
      <c r="I31" s="101">
        <f>'Fund Cover Sheets'!I360</f>
        <v>506</v>
      </c>
      <c r="J31" s="101">
        <f>'Fund Cover Sheets'!J360</f>
        <v>1012</v>
      </c>
      <c r="K31" s="101">
        <f>'Fund Cover Sheets'!K360</f>
        <v>1518</v>
      </c>
    </row>
    <row r="32" spans="1:11" ht="24" customHeight="1">
      <c r="A32" s="79"/>
      <c r="B32" s="76" t="s">
        <v>992</v>
      </c>
      <c r="C32" s="101">
        <f>'Fund Cover Sheets'!C274</f>
        <v>81196</v>
      </c>
      <c r="D32" s="101">
        <f>'Fund Cover Sheets'!D274</f>
        <v>328726</v>
      </c>
      <c r="E32" s="101">
        <f>'Fund Cover Sheets'!E274</f>
        <v>691053</v>
      </c>
      <c r="F32" s="101">
        <f>'Fund Cover Sheets'!F274</f>
        <v>661403</v>
      </c>
      <c r="G32" s="101">
        <f>'Fund Cover Sheets'!G274</f>
        <v>4662971</v>
      </c>
      <c r="H32" s="101">
        <f>'Fund Cover Sheets'!H274</f>
        <v>634717</v>
      </c>
      <c r="I32" s="101">
        <f>'Fund Cover Sheets'!I274</f>
        <v>47964</v>
      </c>
      <c r="J32" s="101">
        <f>'Fund Cover Sheets'!J274</f>
        <v>0</v>
      </c>
      <c r="K32" s="101">
        <f>'Fund Cover Sheets'!K274</f>
        <v>0</v>
      </c>
    </row>
    <row r="33" spans="1:11">
      <c r="A33" s="79"/>
      <c r="B33" s="76"/>
      <c r="C33" s="101"/>
      <c r="D33" s="101"/>
      <c r="E33" s="101"/>
      <c r="F33" s="101"/>
      <c r="G33" s="101"/>
      <c r="H33" s="101"/>
      <c r="I33" s="101"/>
      <c r="J33" s="101"/>
      <c r="K33" s="101"/>
    </row>
    <row r="34" spans="1:11">
      <c r="A34" s="79"/>
      <c r="B34" s="76"/>
      <c r="C34" s="101"/>
      <c r="D34" s="101"/>
      <c r="E34" s="101"/>
      <c r="F34" s="101"/>
      <c r="G34" s="101"/>
      <c r="H34" s="101"/>
      <c r="I34" s="101"/>
      <c r="J34" s="101"/>
      <c r="K34" s="101"/>
    </row>
    <row r="35" spans="1:11">
      <c r="A35" s="1"/>
      <c r="B35" s="76"/>
      <c r="C35" s="101"/>
      <c r="D35" s="101"/>
      <c r="E35" s="101"/>
      <c r="F35" s="101"/>
      <c r="G35" s="101"/>
      <c r="H35" s="101"/>
      <c r="I35" s="101"/>
      <c r="J35" s="101"/>
      <c r="K35" s="101"/>
    </row>
    <row r="36" spans="1:11" ht="24" customHeight="1">
      <c r="A36" s="78" t="s">
        <v>1039</v>
      </c>
      <c r="B36" s="76"/>
      <c r="C36" s="101"/>
      <c r="D36" s="101"/>
      <c r="E36" s="101"/>
      <c r="F36" s="101"/>
      <c r="G36" s="101"/>
      <c r="H36" s="101"/>
      <c r="I36" s="101"/>
      <c r="J36" s="101"/>
      <c r="K36" s="101"/>
    </row>
    <row r="37" spans="1:11" ht="24" customHeight="1">
      <c r="A37" s="1"/>
      <c r="B37" s="76" t="s">
        <v>746</v>
      </c>
      <c r="C37" s="101">
        <f>'Fund Cover Sheets'!C458</f>
        <v>1300837</v>
      </c>
      <c r="D37" s="101">
        <f>'Fund Cover Sheets'!D458</f>
        <v>1526679</v>
      </c>
      <c r="E37" s="101">
        <f>'Fund Cover Sheets'!E458</f>
        <v>1160768</v>
      </c>
      <c r="F37" s="101">
        <f>'Fund Cover Sheets'!F458</f>
        <v>1231317</v>
      </c>
      <c r="G37" s="101">
        <f>'Fund Cover Sheets'!G458</f>
        <v>976762</v>
      </c>
      <c r="H37" s="101">
        <f>'Fund Cover Sheets'!H458</f>
        <v>875650</v>
      </c>
      <c r="I37" s="101">
        <f>'Fund Cover Sheets'!I458</f>
        <v>768316</v>
      </c>
      <c r="J37" s="101">
        <f>'Fund Cover Sheets'!J458</f>
        <v>820929</v>
      </c>
      <c r="K37" s="101">
        <f>'Fund Cover Sheets'!K458</f>
        <v>1020993</v>
      </c>
    </row>
    <row r="38" spans="1:11" ht="24" customHeight="1">
      <c r="A38" s="1"/>
      <c r="B38" s="76" t="s">
        <v>747</v>
      </c>
      <c r="C38" s="101">
        <f>'Fund Cover Sheets'!C513</f>
        <v>3003537</v>
      </c>
      <c r="D38" s="101">
        <f>'Fund Cover Sheets'!D513</f>
        <v>2993332</v>
      </c>
      <c r="E38" s="101">
        <f>'Fund Cover Sheets'!E513</f>
        <v>2681077</v>
      </c>
      <c r="F38" s="101">
        <f>'Fund Cover Sheets'!F513</f>
        <v>2791294</v>
      </c>
      <c r="G38" s="101">
        <f>'Fund Cover Sheets'!G513</f>
        <v>1959540</v>
      </c>
      <c r="H38" s="101">
        <f>'Fund Cover Sheets'!H513</f>
        <v>1549193</v>
      </c>
      <c r="I38" s="101">
        <f>'Fund Cover Sheets'!I513</f>
        <v>1155002</v>
      </c>
      <c r="J38" s="101">
        <f>'Fund Cover Sheets'!J513</f>
        <v>773692</v>
      </c>
      <c r="K38" s="101">
        <f>'Fund Cover Sheets'!K513</f>
        <v>402547</v>
      </c>
    </row>
    <row r="39" spans="1:11" ht="24" customHeight="1">
      <c r="A39" s="1"/>
      <c r="B39" s="76" t="s">
        <v>673</v>
      </c>
      <c r="C39" s="101">
        <f>'Fund Cover Sheets'!C665</f>
        <v>-220001</v>
      </c>
      <c r="D39" s="101">
        <f>'Fund Cover Sheets'!D665</f>
        <v>-300420</v>
      </c>
      <c r="E39" s="101">
        <f>'Fund Cover Sheets'!E665</f>
        <v>0</v>
      </c>
      <c r="F39" s="101">
        <f>'Fund Cover Sheets'!F665</f>
        <v>0</v>
      </c>
      <c r="G39" s="101">
        <f>'Fund Cover Sheets'!G665</f>
        <v>0</v>
      </c>
      <c r="H39" s="101">
        <f>'Fund Cover Sheets'!H665</f>
        <v>0</v>
      </c>
      <c r="I39" s="101">
        <f>'Fund Cover Sheets'!I665</f>
        <v>0</v>
      </c>
      <c r="J39" s="101">
        <f>'Fund Cover Sheets'!J665</f>
        <v>0</v>
      </c>
      <c r="K39" s="101">
        <f>'Fund Cover Sheets'!K665</f>
        <v>0</v>
      </c>
    </row>
    <row r="40" spans="1:11">
      <c r="A40" s="1"/>
      <c r="B40" s="76"/>
      <c r="C40" s="101"/>
      <c r="D40" s="101"/>
      <c r="E40" s="101"/>
      <c r="F40" s="101"/>
      <c r="G40" s="101"/>
      <c r="H40" s="101"/>
      <c r="I40" s="101"/>
      <c r="J40" s="101"/>
      <c r="K40" s="101"/>
    </row>
    <row r="41" spans="1:11">
      <c r="A41" s="1"/>
      <c r="B41" s="76"/>
      <c r="C41" s="101"/>
      <c r="D41" s="101"/>
      <c r="E41" s="101"/>
      <c r="F41" s="101"/>
      <c r="G41" s="101"/>
      <c r="H41" s="101"/>
      <c r="I41" s="101"/>
      <c r="J41" s="101"/>
      <c r="K41" s="101"/>
    </row>
    <row r="42" spans="1:11">
      <c r="A42" s="1"/>
      <c r="B42" s="76"/>
      <c r="C42" s="101"/>
      <c r="D42" s="101"/>
      <c r="E42" s="101"/>
      <c r="F42" s="101"/>
      <c r="G42" s="101"/>
      <c r="H42" s="101"/>
      <c r="I42" s="101"/>
      <c r="J42" s="101"/>
      <c r="K42" s="101"/>
    </row>
    <row r="43" spans="1:11" ht="24" customHeight="1">
      <c r="A43" s="78" t="s">
        <v>994</v>
      </c>
      <c r="B43" s="76"/>
      <c r="C43" s="101"/>
      <c r="D43" s="101"/>
      <c r="E43" s="101"/>
      <c r="F43" s="101"/>
      <c r="G43" s="101"/>
      <c r="H43" s="101"/>
      <c r="I43" s="101"/>
      <c r="J43" s="101"/>
      <c r="K43" s="101"/>
    </row>
    <row r="44" spans="1:11" ht="24" customHeight="1">
      <c r="A44" s="78"/>
      <c r="B44" s="76" t="s">
        <v>734</v>
      </c>
      <c r="C44" s="101">
        <f>'Fund Cover Sheets'!C722</f>
        <v>388831</v>
      </c>
      <c r="D44" s="101">
        <f>'Fund Cover Sheets'!D722</f>
        <v>446136</v>
      </c>
      <c r="E44" s="101">
        <f>'Fund Cover Sheets'!E722</f>
        <v>407430</v>
      </c>
      <c r="F44" s="101">
        <f>'Fund Cover Sheets'!F722</f>
        <v>405551</v>
      </c>
      <c r="G44" s="101">
        <f>'Fund Cover Sheets'!G722</f>
        <v>354783</v>
      </c>
      <c r="H44" s="101">
        <f>'Fund Cover Sheets'!H722</f>
        <v>281683</v>
      </c>
      <c r="I44" s="101">
        <f>'Fund Cover Sheets'!I722</f>
        <v>186605</v>
      </c>
      <c r="J44" s="101">
        <f>'Fund Cover Sheets'!J722</f>
        <v>68674</v>
      </c>
      <c r="K44" s="101">
        <f>'Fund Cover Sheets'!K722</f>
        <v>-63097</v>
      </c>
    </row>
    <row r="45" spans="1:11" ht="24" customHeight="1">
      <c r="A45" s="78"/>
      <c r="B45" s="76" t="s">
        <v>639</v>
      </c>
      <c r="C45" s="101">
        <f>'Fund Cover Sheets'!C769</f>
        <v>-1821</v>
      </c>
      <c r="D45" s="101">
        <f>'Fund Cover Sheets'!D769</f>
        <v>0</v>
      </c>
      <c r="E45" s="101">
        <f>'Fund Cover Sheets'!E769</f>
        <v>2325</v>
      </c>
      <c r="F45" s="101">
        <f>'Fund Cover Sheets'!F769</f>
        <v>0</v>
      </c>
      <c r="G45" s="101">
        <f>'Fund Cover Sheets'!G769</f>
        <v>30</v>
      </c>
      <c r="H45" s="101">
        <f>'Fund Cover Sheets'!H769</f>
        <v>60</v>
      </c>
      <c r="I45" s="101">
        <f>'Fund Cover Sheets'!I769</f>
        <v>90</v>
      </c>
      <c r="J45" s="101">
        <f>'Fund Cover Sheets'!J769</f>
        <v>120</v>
      </c>
      <c r="K45" s="101">
        <f>'Fund Cover Sheets'!K769</f>
        <v>150</v>
      </c>
    </row>
    <row r="46" spans="1:11" ht="24" customHeight="1">
      <c r="A46" s="78"/>
      <c r="B46" s="76" t="s">
        <v>995</v>
      </c>
      <c r="C46" s="101">
        <f>'Fund Cover Sheets'!C818</f>
        <v>6794</v>
      </c>
      <c r="D46" s="101">
        <f>'Fund Cover Sheets'!D818</f>
        <v>15689</v>
      </c>
      <c r="E46" s="101">
        <f>'Fund Cover Sheets'!E818</f>
        <v>0</v>
      </c>
      <c r="F46" s="101">
        <f>'Fund Cover Sheets'!F818</f>
        <v>34995</v>
      </c>
      <c r="G46" s="101">
        <f>'Fund Cover Sheets'!G818</f>
        <v>0</v>
      </c>
      <c r="H46" s="101">
        <f>'Fund Cover Sheets'!H818</f>
        <v>0</v>
      </c>
      <c r="I46" s="101">
        <f>'Fund Cover Sheets'!I818</f>
        <v>0</v>
      </c>
      <c r="J46" s="101">
        <f>'Fund Cover Sheets'!J818</f>
        <v>0</v>
      </c>
      <c r="K46" s="101">
        <f>'Fund Cover Sheets'!K818</f>
        <v>0</v>
      </c>
    </row>
    <row r="47" spans="1:11">
      <c r="A47" s="78"/>
      <c r="B47" s="76"/>
      <c r="C47" s="101"/>
      <c r="D47" s="101"/>
      <c r="E47" s="101"/>
      <c r="F47" s="101"/>
      <c r="G47" s="101"/>
      <c r="H47" s="101"/>
      <c r="I47" s="101"/>
      <c r="J47" s="101"/>
      <c r="K47" s="101"/>
    </row>
    <row r="48" spans="1:11">
      <c r="B48" s="81"/>
      <c r="C48" s="120"/>
      <c r="D48" s="121"/>
      <c r="E48" s="121"/>
      <c r="F48" s="121"/>
      <c r="G48" s="118"/>
      <c r="H48" s="118"/>
      <c r="I48" s="117"/>
      <c r="J48" s="117"/>
      <c r="K48" s="117"/>
    </row>
    <row r="49" spans="1:12" ht="24" customHeight="1" thickBot="1">
      <c r="B49" s="108" t="s">
        <v>1037</v>
      </c>
      <c r="C49" s="110">
        <f t="shared" ref="C49:J49" si="0">SUM(C9:C48)</f>
        <v>8767955</v>
      </c>
      <c r="D49" s="110">
        <f t="shared" si="0"/>
        <v>12266413</v>
      </c>
      <c r="E49" s="110">
        <f>SUM(E9:E48)</f>
        <v>8436939</v>
      </c>
      <c r="F49" s="110">
        <f t="shared" si="0"/>
        <v>10304668</v>
      </c>
      <c r="G49" s="110">
        <f t="shared" si="0"/>
        <v>12239196</v>
      </c>
      <c r="H49" s="110">
        <f t="shared" si="0"/>
        <v>6594208</v>
      </c>
      <c r="I49" s="110">
        <f t="shared" si="0"/>
        <v>5051761</v>
      </c>
      <c r="J49" s="110">
        <f t="shared" si="0"/>
        <v>3471726</v>
      </c>
      <c r="K49" s="110">
        <f>SUM(K9:K48)</f>
        <v>1696387</v>
      </c>
    </row>
    <row r="50" spans="1:12" ht="15.75" thickTop="1">
      <c r="B50" s="1"/>
      <c r="C50" s="50"/>
      <c r="D50" s="117"/>
      <c r="E50" s="117"/>
      <c r="F50" s="117"/>
      <c r="G50" s="117"/>
      <c r="H50" s="117"/>
      <c r="I50" s="117"/>
      <c r="J50" s="117"/>
      <c r="K50" s="117"/>
    </row>
    <row r="51" spans="1:12">
      <c r="A51" s="122" t="s">
        <v>1040</v>
      </c>
      <c r="B51" s="123" t="s">
        <v>1173</v>
      </c>
      <c r="C51" s="50"/>
      <c r="D51" s="117"/>
      <c r="E51" s="117"/>
      <c r="F51" s="117"/>
      <c r="G51" s="117"/>
      <c r="H51" s="117"/>
      <c r="I51" s="117"/>
      <c r="J51" s="117"/>
      <c r="K51" s="117"/>
    </row>
    <row r="52" spans="1:12">
      <c r="B52" s="1"/>
      <c r="C52" s="50"/>
      <c r="D52" s="117"/>
      <c r="E52" s="117"/>
      <c r="F52" s="117"/>
      <c r="G52" s="117"/>
      <c r="H52" s="117"/>
      <c r="I52" s="117"/>
      <c r="J52" s="117"/>
      <c r="K52" s="117"/>
    </row>
    <row r="53" spans="1:12">
      <c r="B53" s="1"/>
      <c r="C53" s="50"/>
      <c r="D53" s="117"/>
      <c r="E53" s="117"/>
      <c r="F53" s="117"/>
      <c r="G53" s="117"/>
      <c r="H53" s="117"/>
      <c r="I53" s="117"/>
      <c r="J53" s="117"/>
      <c r="K53" s="117"/>
    </row>
    <row r="54" spans="1:12" s="481" customFormat="1">
      <c r="A54" s="139"/>
      <c r="B54" s="199"/>
      <c r="C54" s="480">
        <f>'Budget Detail FY 2012-19'!N1157+'Budget Detail FY 2012-19'!N1178+'Budget Detail FY 2012-19'!N1199</f>
        <v>8767955</v>
      </c>
      <c r="D54" s="480">
        <f>'Budget Detail FY 2012-19'!O1157+'Budget Detail FY 2012-19'!O1178+'Budget Detail FY 2012-19'!O1199</f>
        <v>12266413</v>
      </c>
      <c r="E54" s="480">
        <f>'Budget Detail FY 2012-19'!P1157+'Budget Detail FY 2012-19'!P1178+'Budget Detail FY 2012-19'!P1199</f>
        <v>8436939</v>
      </c>
      <c r="F54" s="480">
        <f>'Budget Detail FY 2012-19'!Q1157+'Budget Detail FY 2012-19'!Q1178+'Budget Detail FY 2012-19'!Q1199</f>
        <v>10304668</v>
      </c>
      <c r="G54" s="480">
        <f>'Budget Detail FY 2012-19'!R1157+'Budget Detail FY 2012-19'!R1178+'Budget Detail FY 2012-19'!R1199</f>
        <v>12239196</v>
      </c>
      <c r="H54" s="480">
        <f>'Budget Detail FY 2012-19'!S1157+'Budget Detail FY 2012-19'!S1178+'Budget Detail FY 2012-19'!S1199</f>
        <v>6594208</v>
      </c>
      <c r="I54" s="480">
        <f>'Budget Detail FY 2012-19'!T1157+'Budget Detail FY 2012-19'!T1178+'Budget Detail FY 2012-19'!T1199</f>
        <v>5051761</v>
      </c>
      <c r="J54" s="480">
        <f>'Budget Detail FY 2012-19'!U1157+'Budget Detail FY 2012-19'!U1178+'Budget Detail FY 2012-19'!U1199</f>
        <v>3471726</v>
      </c>
      <c r="K54" s="480">
        <f>'Budget Detail FY 2012-19'!V1157+'Budget Detail FY 2012-19'!V1178+'Budget Detail FY 2012-19'!V1199</f>
        <v>1696387</v>
      </c>
      <c r="L54" s="472" t="s">
        <v>1284</v>
      </c>
    </row>
    <row r="55" spans="1:12" s="479" customFormat="1">
      <c r="A55" s="142"/>
      <c r="B55" s="200"/>
      <c r="C55" s="165">
        <f>C49-C54</f>
        <v>0</v>
      </c>
      <c r="D55" s="165">
        <f t="shared" ref="D55:K55" si="1">D49-D54</f>
        <v>0</v>
      </c>
      <c r="E55" s="165">
        <f t="shared" si="1"/>
        <v>0</v>
      </c>
      <c r="F55" s="165">
        <f t="shared" si="1"/>
        <v>0</v>
      </c>
      <c r="G55" s="165">
        <f t="shared" si="1"/>
        <v>0</v>
      </c>
      <c r="H55" s="165">
        <f t="shared" si="1"/>
        <v>0</v>
      </c>
      <c r="I55" s="165">
        <f t="shared" si="1"/>
        <v>0</v>
      </c>
      <c r="J55" s="165">
        <f t="shared" si="1"/>
        <v>0</v>
      </c>
      <c r="K55" s="165">
        <f t="shared" si="1"/>
        <v>0</v>
      </c>
      <c r="L55" s="464" t="s">
        <v>1285</v>
      </c>
    </row>
    <row r="56" spans="1:12">
      <c r="B56" s="1"/>
      <c r="C56" s="50"/>
      <c r="D56" s="117"/>
      <c r="E56" s="117"/>
      <c r="F56" s="117"/>
      <c r="G56" s="117"/>
      <c r="H56" s="117"/>
      <c r="I56" s="117"/>
      <c r="J56" s="117"/>
      <c r="K56" s="117"/>
    </row>
    <row r="57" spans="1:12">
      <c r="B57" s="1"/>
      <c r="C57" s="50"/>
      <c r="D57" s="117"/>
      <c r="E57" s="117"/>
      <c r="F57" s="117"/>
      <c r="G57" s="117"/>
      <c r="H57" s="117"/>
      <c r="I57" s="117"/>
      <c r="J57" s="117"/>
      <c r="K57" s="117"/>
    </row>
    <row r="58" spans="1:12">
      <c r="C58" s="50"/>
      <c r="D58" s="117"/>
      <c r="E58" s="117"/>
      <c r="F58" s="117"/>
      <c r="G58" s="117"/>
      <c r="H58" s="117"/>
      <c r="I58" s="117"/>
      <c r="J58" s="117"/>
      <c r="K58" s="117"/>
    </row>
    <row r="59" spans="1:12">
      <c r="C59" s="50"/>
      <c r="D59" s="117"/>
      <c r="E59" s="117"/>
      <c r="F59" s="117"/>
      <c r="G59" s="117"/>
      <c r="H59" s="117"/>
      <c r="I59" s="117"/>
      <c r="J59" s="117"/>
      <c r="K59" s="117"/>
    </row>
    <row r="60" spans="1:12">
      <c r="C60" s="50"/>
      <c r="D60" s="117"/>
      <c r="E60" s="117"/>
      <c r="F60" s="117"/>
      <c r="G60" s="117"/>
      <c r="H60" s="117"/>
      <c r="I60" s="117"/>
      <c r="J60" s="117"/>
      <c r="K60" s="117"/>
    </row>
    <row r="61" spans="1:12">
      <c r="C61" s="50"/>
      <c r="D61" s="117"/>
      <c r="E61" s="117"/>
      <c r="F61" s="117"/>
      <c r="G61" s="117"/>
      <c r="H61" s="117"/>
      <c r="I61" s="117"/>
      <c r="J61" s="117"/>
      <c r="K61" s="117"/>
    </row>
    <row r="62" spans="1:12">
      <c r="C62" s="50"/>
      <c r="D62" s="117"/>
      <c r="E62" s="117"/>
      <c r="F62" s="117"/>
      <c r="G62" s="117"/>
      <c r="H62" s="117"/>
      <c r="I62" s="117"/>
      <c r="J62" s="117"/>
      <c r="K62" s="117"/>
    </row>
    <row r="63" spans="1:12">
      <c r="C63" s="50"/>
      <c r="D63" s="117"/>
      <c r="E63" s="117"/>
      <c r="F63" s="117"/>
      <c r="G63" s="117"/>
      <c r="H63" s="117"/>
      <c r="I63" s="117"/>
      <c r="J63" s="117"/>
      <c r="K63" s="117"/>
    </row>
    <row r="64" spans="1:12">
      <c r="C64" s="50"/>
      <c r="D64" s="117"/>
      <c r="E64" s="117"/>
      <c r="F64" s="117"/>
      <c r="G64" s="117"/>
      <c r="H64" s="117"/>
      <c r="I64" s="117"/>
      <c r="J64" s="117"/>
      <c r="K64" s="117"/>
    </row>
    <row r="65" spans="3:11">
      <c r="C65" s="50"/>
      <c r="D65" s="117"/>
      <c r="E65" s="117"/>
      <c r="F65" s="117"/>
      <c r="G65" s="117"/>
      <c r="H65" s="117"/>
      <c r="I65" s="117"/>
      <c r="J65" s="117"/>
      <c r="K65" s="117"/>
    </row>
    <row r="66" spans="3:11">
      <c r="C66" s="50"/>
      <c r="D66" s="117"/>
      <c r="E66" s="117"/>
      <c r="F66" s="117"/>
      <c r="G66" s="117"/>
      <c r="H66" s="117"/>
      <c r="I66" s="117"/>
      <c r="J66" s="117"/>
      <c r="K66" s="117"/>
    </row>
    <row r="67" spans="3:11">
      <c r="C67" s="50"/>
      <c r="D67" s="117"/>
      <c r="E67" s="117"/>
      <c r="F67" s="117"/>
      <c r="G67" s="117"/>
      <c r="H67" s="117"/>
      <c r="I67" s="117"/>
      <c r="J67" s="117"/>
      <c r="K67" s="117"/>
    </row>
    <row r="68" spans="3:11">
      <c r="C68" s="50"/>
      <c r="D68" s="117"/>
      <c r="E68" s="117"/>
      <c r="F68" s="117"/>
      <c r="G68" s="117"/>
      <c r="H68" s="117"/>
      <c r="I68" s="117"/>
      <c r="J68" s="117"/>
      <c r="K68" s="117"/>
    </row>
    <row r="69" spans="3:11">
      <c r="C69" s="50"/>
      <c r="D69" s="117"/>
      <c r="E69" s="117"/>
      <c r="F69" s="117"/>
      <c r="G69" s="117"/>
      <c r="H69" s="117"/>
      <c r="I69" s="117"/>
      <c r="J69" s="117"/>
      <c r="K69" s="117"/>
    </row>
    <row r="70" spans="3:11">
      <c r="C70" s="50"/>
      <c r="D70" s="117"/>
      <c r="E70" s="117"/>
      <c r="F70" s="117"/>
      <c r="G70" s="117"/>
      <c r="H70" s="117"/>
      <c r="I70" s="117"/>
      <c r="J70" s="117"/>
      <c r="K70" s="117"/>
    </row>
    <row r="71" spans="3:11">
      <c r="C71" s="50"/>
      <c r="D71" s="117"/>
      <c r="E71" s="117"/>
      <c r="F71" s="117"/>
      <c r="G71" s="117"/>
      <c r="H71" s="117"/>
      <c r="I71" s="117"/>
      <c r="J71" s="117"/>
      <c r="K71" s="117"/>
    </row>
    <row r="72" spans="3:11">
      <c r="C72" s="50"/>
      <c r="D72" s="117"/>
      <c r="E72" s="117"/>
      <c r="F72" s="117"/>
      <c r="G72" s="117"/>
      <c r="H72" s="117"/>
      <c r="I72" s="117"/>
      <c r="J72" s="117"/>
      <c r="K72" s="117"/>
    </row>
    <row r="73" spans="3:11">
      <c r="C73" s="50"/>
      <c r="D73" s="117"/>
      <c r="E73" s="117"/>
      <c r="F73" s="117"/>
      <c r="G73" s="117"/>
      <c r="H73" s="117"/>
      <c r="I73" s="117"/>
      <c r="J73" s="117"/>
      <c r="K73" s="117"/>
    </row>
    <row r="74" spans="3:11">
      <c r="C74" s="50"/>
      <c r="D74" s="117"/>
      <c r="E74" s="117"/>
      <c r="F74" s="117"/>
      <c r="G74" s="117"/>
      <c r="H74" s="117"/>
      <c r="I74" s="117"/>
      <c r="J74" s="117"/>
      <c r="K74" s="117"/>
    </row>
    <row r="75" spans="3:11">
      <c r="C75" s="50"/>
      <c r="D75" s="117"/>
      <c r="E75" s="117"/>
      <c r="F75" s="117"/>
      <c r="G75" s="117"/>
      <c r="H75" s="117"/>
      <c r="I75" s="117"/>
      <c r="J75" s="117"/>
      <c r="K75" s="117"/>
    </row>
    <row r="76" spans="3:11">
      <c r="C76" s="50"/>
      <c r="D76" s="117"/>
      <c r="E76" s="117"/>
      <c r="F76" s="117"/>
      <c r="G76" s="117"/>
      <c r="H76" s="117"/>
      <c r="I76" s="117"/>
      <c r="J76" s="117"/>
      <c r="K76" s="117"/>
    </row>
    <row r="77" spans="3:11">
      <c r="C77" s="50"/>
      <c r="D77" s="117"/>
      <c r="E77" s="117"/>
      <c r="F77" s="117"/>
      <c r="G77" s="117"/>
      <c r="H77" s="117"/>
      <c r="I77" s="117"/>
      <c r="J77" s="117"/>
      <c r="K77" s="117"/>
    </row>
    <row r="78" spans="3:11">
      <c r="E78" s="44"/>
      <c r="F78" s="44"/>
      <c r="G78" s="44"/>
      <c r="H78" s="44"/>
      <c r="I78" s="44"/>
      <c r="J78" s="44"/>
      <c r="K78" s="44"/>
    </row>
    <row r="79" spans="3:11">
      <c r="E79" s="44"/>
      <c r="F79" s="44"/>
      <c r="G79" s="44"/>
      <c r="H79" s="44"/>
      <c r="I79" s="44"/>
      <c r="J79" s="44"/>
      <c r="K79" s="44"/>
    </row>
    <row r="80" spans="3:11">
      <c r="E80" s="44"/>
      <c r="F80" s="44"/>
      <c r="G80" s="44"/>
      <c r="H80" s="44"/>
      <c r="I80" s="44"/>
      <c r="J80" s="44"/>
      <c r="K80" s="44"/>
    </row>
    <row r="81" spans="5:11">
      <c r="E81" s="44"/>
      <c r="F81" s="44"/>
      <c r="G81" s="44"/>
      <c r="H81" s="44"/>
      <c r="I81" s="44"/>
      <c r="J81" s="44"/>
      <c r="K81" s="44"/>
    </row>
    <row r="82" spans="5:11">
      <c r="E82" s="44"/>
      <c r="F82" s="44"/>
      <c r="G82" s="44"/>
      <c r="H82" s="44"/>
      <c r="I82" s="44"/>
      <c r="J82" s="44"/>
      <c r="K82" s="44"/>
    </row>
    <row r="83" spans="5:11">
      <c r="E83" s="44"/>
      <c r="F83" s="44"/>
      <c r="G83" s="44"/>
      <c r="H83" s="44"/>
      <c r="I83" s="44"/>
      <c r="J83" s="44"/>
      <c r="K83" s="44"/>
    </row>
    <row r="84" spans="5:11">
      <c r="E84" s="44"/>
      <c r="F84" s="44"/>
      <c r="G84" s="44"/>
      <c r="H84" s="44"/>
      <c r="I84" s="44"/>
      <c r="J84" s="44"/>
      <c r="K84" s="44"/>
    </row>
    <row r="85" spans="5:11">
      <c r="E85" s="44"/>
      <c r="F85" s="44"/>
      <c r="G85" s="44"/>
      <c r="H85" s="44"/>
      <c r="I85" s="44"/>
      <c r="J85" s="44"/>
      <c r="K85" s="44"/>
    </row>
    <row r="86" spans="5:11">
      <c r="E86" s="44"/>
      <c r="F86" s="44"/>
      <c r="G86" s="44"/>
      <c r="H86" s="44"/>
      <c r="I86" s="44"/>
      <c r="J86" s="44"/>
      <c r="K86" s="44"/>
    </row>
    <row r="87" spans="5:11">
      <c r="E87" s="44"/>
      <c r="F87" s="44"/>
      <c r="G87" s="44"/>
      <c r="H87" s="44"/>
      <c r="I87" s="44"/>
      <c r="J87" s="44"/>
      <c r="K87" s="44"/>
    </row>
    <row r="88" spans="5:11">
      <c r="E88" s="44"/>
      <c r="F88" s="44"/>
      <c r="G88" s="44"/>
      <c r="H88" s="44"/>
      <c r="I88" s="44"/>
      <c r="J88" s="44"/>
      <c r="K88" s="44"/>
    </row>
    <row r="89" spans="5:11">
      <c r="E89" s="44"/>
      <c r="F89" s="44"/>
      <c r="G89" s="44"/>
      <c r="H89" s="44"/>
      <c r="I89" s="44"/>
      <c r="J89" s="44"/>
      <c r="K89" s="44"/>
    </row>
    <row r="90" spans="5:11">
      <c r="E90" s="44"/>
      <c r="F90" s="44"/>
      <c r="G90" s="44"/>
      <c r="H90" s="44"/>
      <c r="I90" s="44"/>
      <c r="J90" s="44"/>
      <c r="K90" s="44"/>
    </row>
    <row r="91" spans="5:11">
      <c r="E91" s="44"/>
      <c r="F91" s="44"/>
      <c r="G91" s="44"/>
      <c r="H91" s="44"/>
      <c r="I91" s="44"/>
      <c r="J91" s="44"/>
      <c r="K91" s="44"/>
    </row>
    <row r="92" spans="5:11">
      <c r="E92" s="44"/>
      <c r="F92" s="44"/>
      <c r="G92" s="44"/>
      <c r="H92" s="44"/>
      <c r="I92" s="44"/>
      <c r="J92" s="44"/>
      <c r="K92" s="44"/>
    </row>
    <row r="93" spans="5:11">
      <c r="E93" s="44"/>
      <c r="F93" s="44"/>
      <c r="G93" s="44"/>
      <c r="H93" s="44"/>
      <c r="I93" s="44"/>
      <c r="J93" s="44"/>
      <c r="K93" s="44"/>
    </row>
    <row r="94" spans="5:11">
      <c r="E94" s="44"/>
      <c r="F94" s="44"/>
      <c r="G94" s="44"/>
      <c r="H94" s="44"/>
      <c r="I94" s="44"/>
      <c r="J94" s="44"/>
      <c r="K94" s="44"/>
    </row>
    <row r="95" spans="5:11">
      <c r="E95" s="44"/>
      <c r="F95" s="44"/>
      <c r="G95" s="44"/>
      <c r="H95" s="44"/>
      <c r="I95" s="44"/>
      <c r="J95" s="44"/>
      <c r="K95" s="44"/>
    </row>
    <row r="96" spans="5:11">
      <c r="E96" s="44"/>
      <c r="F96" s="44"/>
      <c r="G96" s="44"/>
      <c r="H96" s="44"/>
      <c r="I96" s="44"/>
      <c r="J96" s="44"/>
      <c r="K96" s="44"/>
    </row>
    <row r="97" spans="5:11">
      <c r="E97" s="44"/>
      <c r="F97" s="44"/>
      <c r="G97" s="44"/>
      <c r="H97" s="44"/>
      <c r="I97" s="44"/>
      <c r="J97" s="44"/>
      <c r="K97" s="44"/>
    </row>
    <row r="98" spans="5:11">
      <c r="E98" s="44"/>
      <c r="F98" s="44"/>
      <c r="G98" s="44"/>
      <c r="H98" s="44"/>
      <c r="I98" s="44"/>
      <c r="J98" s="44"/>
      <c r="K98" s="44"/>
    </row>
    <row r="99" spans="5:11">
      <c r="E99" s="44"/>
      <c r="F99" s="44"/>
      <c r="G99" s="44"/>
      <c r="H99" s="44"/>
      <c r="I99" s="44"/>
      <c r="J99" s="44"/>
      <c r="K99" s="44"/>
    </row>
    <row r="100" spans="5:11">
      <c r="E100" s="44"/>
      <c r="F100" s="44"/>
      <c r="G100" s="44"/>
      <c r="H100" s="44"/>
      <c r="I100" s="44"/>
      <c r="J100" s="44"/>
      <c r="K100" s="44"/>
    </row>
    <row r="101" spans="5:11">
      <c r="E101" s="44"/>
      <c r="F101" s="44"/>
      <c r="G101" s="44"/>
      <c r="H101" s="44"/>
      <c r="I101" s="44"/>
      <c r="J101" s="44"/>
      <c r="K101" s="44"/>
    </row>
    <row r="102" spans="5:11">
      <c r="E102" s="44"/>
      <c r="F102" s="44"/>
      <c r="G102" s="44"/>
      <c r="H102" s="44"/>
      <c r="I102" s="44"/>
      <c r="J102" s="44"/>
      <c r="K102" s="44"/>
    </row>
    <row r="103" spans="5:11">
      <c r="E103" s="44"/>
      <c r="F103" s="44"/>
      <c r="G103" s="44"/>
      <c r="H103" s="44"/>
      <c r="I103" s="44"/>
      <c r="J103" s="44"/>
      <c r="K103" s="44"/>
    </row>
    <row r="104" spans="5:11">
      <c r="E104" s="44"/>
      <c r="F104" s="44"/>
      <c r="G104" s="44"/>
      <c r="H104" s="44"/>
      <c r="I104" s="44"/>
      <c r="J104" s="44"/>
      <c r="K104" s="44"/>
    </row>
  </sheetData>
  <mergeCells count="3">
    <mergeCell ref="A1:K1"/>
    <mergeCell ref="A2:K2"/>
    <mergeCell ref="A3:K3"/>
  </mergeCells>
  <printOptions horizontalCentered="1"/>
  <pageMargins left="0.5" right="0.1" top="0.5" bottom="0" header="0" footer="0"/>
  <pageSetup scale="60" orientation="portrait" r:id="rId1"/>
</worksheet>
</file>

<file path=xl/worksheets/sheet4.xml><?xml version="1.0" encoding="utf-8"?>
<worksheet xmlns="http://schemas.openxmlformats.org/spreadsheetml/2006/main" xmlns:r="http://schemas.openxmlformats.org/officeDocument/2006/relationships">
  <dimension ref="A1:Q73"/>
  <sheetViews>
    <sheetView view="pageBreakPreview" zoomScale="60" zoomScaleNormal="100" workbookViewId="0">
      <selection activeCell="B45" sqref="B45"/>
    </sheetView>
  </sheetViews>
  <sheetFormatPr defaultColWidth="10.42578125" defaultRowHeight="15"/>
  <cols>
    <col min="1" max="1" width="2.7109375" style="44" customWidth="1"/>
    <col min="2" max="2" width="26.7109375" style="11" customWidth="1"/>
    <col min="3" max="3" width="2.7109375" style="11" customWidth="1"/>
    <col min="4" max="4" width="16.5703125" style="11" bestFit="1" customWidth="1"/>
    <col min="5" max="5" width="2.7109375" style="11" customWidth="1"/>
    <col min="6" max="6" width="17" style="11" bestFit="1" customWidth="1"/>
    <col min="7" max="7" width="2.7109375" style="11" customWidth="1"/>
    <col min="8" max="8" width="17" style="11" bestFit="1" customWidth="1"/>
    <col min="9" max="9" width="2.7109375" style="11" customWidth="1"/>
    <col min="10" max="10" width="15.140625" style="11" bestFit="1" customWidth="1"/>
    <col min="11" max="11" width="2.7109375" style="11" customWidth="1"/>
    <col min="12" max="12" width="16.140625" style="44" bestFit="1" customWidth="1"/>
    <col min="13" max="13" width="6.85546875" style="96" customWidth="1"/>
    <col min="14" max="14" width="12.28515625" style="44" bestFit="1" customWidth="1"/>
    <col min="15" max="15" width="10.5703125" style="44" bestFit="1" customWidth="1"/>
    <col min="16" max="16" width="12.28515625" style="44" bestFit="1" customWidth="1"/>
    <col min="17" max="17" width="10.5703125" style="44" bestFit="1" customWidth="1"/>
    <col min="18" max="16384" width="10.42578125" style="44"/>
  </cols>
  <sheetData>
    <row r="1" spans="1:13" ht="18.75">
      <c r="B1" s="712" t="s">
        <v>980</v>
      </c>
      <c r="C1" s="712"/>
      <c r="D1" s="712"/>
      <c r="E1" s="712"/>
      <c r="F1" s="712"/>
      <c r="G1" s="712"/>
      <c r="H1" s="712"/>
      <c r="I1" s="712"/>
      <c r="J1" s="712"/>
      <c r="K1" s="712"/>
      <c r="L1" s="712"/>
    </row>
    <row r="2" spans="1:13" ht="22.5">
      <c r="B2" s="713" t="s">
        <v>1342</v>
      </c>
      <c r="C2" s="713"/>
      <c r="D2" s="713"/>
      <c r="E2" s="713"/>
      <c r="F2" s="713"/>
      <c r="G2" s="713"/>
      <c r="H2" s="713"/>
      <c r="I2" s="713"/>
      <c r="J2" s="713"/>
      <c r="K2" s="713"/>
      <c r="L2" s="713"/>
    </row>
    <row r="3" spans="1:13" ht="18.75">
      <c r="B3" s="712" t="s">
        <v>1029</v>
      </c>
      <c r="C3" s="712"/>
      <c r="D3" s="712"/>
      <c r="E3" s="712"/>
      <c r="F3" s="712"/>
      <c r="G3" s="712"/>
      <c r="H3" s="712"/>
      <c r="I3" s="712"/>
      <c r="J3" s="712"/>
      <c r="K3" s="712"/>
      <c r="L3" s="712"/>
    </row>
    <row r="4" spans="1:13">
      <c r="B4" s="12"/>
      <c r="C4" s="12"/>
      <c r="D4" s="12"/>
      <c r="E4" s="12"/>
      <c r="F4" s="12"/>
      <c r="G4" s="12"/>
      <c r="H4" s="12"/>
      <c r="I4" s="12"/>
      <c r="J4" s="12"/>
      <c r="K4" s="12"/>
      <c r="L4" s="97"/>
    </row>
    <row r="5" spans="1:13">
      <c r="C5" s="12"/>
      <c r="D5" s="12" t="s">
        <v>1030</v>
      </c>
      <c r="E5" s="12"/>
      <c r="F5" s="13" t="s">
        <v>1031</v>
      </c>
      <c r="G5" s="12"/>
      <c r="H5" s="12" t="s">
        <v>1032</v>
      </c>
      <c r="I5" s="13"/>
      <c r="J5" s="13" t="s">
        <v>1033</v>
      </c>
      <c r="K5" s="13"/>
      <c r="L5" s="13" t="s">
        <v>1034</v>
      </c>
    </row>
    <row r="6" spans="1:13" ht="15.75" thickBot="1">
      <c r="B6" s="98" t="s">
        <v>982</v>
      </c>
      <c r="C6" s="99"/>
      <c r="D6" s="99" t="s">
        <v>662</v>
      </c>
      <c r="E6" s="98"/>
      <c r="F6" s="98" t="s">
        <v>1035</v>
      </c>
      <c r="G6" s="98"/>
      <c r="H6" s="98" t="s">
        <v>659</v>
      </c>
      <c r="I6" s="98"/>
      <c r="J6" s="98" t="s">
        <v>1036</v>
      </c>
      <c r="K6" s="98"/>
      <c r="L6" s="98" t="s">
        <v>662</v>
      </c>
    </row>
    <row r="7" spans="1:13">
      <c r="B7" s="24"/>
      <c r="C7" s="100"/>
      <c r="D7" s="100"/>
      <c r="E7" s="24"/>
      <c r="F7" s="24"/>
      <c r="G7" s="24"/>
      <c r="H7" s="24"/>
      <c r="I7" s="24"/>
      <c r="J7" s="24"/>
      <c r="K7" s="24"/>
      <c r="L7" s="24"/>
    </row>
    <row r="8" spans="1:13" ht="24" customHeight="1">
      <c r="A8" s="78" t="s">
        <v>983</v>
      </c>
      <c r="B8" s="1"/>
      <c r="C8" s="84"/>
      <c r="D8" s="101">
        <f>'Fund Cover Sheets'!F39</f>
        <v>3717540</v>
      </c>
      <c r="E8" s="101"/>
      <c r="F8" s="101">
        <f>'Fund Cover Sheets'!G20</f>
        <v>13726625</v>
      </c>
      <c r="G8" s="101"/>
      <c r="H8" s="101">
        <f>'Fund Cover Sheets'!G31</f>
        <v>13570112</v>
      </c>
      <c r="I8" s="101"/>
      <c r="J8" s="101">
        <f>F8-H8</f>
        <v>156513</v>
      </c>
      <c r="K8" s="101"/>
      <c r="L8" s="102">
        <f>D8+J8</f>
        <v>3874053</v>
      </c>
      <c r="M8" s="103"/>
    </row>
    <row r="9" spans="1:13">
      <c r="A9" s="78"/>
      <c r="B9" s="1"/>
      <c r="C9" s="104"/>
      <c r="D9" s="80"/>
      <c r="E9" s="80"/>
      <c r="F9" s="80"/>
      <c r="G9" s="80"/>
      <c r="H9" s="80"/>
      <c r="I9" s="80"/>
      <c r="J9" s="80"/>
      <c r="K9" s="80"/>
      <c r="L9" s="102"/>
      <c r="M9" s="103"/>
    </row>
    <row r="10" spans="1:13" ht="24" customHeight="1">
      <c r="A10" s="78" t="s">
        <v>984</v>
      </c>
      <c r="B10" s="1"/>
      <c r="C10" s="104"/>
      <c r="D10" s="80"/>
      <c r="E10" s="80"/>
      <c r="F10" s="80"/>
      <c r="G10" s="80"/>
      <c r="H10" s="80"/>
      <c r="I10" s="80"/>
      <c r="J10" s="80"/>
      <c r="K10" s="80"/>
      <c r="L10" s="102"/>
      <c r="M10" s="103"/>
    </row>
    <row r="11" spans="1:13" ht="24" customHeight="1">
      <c r="A11" s="78"/>
      <c r="B11" s="1" t="s">
        <v>899</v>
      </c>
      <c r="C11" s="104"/>
      <c r="D11" s="80">
        <f>'Fund Cover Sheets'!F172</f>
        <v>1000846</v>
      </c>
      <c r="E11" s="80"/>
      <c r="F11" s="80">
        <f>'Fund Cover Sheets'!G156</f>
        <v>483000</v>
      </c>
      <c r="G11" s="80"/>
      <c r="H11" s="101">
        <f>'Fund Cover Sheets'!G164</f>
        <v>863499</v>
      </c>
      <c r="I11" s="80"/>
      <c r="J11" s="101">
        <f t="shared" ref="J11:J17" si="0">F11-H11</f>
        <v>-380499</v>
      </c>
      <c r="K11" s="80"/>
      <c r="L11" s="102">
        <f t="shared" ref="L11:L19" si="1">D11+J11</f>
        <v>620347</v>
      </c>
      <c r="M11" s="103"/>
    </row>
    <row r="12" spans="1:13" ht="24" customHeight="1">
      <c r="A12" s="79"/>
      <c r="B12" s="76" t="s">
        <v>985</v>
      </c>
      <c r="C12" s="104"/>
      <c r="D12" s="80">
        <f>'Fund Cover Sheets'!F615</f>
        <v>432308</v>
      </c>
      <c r="E12" s="80"/>
      <c r="F12" s="80">
        <f>'Fund Cover Sheets'!G597</f>
        <v>1765856</v>
      </c>
      <c r="G12" s="80"/>
      <c r="H12" s="101">
        <f>'Fund Cover Sheets'!G607</f>
        <v>1911447</v>
      </c>
      <c r="I12" s="80"/>
      <c r="J12" s="101">
        <f t="shared" si="0"/>
        <v>-145591</v>
      </c>
      <c r="K12" s="80"/>
      <c r="L12" s="102">
        <f t="shared" si="1"/>
        <v>286717</v>
      </c>
      <c r="M12" s="103"/>
    </row>
    <row r="13" spans="1:13" ht="24" customHeight="1">
      <c r="A13" s="79"/>
      <c r="B13" s="76" t="s">
        <v>748</v>
      </c>
      <c r="C13" s="104"/>
      <c r="D13" s="80">
        <f>'Fund Cover Sheets'!F563</f>
        <v>188637</v>
      </c>
      <c r="E13" s="80"/>
      <c r="F13" s="80">
        <f>'Fund Cover Sheets'!G548</f>
        <v>73000</v>
      </c>
      <c r="G13" s="80"/>
      <c r="H13" s="80">
        <f>'Fund Cover Sheets'!G555</f>
        <v>406850</v>
      </c>
      <c r="I13" s="80"/>
      <c r="J13" s="101">
        <f t="shared" si="0"/>
        <v>-333850</v>
      </c>
      <c r="K13" s="80"/>
      <c r="L13" s="102">
        <f t="shared" si="1"/>
        <v>-145213</v>
      </c>
      <c r="M13" s="103"/>
    </row>
    <row r="14" spans="1:13" ht="24" customHeight="1">
      <c r="A14" s="79"/>
      <c r="B14" s="76" t="s">
        <v>647</v>
      </c>
      <c r="C14" s="104"/>
      <c r="D14" s="80">
        <f>'Fund Cover Sheets'!F910</f>
        <v>-532672</v>
      </c>
      <c r="E14" s="105"/>
      <c r="F14" s="80">
        <f>'Fund Cover Sheets'!G895</f>
        <v>20000</v>
      </c>
      <c r="G14" s="105"/>
      <c r="H14" s="80">
        <f>'Fund Cover Sheets'!G902</f>
        <v>91398</v>
      </c>
      <c r="I14" s="105"/>
      <c r="J14" s="101">
        <f t="shared" si="0"/>
        <v>-71398</v>
      </c>
      <c r="K14" s="105"/>
      <c r="L14" s="102">
        <f t="shared" si="1"/>
        <v>-604070</v>
      </c>
      <c r="M14" s="103"/>
    </row>
    <row r="15" spans="1:13" ht="24" customHeight="1">
      <c r="A15" s="79"/>
      <c r="B15" s="76" t="s">
        <v>653</v>
      </c>
      <c r="C15" s="104"/>
      <c r="D15" s="80">
        <f>'Fund Cover Sheets'!F955</f>
        <v>232973</v>
      </c>
      <c r="E15" s="106"/>
      <c r="F15" s="80">
        <f>'Fund Cover Sheets'!G940</f>
        <v>85075</v>
      </c>
      <c r="G15" s="106"/>
      <c r="H15" s="80">
        <f>'Fund Cover Sheets'!G947</f>
        <v>52788</v>
      </c>
      <c r="I15" s="106"/>
      <c r="J15" s="101">
        <f t="shared" si="0"/>
        <v>32287</v>
      </c>
      <c r="K15" s="106"/>
      <c r="L15" s="102">
        <f t="shared" si="1"/>
        <v>265260</v>
      </c>
      <c r="M15" s="103"/>
    </row>
    <row r="16" spans="1:13" ht="24" customHeight="1">
      <c r="A16" s="79"/>
      <c r="B16" s="76" t="s">
        <v>986</v>
      </c>
      <c r="C16" s="94"/>
      <c r="D16" s="80">
        <f>'Fund Cover Sheets'!F82</f>
        <v>11221</v>
      </c>
      <c r="E16" s="3"/>
      <c r="F16" s="3">
        <f>'Fund Cover Sheets'!G68</f>
        <v>8536</v>
      </c>
      <c r="G16" s="3"/>
      <c r="H16" s="3">
        <f>'Fund Cover Sheets'!G74</f>
        <v>19603</v>
      </c>
      <c r="I16" s="3"/>
      <c r="J16" s="101">
        <f t="shared" si="0"/>
        <v>-11067</v>
      </c>
      <c r="K16" s="3"/>
      <c r="L16" s="102">
        <f t="shared" si="1"/>
        <v>154</v>
      </c>
      <c r="M16" s="103"/>
    </row>
    <row r="17" spans="1:13" ht="24" customHeight="1">
      <c r="A17" s="79"/>
      <c r="B17" s="76" t="s">
        <v>987</v>
      </c>
      <c r="C17" s="94"/>
      <c r="D17" s="80">
        <f>'Fund Cover Sheets'!F126</f>
        <v>224</v>
      </c>
      <c r="E17" s="9"/>
      <c r="F17" s="3">
        <f>'Fund Cover Sheets'!G112</f>
        <v>17416</v>
      </c>
      <c r="G17" s="9"/>
      <c r="H17" s="3">
        <f>'Fund Cover Sheets'!G118</f>
        <v>35985</v>
      </c>
      <c r="I17" s="9"/>
      <c r="J17" s="101">
        <f t="shared" si="0"/>
        <v>-18569</v>
      </c>
      <c r="K17" s="9"/>
      <c r="L17" s="102">
        <f t="shared" si="1"/>
        <v>-18345</v>
      </c>
      <c r="M17" s="103"/>
    </row>
    <row r="18" spans="1:13">
      <c r="A18" s="79"/>
      <c r="B18" s="76"/>
      <c r="C18" s="94"/>
      <c r="D18" s="3"/>
      <c r="E18" s="3"/>
      <c r="F18" s="3"/>
      <c r="G18" s="3"/>
      <c r="H18" s="3"/>
      <c r="I18" s="3"/>
      <c r="J18" s="101"/>
      <c r="K18" s="3"/>
      <c r="L18" s="102"/>
      <c r="M18" s="103"/>
    </row>
    <row r="19" spans="1:13" ht="24" customHeight="1">
      <c r="A19" s="78" t="s">
        <v>988</v>
      </c>
      <c r="B19" s="71"/>
      <c r="C19" s="104"/>
      <c r="D19" s="80">
        <f>'Fund Cover Sheets'!F405</f>
        <v>4382</v>
      </c>
      <c r="E19" s="80"/>
      <c r="F19" s="80">
        <f>'Fund Cover Sheets'!G390</f>
        <v>332179</v>
      </c>
      <c r="G19" s="80"/>
      <c r="H19" s="80">
        <f>'Fund Cover Sheets'!G397</f>
        <v>330354</v>
      </c>
      <c r="I19" s="80"/>
      <c r="J19" s="101">
        <f>F19-H19</f>
        <v>1825</v>
      </c>
      <c r="K19" s="80"/>
      <c r="L19" s="102">
        <f t="shared" si="1"/>
        <v>6207</v>
      </c>
      <c r="M19" s="103"/>
    </row>
    <row r="20" spans="1:13">
      <c r="A20" s="79"/>
      <c r="B20" s="71"/>
      <c r="C20" s="94"/>
      <c r="D20" s="3"/>
      <c r="E20" s="107"/>
      <c r="F20" s="3"/>
      <c r="G20" s="107"/>
      <c r="H20" s="107"/>
      <c r="I20" s="107"/>
      <c r="J20" s="101"/>
      <c r="K20" s="107"/>
      <c r="L20" s="102"/>
      <c r="M20" s="103"/>
    </row>
    <row r="21" spans="1:13" ht="24" customHeight="1">
      <c r="A21" s="78" t="s">
        <v>989</v>
      </c>
      <c r="B21" s="71"/>
      <c r="C21" s="94"/>
      <c r="D21" s="3"/>
      <c r="E21" s="3"/>
      <c r="F21" s="3"/>
      <c r="G21" s="3"/>
      <c r="H21" s="3"/>
      <c r="I21" s="3"/>
      <c r="J21" s="101"/>
      <c r="K21" s="3"/>
      <c r="L21" s="102"/>
      <c r="M21" s="103"/>
    </row>
    <row r="22" spans="1:13" ht="24" customHeight="1">
      <c r="A22" s="78"/>
      <c r="B22" s="76" t="s">
        <v>990</v>
      </c>
      <c r="C22" s="94"/>
      <c r="D22" s="3">
        <f>'Fund Cover Sheets'!F215</f>
        <v>0</v>
      </c>
      <c r="E22" s="3"/>
      <c r="F22" s="3">
        <f>'Fund Cover Sheets'!G201</f>
        <v>0</v>
      </c>
      <c r="G22" s="3"/>
      <c r="H22" s="3">
        <f>'Fund Cover Sheets'!G207</f>
        <v>0</v>
      </c>
      <c r="I22" s="3"/>
      <c r="J22" s="101">
        <f>F22-H22</f>
        <v>0</v>
      </c>
      <c r="K22" s="3"/>
      <c r="L22" s="102">
        <f>D22+J22</f>
        <v>0</v>
      </c>
      <c r="M22" s="103"/>
    </row>
    <row r="23" spans="1:13" ht="24" customHeight="1">
      <c r="A23" s="79"/>
      <c r="B23" s="76" t="s">
        <v>1155</v>
      </c>
      <c r="C23" s="94"/>
      <c r="D23" s="3">
        <f>'Fund Cover Sheets'!F360</f>
        <v>124649</v>
      </c>
      <c r="E23" s="3"/>
      <c r="F23" s="3">
        <f>'Fund Cover Sheets'!G311</f>
        <v>434553</v>
      </c>
      <c r="G23" s="3"/>
      <c r="H23" s="3">
        <f>'Fund Cover Sheets'!G340</f>
        <v>559202</v>
      </c>
      <c r="I23" s="3"/>
      <c r="J23" s="101">
        <f>F23-H23</f>
        <v>-124649</v>
      </c>
      <c r="K23" s="3"/>
      <c r="L23" s="102">
        <f>D23+J23</f>
        <v>0</v>
      </c>
      <c r="M23" s="103"/>
    </row>
    <row r="24" spans="1:13" s="11" customFormat="1" ht="24" customHeight="1">
      <c r="A24" s="79"/>
      <c r="B24" s="76" t="s">
        <v>992</v>
      </c>
      <c r="C24" s="6"/>
      <c r="D24" s="3">
        <f>'Fund Cover Sheets'!F274</f>
        <v>661403</v>
      </c>
      <c r="E24" s="2"/>
      <c r="F24" s="2">
        <f>'Fund Cover Sheets'!G248</f>
        <v>6549840</v>
      </c>
      <c r="G24" s="2"/>
      <c r="H24" s="2">
        <f>'Fund Cover Sheets'!G258</f>
        <v>2548272</v>
      </c>
      <c r="I24" s="2"/>
      <c r="J24" s="101">
        <f>F24-H24</f>
        <v>4001568</v>
      </c>
      <c r="K24" s="2"/>
      <c r="L24" s="102">
        <f>D24+J24</f>
        <v>4662971</v>
      </c>
      <c r="M24" s="89"/>
    </row>
    <row r="25" spans="1:13">
      <c r="A25" s="1"/>
      <c r="B25" s="76"/>
      <c r="C25" s="104"/>
      <c r="D25" s="80"/>
      <c r="E25" s="80"/>
      <c r="F25" s="80"/>
      <c r="G25" s="80"/>
      <c r="H25" s="80"/>
      <c r="I25" s="80"/>
      <c r="J25" s="101"/>
      <c r="K25" s="80"/>
      <c r="L25" s="102"/>
      <c r="M25" s="103"/>
    </row>
    <row r="26" spans="1:13" ht="24" customHeight="1">
      <c r="A26" s="78" t="s">
        <v>1039</v>
      </c>
      <c r="B26" s="76"/>
      <c r="C26" s="104"/>
      <c r="D26" s="80"/>
      <c r="E26" s="80"/>
      <c r="F26" s="80"/>
      <c r="G26" s="80"/>
      <c r="H26" s="80"/>
      <c r="I26" s="80"/>
      <c r="J26" s="80"/>
      <c r="K26" s="80"/>
      <c r="L26" s="102"/>
      <c r="M26" s="103"/>
    </row>
    <row r="27" spans="1:13" ht="24" customHeight="1">
      <c r="A27" s="1"/>
      <c r="B27" s="76" t="s">
        <v>746</v>
      </c>
      <c r="C27" s="104"/>
      <c r="D27" s="80">
        <f>'Fund Cover Sheets'!F458</f>
        <v>1231317</v>
      </c>
      <c r="E27" s="80"/>
      <c r="F27" s="80">
        <f>'Fund Cover Sheets'!G438</f>
        <v>2839226</v>
      </c>
      <c r="G27" s="80"/>
      <c r="H27" s="80">
        <f>'Fund Cover Sheets'!G450</f>
        <v>3093781</v>
      </c>
      <c r="I27" s="80"/>
      <c r="J27" s="101">
        <f>F27-H27</f>
        <v>-254555</v>
      </c>
      <c r="K27" s="80"/>
      <c r="L27" s="102">
        <f>D27+J27</f>
        <v>976762</v>
      </c>
      <c r="M27" s="103"/>
    </row>
    <row r="28" spans="1:13" ht="24" customHeight="1">
      <c r="A28" s="1"/>
      <c r="B28" s="76" t="s">
        <v>747</v>
      </c>
      <c r="C28" s="104"/>
      <c r="D28" s="80">
        <f>'Fund Cover Sheets'!F513</f>
        <v>2791294</v>
      </c>
      <c r="E28" s="80"/>
      <c r="F28" s="80">
        <f>'Fund Cover Sheets'!G492</f>
        <v>2385472</v>
      </c>
      <c r="G28" s="80"/>
      <c r="H28" s="80">
        <f>'Fund Cover Sheets'!G505</f>
        <v>3217226</v>
      </c>
      <c r="I28" s="80"/>
      <c r="J28" s="101">
        <f>F28-H28</f>
        <v>-831754</v>
      </c>
      <c r="K28" s="80"/>
      <c r="L28" s="102">
        <f>D28+J28</f>
        <v>1959540</v>
      </c>
      <c r="M28" s="103"/>
    </row>
    <row r="29" spans="1:13" ht="24" customHeight="1">
      <c r="A29" s="1"/>
      <c r="B29" s="76" t="s">
        <v>673</v>
      </c>
      <c r="C29" s="104"/>
      <c r="D29" s="80">
        <f>'Fund Cover Sheets'!F665</f>
        <v>0</v>
      </c>
      <c r="E29" s="80"/>
      <c r="F29" s="80">
        <f>'Fund Cover Sheets'!G648</f>
        <v>0</v>
      </c>
      <c r="G29" s="80"/>
      <c r="H29" s="80">
        <f>'Fund Cover Sheets'!G657</f>
        <v>0</v>
      </c>
      <c r="I29" s="80"/>
      <c r="J29" s="101">
        <f>F29-H29</f>
        <v>0</v>
      </c>
      <c r="K29" s="80"/>
      <c r="L29" s="102">
        <f>D29+J29</f>
        <v>0</v>
      </c>
      <c r="M29" s="103"/>
    </row>
    <row r="30" spans="1:13" ht="30" customHeight="1">
      <c r="A30" s="1"/>
      <c r="B30" s="76"/>
      <c r="C30" s="104"/>
      <c r="D30" s="80"/>
      <c r="E30" s="80"/>
      <c r="F30" s="80"/>
      <c r="G30" s="80"/>
      <c r="H30" s="80"/>
      <c r="I30" s="80"/>
      <c r="J30" s="101"/>
      <c r="K30" s="80"/>
      <c r="L30" s="102"/>
      <c r="M30" s="103"/>
    </row>
    <row r="31" spans="1:13" ht="24" customHeight="1">
      <c r="A31" s="78" t="s">
        <v>994</v>
      </c>
      <c r="B31" s="76"/>
      <c r="C31" s="104"/>
      <c r="D31" s="80"/>
      <c r="E31" s="80"/>
      <c r="F31" s="80"/>
      <c r="G31" s="80"/>
      <c r="H31" s="80"/>
      <c r="I31" s="80"/>
      <c r="J31" s="101"/>
      <c r="K31" s="80"/>
      <c r="L31" s="102"/>
      <c r="M31" s="103"/>
    </row>
    <row r="32" spans="1:13" ht="24" customHeight="1">
      <c r="A32" s="78"/>
      <c r="B32" s="76" t="s">
        <v>734</v>
      </c>
      <c r="C32" s="104"/>
      <c r="D32" s="80">
        <f>'Fund Cover Sheets'!F722</f>
        <v>405551</v>
      </c>
      <c r="E32" s="80"/>
      <c r="F32" s="80">
        <f>'Fund Cover Sheets'!G704</f>
        <v>732685</v>
      </c>
      <c r="G32" s="80"/>
      <c r="H32" s="80">
        <f>'Fund Cover Sheets'!G714</f>
        <v>783453</v>
      </c>
      <c r="I32" s="80"/>
      <c r="J32" s="101">
        <f>F32-H32</f>
        <v>-50768</v>
      </c>
      <c r="K32" s="80"/>
      <c r="L32" s="102">
        <f>D32+J32</f>
        <v>354783</v>
      </c>
      <c r="M32" s="103"/>
    </row>
    <row r="33" spans="1:17" ht="24" customHeight="1">
      <c r="A33" s="78"/>
      <c r="B33" s="76" t="s">
        <v>639</v>
      </c>
      <c r="C33" s="104"/>
      <c r="D33" s="80">
        <f>'Fund Cover Sheets'!F769</f>
        <v>0</v>
      </c>
      <c r="E33" s="80"/>
      <c r="F33" s="80">
        <f>'Fund Cover Sheets'!G755</f>
        <v>731351</v>
      </c>
      <c r="G33" s="80"/>
      <c r="H33" s="80">
        <f>'Fund Cover Sheets'!G761</f>
        <v>731321</v>
      </c>
      <c r="I33" s="80"/>
      <c r="J33" s="101">
        <f>F33-H33</f>
        <v>30</v>
      </c>
      <c r="K33" s="80"/>
      <c r="L33" s="102">
        <f>D33+J33</f>
        <v>30</v>
      </c>
      <c r="M33" s="103"/>
      <c r="O33" s="477" t="s">
        <v>1285</v>
      </c>
      <c r="Q33" s="477" t="s">
        <v>1285</v>
      </c>
    </row>
    <row r="34" spans="1:17" ht="24" customHeight="1">
      <c r="A34" s="78"/>
      <c r="B34" s="76" t="s">
        <v>995</v>
      </c>
      <c r="C34" s="104"/>
      <c r="D34" s="80">
        <f>'Fund Cover Sheets'!F818</f>
        <v>34995</v>
      </c>
      <c r="E34" s="80"/>
      <c r="F34" s="80">
        <f>'Fund Cover Sheets'!G801</f>
        <v>20020</v>
      </c>
      <c r="G34" s="80"/>
      <c r="H34" s="80">
        <f>'Fund Cover Sheets'!G810</f>
        <v>55015</v>
      </c>
      <c r="I34" s="80"/>
      <c r="J34" s="101">
        <f>F34-H34</f>
        <v>-34995</v>
      </c>
      <c r="K34" s="80"/>
      <c r="L34" s="102">
        <f>D34+J34</f>
        <v>0</v>
      </c>
      <c r="M34" s="103"/>
      <c r="N34" s="475" t="s">
        <v>1296</v>
      </c>
      <c r="O34" s="142"/>
      <c r="P34" s="475" t="s">
        <v>1298</v>
      </c>
      <c r="Q34" s="142"/>
    </row>
    <row r="35" spans="1:17" ht="15" customHeight="1">
      <c r="A35" s="79"/>
      <c r="B35" s="81"/>
      <c r="C35" s="94"/>
      <c r="D35" s="3"/>
      <c r="E35" s="3"/>
      <c r="F35" s="3"/>
      <c r="G35" s="3"/>
      <c r="H35" s="3"/>
      <c r="I35" s="3"/>
      <c r="J35" s="3"/>
      <c r="K35" s="3"/>
      <c r="L35" s="80"/>
      <c r="M35" s="103"/>
      <c r="N35" s="475" t="s">
        <v>1297</v>
      </c>
      <c r="O35" s="142"/>
      <c r="P35" s="139"/>
      <c r="Q35" s="142"/>
    </row>
    <row r="36" spans="1:17" ht="24" customHeight="1" thickBot="1">
      <c r="A36" s="79"/>
      <c r="B36" s="108" t="s">
        <v>1037</v>
      </c>
      <c r="C36" s="109"/>
      <c r="D36" s="110">
        <f>SUM(D8:D35)</f>
        <v>10304668</v>
      </c>
      <c r="E36" s="110"/>
      <c r="F36" s="110">
        <f>SUM(F8:F35)</f>
        <v>30204834</v>
      </c>
      <c r="G36" s="110"/>
      <c r="H36" s="110">
        <f>SUM(H8:H35)</f>
        <v>28270306</v>
      </c>
      <c r="I36" s="110"/>
      <c r="J36" s="110">
        <f>SUM(J8:J35)</f>
        <v>1934528</v>
      </c>
      <c r="K36" s="110"/>
      <c r="L36" s="110">
        <f>SUM(L8:L35)</f>
        <v>12239196</v>
      </c>
      <c r="M36" s="103"/>
      <c r="N36" s="476">
        <f>D36+F36-H36</f>
        <v>12239196</v>
      </c>
      <c r="O36" s="478">
        <f>L36-N36</f>
        <v>0</v>
      </c>
      <c r="P36" s="476">
        <f>D36+J36</f>
        <v>12239196</v>
      </c>
      <c r="Q36" s="478">
        <f>L36-P36</f>
        <v>0</v>
      </c>
    </row>
    <row r="37" spans="1:17" ht="15" customHeight="1" thickTop="1">
      <c r="A37" s="79"/>
      <c r="B37" s="1"/>
      <c r="C37" s="84"/>
      <c r="D37" s="101"/>
      <c r="E37" s="101"/>
      <c r="F37" s="101"/>
      <c r="G37" s="101"/>
      <c r="H37" s="101"/>
      <c r="I37" s="101"/>
      <c r="J37" s="101"/>
      <c r="K37" s="101"/>
      <c r="L37" s="102"/>
      <c r="M37" s="103"/>
    </row>
    <row r="38" spans="1:17" ht="15" customHeight="1">
      <c r="A38" s="122" t="s">
        <v>1040</v>
      </c>
      <c r="B38" s="123" t="s">
        <v>1173</v>
      </c>
      <c r="C38" s="104"/>
      <c r="D38" s="80"/>
      <c r="E38" s="80"/>
      <c r="F38" s="80"/>
      <c r="G38" s="80"/>
      <c r="H38" s="80"/>
      <c r="I38" s="80"/>
      <c r="J38" s="80"/>
      <c r="K38" s="80"/>
      <c r="L38" s="80"/>
      <c r="M38" s="102"/>
    </row>
    <row r="39" spans="1:17" ht="12" customHeight="1">
      <c r="A39" s="79"/>
      <c r="B39" s="1"/>
      <c r="C39" s="84"/>
      <c r="D39" s="101"/>
      <c r="E39" s="101"/>
      <c r="F39" s="80"/>
      <c r="G39" s="101"/>
      <c r="H39" s="101"/>
      <c r="I39" s="101"/>
      <c r="J39" s="101"/>
      <c r="K39" s="101"/>
      <c r="L39" s="102"/>
      <c r="M39" s="103"/>
    </row>
    <row r="40" spans="1:17" ht="12" customHeight="1">
      <c r="A40" s="79"/>
      <c r="B40" s="1"/>
      <c r="C40" s="84"/>
      <c r="D40" s="101"/>
      <c r="E40" s="101"/>
      <c r="F40" s="80"/>
      <c r="G40" s="101"/>
      <c r="H40" s="101"/>
      <c r="I40" s="101"/>
      <c r="J40" s="101"/>
      <c r="K40" s="101"/>
      <c r="L40" s="102"/>
      <c r="M40" s="103"/>
    </row>
    <row r="41" spans="1:17" s="139" customFormat="1" ht="12" customHeight="1">
      <c r="A41" s="199"/>
      <c r="B41" s="467" t="s">
        <v>1295</v>
      </c>
      <c r="C41" s="468"/>
      <c r="D41" s="469">
        <f>'Fund Balance History'!F49</f>
        <v>10304668</v>
      </c>
      <c r="E41" s="469"/>
      <c r="F41" s="469"/>
      <c r="G41" s="469"/>
      <c r="H41" s="469"/>
      <c r="I41" s="469"/>
      <c r="J41" s="469"/>
      <c r="K41" s="469"/>
      <c r="L41" s="470">
        <v>0</v>
      </c>
      <c r="M41" s="471"/>
      <c r="N41" s="472"/>
      <c r="O41" s="472"/>
    </row>
    <row r="42" spans="1:17" s="139" customFormat="1" ht="12" customHeight="1">
      <c r="A42" s="199"/>
      <c r="B42" s="467" t="s">
        <v>1419</v>
      </c>
      <c r="C42" s="468"/>
      <c r="D42" s="469">
        <v>0</v>
      </c>
      <c r="E42" s="469"/>
      <c r="F42" s="469"/>
      <c r="G42" s="469"/>
      <c r="H42" s="469"/>
      <c r="I42" s="469"/>
      <c r="J42" s="469"/>
      <c r="K42" s="469"/>
      <c r="L42" s="470">
        <f>'Fund Balance History'!G49</f>
        <v>12239196</v>
      </c>
      <c r="M42" s="471"/>
      <c r="N42" s="472"/>
      <c r="O42" s="472"/>
    </row>
    <row r="43" spans="1:17" s="142" customFormat="1" ht="12" customHeight="1">
      <c r="A43" s="200"/>
      <c r="B43" s="460" t="s">
        <v>1285</v>
      </c>
      <c r="C43" s="461"/>
      <c r="D43" s="462">
        <f>D36-D41</f>
        <v>0</v>
      </c>
      <c r="E43" s="461"/>
      <c r="F43" s="461"/>
      <c r="G43" s="461"/>
      <c r="H43" s="461"/>
      <c r="I43" s="461"/>
      <c r="J43" s="461"/>
      <c r="K43" s="461"/>
      <c r="L43" s="466">
        <f>L36-L42</f>
        <v>0</v>
      </c>
      <c r="M43" s="463"/>
      <c r="N43" s="464"/>
      <c r="O43" s="464"/>
    </row>
    <row r="44" spans="1:17" ht="12" customHeight="1">
      <c r="A44" s="79"/>
      <c r="B44" s="10"/>
      <c r="C44" s="133"/>
      <c r="D44" s="133"/>
      <c r="E44" s="133"/>
      <c r="F44" s="133"/>
      <c r="G44" s="133"/>
      <c r="H44" s="133"/>
      <c r="I44" s="133"/>
      <c r="J44" s="133"/>
      <c r="K44" s="133"/>
      <c r="L44" s="134"/>
      <c r="M44" s="135"/>
      <c r="N44" s="130"/>
      <c r="O44" s="130"/>
    </row>
    <row r="45" spans="1:17" s="139" customFormat="1" ht="12" customHeight="1">
      <c r="A45" s="199"/>
      <c r="B45" s="467" t="s">
        <v>1502</v>
      </c>
      <c r="C45" s="468"/>
      <c r="D45" s="468"/>
      <c r="E45" s="468"/>
      <c r="F45" s="469">
        <f>'Budget Summary'!G38</f>
        <v>30204834</v>
      </c>
      <c r="G45" s="473"/>
      <c r="H45" s="469">
        <f>'Budget Summary'!G78</f>
        <v>28270306</v>
      </c>
      <c r="I45" s="468"/>
      <c r="J45" s="468"/>
      <c r="K45" s="468"/>
      <c r="L45" s="467"/>
      <c r="M45" s="474"/>
      <c r="N45" s="472"/>
      <c r="O45" s="472"/>
    </row>
    <row r="46" spans="1:17" s="142" customFormat="1" ht="12" customHeight="1">
      <c r="A46" s="200"/>
      <c r="B46" s="460" t="s">
        <v>1285</v>
      </c>
      <c r="C46" s="461"/>
      <c r="D46" s="461"/>
      <c r="E46" s="461"/>
      <c r="F46" s="462">
        <f>F36-F45</f>
        <v>0</v>
      </c>
      <c r="G46" s="461"/>
      <c r="H46" s="462">
        <f>H36-H45</f>
        <v>0</v>
      </c>
      <c r="I46" s="461"/>
      <c r="J46" s="461"/>
      <c r="K46" s="461"/>
      <c r="L46" s="460"/>
      <c r="M46" s="463"/>
      <c r="N46" s="464"/>
      <c r="O46" s="464"/>
    </row>
    <row r="47" spans="1:17">
      <c r="A47" s="79"/>
      <c r="B47" s="10"/>
      <c r="C47" s="133"/>
      <c r="D47" s="133"/>
      <c r="E47" s="133"/>
      <c r="F47" s="133"/>
      <c r="G47" s="133"/>
      <c r="H47" s="133"/>
      <c r="I47" s="133"/>
      <c r="J47" s="133"/>
      <c r="K47" s="133"/>
      <c r="L47" s="134"/>
      <c r="M47" s="135"/>
      <c r="N47" s="130"/>
      <c r="O47" s="130"/>
    </row>
    <row r="48" spans="1:17" s="139" customFormat="1">
      <c r="A48" s="199"/>
      <c r="B48" s="467" t="s">
        <v>1501</v>
      </c>
      <c r="C48" s="468"/>
      <c r="D48" s="468"/>
      <c r="E48" s="468"/>
      <c r="F48" s="468">
        <f>'Budget Summary by Category'!M38</f>
        <v>30204834</v>
      </c>
      <c r="G48" s="468"/>
      <c r="H48" s="468">
        <f>'Budget Summary by Category'!J78</f>
        <v>28270306</v>
      </c>
      <c r="I48" s="468"/>
      <c r="J48" s="468"/>
      <c r="K48" s="468"/>
      <c r="L48" s="467"/>
      <c r="M48" s="474"/>
      <c r="N48" s="472"/>
      <c r="O48" s="472"/>
    </row>
    <row r="49" spans="1:15" s="142" customFormat="1">
      <c r="A49" s="200"/>
      <c r="B49" s="460" t="s">
        <v>1285</v>
      </c>
      <c r="C49" s="461"/>
      <c r="D49" s="461"/>
      <c r="E49" s="461"/>
      <c r="F49" s="465">
        <f>F36-F48</f>
        <v>0</v>
      </c>
      <c r="G49" s="461"/>
      <c r="H49" s="462">
        <f>H36-H48</f>
        <v>0</v>
      </c>
      <c r="I49" s="461"/>
      <c r="J49" s="461"/>
      <c r="K49" s="461"/>
      <c r="L49" s="460"/>
      <c r="M49" s="463"/>
      <c r="N49" s="464"/>
      <c r="O49" s="464"/>
    </row>
    <row r="50" spans="1:15">
      <c r="A50" s="79"/>
      <c r="B50" s="10"/>
      <c r="C50" s="133"/>
      <c r="D50" s="133"/>
      <c r="E50" s="133"/>
      <c r="F50" s="133"/>
      <c r="G50" s="133"/>
      <c r="H50" s="133"/>
      <c r="I50" s="133"/>
      <c r="J50" s="133"/>
      <c r="K50" s="133"/>
      <c r="L50" s="134"/>
      <c r="M50" s="135"/>
      <c r="N50" s="130"/>
      <c r="O50" s="130"/>
    </row>
    <row r="51" spans="1:15">
      <c r="A51" s="79"/>
      <c r="B51" s="10"/>
      <c r="C51" s="133"/>
      <c r="D51" s="133"/>
      <c r="E51" s="133"/>
      <c r="F51" s="133"/>
      <c r="G51" s="133"/>
      <c r="H51" s="133"/>
      <c r="I51" s="133"/>
      <c r="J51" s="133"/>
      <c r="K51" s="133"/>
      <c r="L51" s="134"/>
      <c r="M51" s="135"/>
      <c r="N51" s="130"/>
      <c r="O51" s="130"/>
    </row>
    <row r="52" spans="1:15">
      <c r="A52" s="79"/>
      <c r="B52" s="10"/>
      <c r="C52" s="133"/>
      <c r="D52" s="133"/>
      <c r="E52" s="133"/>
      <c r="F52" s="133"/>
      <c r="G52" s="133"/>
      <c r="H52" s="133"/>
      <c r="I52" s="133"/>
      <c r="J52" s="133"/>
      <c r="K52" s="133"/>
      <c r="L52" s="134"/>
      <c r="M52" s="135"/>
      <c r="N52" s="130"/>
      <c r="O52" s="130"/>
    </row>
    <row r="53" spans="1:15">
      <c r="A53" s="79"/>
      <c r="B53" s="10"/>
      <c r="C53" s="133"/>
      <c r="D53" s="133"/>
      <c r="E53" s="133"/>
      <c r="F53" s="133"/>
      <c r="G53" s="133"/>
      <c r="H53" s="133"/>
      <c r="I53" s="133"/>
      <c r="J53" s="133"/>
      <c r="K53" s="133"/>
      <c r="L53" s="134"/>
      <c r="M53" s="135"/>
      <c r="N53" s="130"/>
      <c r="O53" s="130"/>
    </row>
    <row r="54" spans="1:15">
      <c r="A54" s="79"/>
      <c r="B54" s="1"/>
      <c r="C54" s="84"/>
      <c r="D54" s="84"/>
      <c r="E54" s="84"/>
      <c r="F54" s="84"/>
      <c r="G54" s="84"/>
      <c r="H54" s="84"/>
      <c r="I54" s="84"/>
      <c r="J54" s="84"/>
      <c r="K54" s="84"/>
      <c r="L54" s="79"/>
    </row>
    <row r="55" spans="1:15">
      <c r="C55" s="111"/>
      <c r="D55" s="111"/>
      <c r="E55" s="111"/>
      <c r="F55" s="111"/>
      <c r="G55" s="111"/>
      <c r="H55" s="111"/>
      <c r="I55" s="111"/>
      <c r="J55" s="111"/>
      <c r="K55" s="111"/>
    </row>
    <row r="56" spans="1:15">
      <c r="C56" s="111"/>
      <c r="D56" s="111"/>
      <c r="E56" s="111"/>
      <c r="F56" s="111"/>
      <c r="G56" s="111"/>
      <c r="H56" s="111"/>
      <c r="I56" s="111"/>
      <c r="J56" s="111"/>
      <c r="K56" s="111"/>
    </row>
    <row r="57" spans="1:15">
      <c r="C57" s="111"/>
      <c r="D57" s="111"/>
      <c r="E57" s="111"/>
      <c r="F57" s="111"/>
      <c r="G57" s="111"/>
      <c r="H57" s="111"/>
      <c r="I57" s="111"/>
      <c r="J57" s="111"/>
      <c r="K57" s="111"/>
    </row>
    <row r="58" spans="1:15">
      <c r="C58" s="111"/>
      <c r="D58" s="111"/>
      <c r="E58" s="111"/>
      <c r="F58" s="111"/>
      <c r="G58" s="111"/>
      <c r="H58" s="111"/>
      <c r="I58" s="111"/>
      <c r="J58" s="111"/>
      <c r="K58" s="111"/>
    </row>
    <row r="59" spans="1:15">
      <c r="C59" s="111"/>
      <c r="D59" s="111"/>
      <c r="E59" s="111"/>
      <c r="F59" s="111"/>
      <c r="G59" s="111"/>
      <c r="H59" s="111"/>
      <c r="I59" s="111"/>
      <c r="J59" s="111"/>
      <c r="K59" s="111"/>
    </row>
    <row r="60" spans="1:15">
      <c r="C60" s="111"/>
      <c r="D60" s="111"/>
      <c r="E60" s="111"/>
      <c r="F60" s="111"/>
      <c r="G60" s="111"/>
      <c r="H60" s="111"/>
      <c r="I60" s="111"/>
      <c r="J60" s="111"/>
      <c r="K60" s="111"/>
    </row>
    <row r="61" spans="1:15">
      <c r="C61" s="111"/>
      <c r="D61" s="111"/>
      <c r="E61" s="111"/>
      <c r="F61" s="111"/>
      <c r="G61" s="111"/>
      <c r="H61" s="111"/>
      <c r="I61" s="111"/>
      <c r="J61" s="111"/>
      <c r="K61" s="111"/>
    </row>
    <row r="62" spans="1:15">
      <c r="C62" s="111"/>
      <c r="D62" s="111"/>
      <c r="E62" s="111"/>
      <c r="F62" s="111"/>
      <c r="G62" s="111"/>
      <c r="H62" s="111"/>
      <c r="I62" s="111"/>
      <c r="J62" s="111"/>
      <c r="K62" s="111"/>
    </row>
    <row r="63" spans="1:15">
      <c r="C63" s="111"/>
      <c r="D63" s="111"/>
      <c r="E63" s="111"/>
      <c r="F63" s="111"/>
      <c r="G63" s="111"/>
      <c r="H63" s="111"/>
      <c r="I63" s="111"/>
      <c r="J63" s="111"/>
      <c r="K63" s="111"/>
    </row>
    <row r="64" spans="1:15">
      <c r="C64" s="111"/>
      <c r="D64" s="111"/>
      <c r="E64" s="111"/>
      <c r="F64" s="111"/>
      <c r="G64" s="111"/>
      <c r="H64" s="111"/>
      <c r="I64" s="111"/>
      <c r="J64" s="111"/>
      <c r="K64" s="111"/>
    </row>
    <row r="65" spans="3:11">
      <c r="C65" s="111"/>
      <c r="D65" s="111"/>
      <c r="E65" s="111"/>
      <c r="F65" s="111"/>
      <c r="G65" s="111"/>
      <c r="H65" s="111"/>
      <c r="I65" s="111"/>
      <c r="J65" s="111"/>
      <c r="K65" s="111"/>
    </row>
    <row r="66" spans="3:11">
      <c r="C66" s="111"/>
      <c r="D66" s="111"/>
      <c r="E66" s="111"/>
      <c r="F66" s="111"/>
      <c r="G66" s="111"/>
      <c r="H66" s="111"/>
      <c r="I66" s="111"/>
      <c r="J66" s="111"/>
      <c r="K66" s="111"/>
    </row>
    <row r="67" spans="3:11">
      <c r="C67" s="111"/>
      <c r="D67" s="111"/>
      <c r="E67" s="111"/>
      <c r="F67" s="111"/>
      <c r="G67" s="111"/>
      <c r="H67" s="111"/>
      <c r="I67" s="111"/>
      <c r="J67" s="111"/>
      <c r="K67" s="111"/>
    </row>
    <row r="68" spans="3:11">
      <c r="C68" s="111"/>
      <c r="D68" s="111"/>
      <c r="E68" s="111"/>
      <c r="F68" s="111"/>
      <c r="G68" s="111"/>
      <c r="H68" s="111"/>
      <c r="I68" s="111"/>
      <c r="J68" s="111"/>
      <c r="K68" s="111"/>
    </row>
    <row r="69" spans="3:11">
      <c r="C69" s="111"/>
      <c r="D69" s="111"/>
      <c r="E69" s="111"/>
      <c r="F69" s="111"/>
      <c r="G69" s="111"/>
      <c r="H69" s="111"/>
      <c r="I69" s="111"/>
      <c r="J69" s="111"/>
      <c r="K69" s="111"/>
    </row>
    <row r="70" spans="3:11">
      <c r="C70" s="111"/>
      <c r="D70" s="111"/>
      <c r="E70" s="111"/>
      <c r="F70" s="111"/>
      <c r="G70" s="111"/>
      <c r="H70" s="111"/>
      <c r="I70" s="111"/>
      <c r="J70" s="111"/>
      <c r="K70" s="111"/>
    </row>
    <row r="71" spans="3:11">
      <c r="C71" s="111"/>
      <c r="D71" s="111"/>
      <c r="E71" s="111"/>
      <c r="F71" s="111"/>
      <c r="G71" s="111"/>
      <c r="H71" s="111"/>
      <c r="I71" s="111"/>
      <c r="J71" s="111"/>
      <c r="K71" s="111"/>
    </row>
    <row r="72" spans="3:11">
      <c r="C72" s="111"/>
      <c r="D72" s="111"/>
      <c r="E72" s="111"/>
      <c r="F72" s="111"/>
      <c r="G72" s="111"/>
      <c r="H72" s="111"/>
      <c r="I72" s="111"/>
      <c r="J72" s="111"/>
      <c r="K72" s="111"/>
    </row>
    <row r="73" spans="3:11">
      <c r="C73" s="111"/>
      <c r="D73" s="111"/>
      <c r="E73" s="111"/>
      <c r="F73" s="111"/>
      <c r="G73" s="111"/>
      <c r="H73" s="111"/>
      <c r="I73" s="111"/>
      <c r="J73" s="111"/>
      <c r="K73" s="111"/>
    </row>
  </sheetData>
  <mergeCells count="3">
    <mergeCell ref="B1:L1"/>
    <mergeCell ref="B2:L2"/>
    <mergeCell ref="B3:L3"/>
  </mergeCells>
  <printOptions horizontalCentered="1"/>
  <pageMargins left="0" right="0.1" top="0.5" bottom="0" header="0" footer="0"/>
  <pageSetup scale="85" orientation="portrait" r:id="rId1"/>
</worksheet>
</file>

<file path=xl/worksheets/sheet5.xml><?xml version="1.0" encoding="utf-8"?>
<worksheet xmlns="http://schemas.openxmlformats.org/spreadsheetml/2006/main" xmlns:r="http://schemas.openxmlformats.org/officeDocument/2006/relationships">
  <dimension ref="A1:L825"/>
  <sheetViews>
    <sheetView zoomScaleNormal="100" zoomScaleSheetLayoutView="75" workbookViewId="0">
      <selection activeCell="D248" sqref="D248"/>
    </sheetView>
  </sheetViews>
  <sheetFormatPr defaultRowHeight="12.75"/>
  <cols>
    <col min="1" max="1" width="3.7109375" style="31" customWidth="1"/>
    <col min="2" max="2" width="32.7109375" style="31" customWidth="1"/>
    <col min="3" max="4" width="12.7109375" style="41" customWidth="1"/>
    <col min="5" max="11" width="12.7109375" style="42" customWidth="1"/>
    <col min="12" max="16384" width="9.140625" style="31"/>
  </cols>
  <sheetData>
    <row r="1" spans="1:12" ht="18.75" customHeight="1">
      <c r="A1" s="14"/>
      <c r="B1" s="714" t="s">
        <v>970</v>
      </c>
      <c r="C1" s="714"/>
      <c r="D1" s="714"/>
      <c r="E1" s="714"/>
      <c r="F1" s="714"/>
      <c r="G1" s="714"/>
      <c r="H1" s="714"/>
      <c r="I1" s="714"/>
      <c r="J1" s="714"/>
      <c r="K1" s="714"/>
    </row>
    <row r="2" spans="1:12" ht="18.75">
      <c r="A2" s="14"/>
      <c r="B2" s="43"/>
      <c r="C2" s="58"/>
      <c r="D2" s="59"/>
      <c r="E2" s="59"/>
      <c r="F2" s="60"/>
      <c r="G2" s="60"/>
      <c r="H2" s="60"/>
      <c r="I2" s="60"/>
      <c r="J2" s="60"/>
      <c r="K2" s="60"/>
    </row>
    <row r="3" spans="1:12" ht="15" customHeight="1">
      <c r="A3" s="14"/>
      <c r="B3" s="715" t="s">
        <v>1476</v>
      </c>
      <c r="C3" s="715"/>
      <c r="D3" s="715"/>
      <c r="E3" s="715"/>
      <c r="F3" s="715"/>
      <c r="G3" s="715"/>
      <c r="H3" s="715"/>
      <c r="I3" s="715"/>
      <c r="J3" s="715"/>
      <c r="K3" s="715"/>
    </row>
    <row r="4" spans="1:12" ht="15">
      <c r="A4" s="14"/>
      <c r="B4" s="715"/>
      <c r="C4" s="715"/>
      <c r="D4" s="715"/>
      <c r="E4" s="715"/>
      <c r="F4" s="715"/>
      <c r="G4" s="715"/>
      <c r="H4" s="715"/>
      <c r="I4" s="715"/>
      <c r="J4" s="715"/>
      <c r="K4" s="715"/>
    </row>
    <row r="5" spans="1:12" ht="15">
      <c r="A5" s="14"/>
      <c r="B5" s="715"/>
      <c r="C5" s="715"/>
      <c r="D5" s="715"/>
      <c r="E5" s="715"/>
      <c r="F5" s="715"/>
      <c r="G5" s="715"/>
      <c r="H5" s="715"/>
      <c r="I5" s="715"/>
      <c r="J5" s="715"/>
      <c r="K5" s="715"/>
    </row>
    <row r="6" spans="1:12" ht="15">
      <c r="A6" s="14"/>
      <c r="B6" s="45"/>
      <c r="C6" s="61"/>
      <c r="D6" s="61"/>
      <c r="E6" s="61"/>
      <c r="F6" s="60"/>
      <c r="G6" s="60"/>
      <c r="H6" s="60"/>
      <c r="I6" s="60"/>
      <c r="J6" s="60"/>
      <c r="K6" s="60"/>
    </row>
    <row r="7" spans="1:12" ht="15">
      <c r="A7" s="14"/>
      <c r="B7" s="11"/>
      <c r="C7" s="72"/>
      <c r="D7" s="73"/>
      <c r="E7" s="72" t="s">
        <v>283</v>
      </c>
      <c r="F7" s="1"/>
      <c r="G7" s="1"/>
      <c r="H7" s="1"/>
      <c r="I7" s="1"/>
      <c r="J7" s="1"/>
      <c r="K7" s="1"/>
    </row>
    <row r="8" spans="1:12" ht="15">
      <c r="A8" s="14"/>
      <c r="B8" s="13"/>
      <c r="C8" s="72" t="s">
        <v>229</v>
      </c>
      <c r="D8" s="55" t="s">
        <v>282</v>
      </c>
      <c r="E8" s="73" t="s">
        <v>917</v>
      </c>
      <c r="F8" s="73" t="s">
        <v>283</v>
      </c>
      <c r="G8" s="73" t="s">
        <v>298</v>
      </c>
      <c r="H8" s="73" t="s">
        <v>299</v>
      </c>
      <c r="I8" s="73" t="s">
        <v>300</v>
      </c>
      <c r="J8" s="73" t="s">
        <v>1087</v>
      </c>
      <c r="K8" s="73" t="s">
        <v>1224</v>
      </c>
    </row>
    <row r="9" spans="1:12" ht="15.75" thickBot="1">
      <c r="A9" s="14"/>
      <c r="B9" s="46"/>
      <c r="C9" s="75" t="s">
        <v>1</v>
      </c>
      <c r="D9" s="75" t="s">
        <v>1</v>
      </c>
      <c r="E9" s="75" t="s">
        <v>871</v>
      </c>
      <c r="F9" s="75" t="s">
        <v>20</v>
      </c>
      <c r="G9" s="75" t="s">
        <v>917</v>
      </c>
      <c r="H9" s="75" t="s">
        <v>20</v>
      </c>
      <c r="I9" s="75" t="s">
        <v>20</v>
      </c>
      <c r="J9" s="75" t="s">
        <v>20</v>
      </c>
      <c r="K9" s="75" t="s">
        <v>20</v>
      </c>
    </row>
    <row r="10" spans="1:12" ht="15">
      <c r="A10" s="14"/>
      <c r="B10" s="11"/>
      <c r="C10" s="50"/>
      <c r="D10" s="50"/>
      <c r="E10" s="50"/>
      <c r="F10" s="60"/>
      <c r="G10" s="60"/>
      <c r="H10" s="60"/>
      <c r="I10" s="60"/>
      <c r="J10" s="60"/>
      <c r="K10" s="60"/>
    </row>
    <row r="11" spans="1:12" ht="15">
      <c r="A11" s="14"/>
      <c r="B11" s="47" t="s">
        <v>659</v>
      </c>
      <c r="C11" s="50"/>
      <c r="D11" s="50"/>
      <c r="E11" s="50"/>
      <c r="F11" s="60"/>
      <c r="G11" s="60"/>
      <c r="H11" s="60"/>
      <c r="I11" s="60"/>
      <c r="J11" s="60"/>
      <c r="K11" s="60"/>
    </row>
    <row r="12" spans="1:12" ht="20.100000000000001" customHeight="1">
      <c r="A12" s="14"/>
      <c r="B12" s="15" t="s">
        <v>929</v>
      </c>
      <c r="C12" s="2">
        <f>SUM('Budget Detail FY 2012-19'!N69:N76)</f>
        <v>307078</v>
      </c>
      <c r="D12" s="2">
        <f>SUM('Budget Detail FY 2012-19'!O69:O76)</f>
        <v>340543</v>
      </c>
      <c r="E12" s="2">
        <f>SUM('Budget Detail FY 2012-19'!P69:P76)</f>
        <v>368599</v>
      </c>
      <c r="F12" s="2">
        <f>SUM('Budget Detail FY 2012-19'!Q69:Q76)</f>
        <v>363099</v>
      </c>
      <c r="G12" s="2">
        <f>SUM('Budget Detail FY 2012-19'!R69:R76)</f>
        <v>433153</v>
      </c>
      <c r="H12" s="2">
        <f>SUM('Budget Detail FY 2012-19'!S69:S76)</f>
        <v>443688</v>
      </c>
      <c r="I12" s="2">
        <f>SUM('Budget Detail FY 2012-19'!T69:T76)</f>
        <v>456347</v>
      </c>
      <c r="J12" s="2">
        <f>SUM('Budget Detail FY 2012-19'!U69:U76)</f>
        <v>469449</v>
      </c>
      <c r="K12" s="2">
        <f>SUM('Budget Detail FY 2012-19'!V69:V76)</f>
        <v>483010</v>
      </c>
    </row>
    <row r="13" spans="1:12" ht="20.100000000000001" customHeight="1">
      <c r="A13" s="14"/>
      <c r="B13" s="15" t="s">
        <v>930</v>
      </c>
      <c r="C13" s="2">
        <f>SUM('Budget Detail FY 2012-19'!N77:N86)</f>
        <v>49070</v>
      </c>
      <c r="D13" s="2">
        <f>SUM('Budget Detail FY 2012-19'!O77:O86)</f>
        <v>238180</v>
      </c>
      <c r="E13" s="2">
        <f>SUM('Budget Detail FY 2012-19'!P77:P86)</f>
        <v>253005</v>
      </c>
      <c r="F13" s="2">
        <f>SUM('Budget Detail FY 2012-19'!Q77:Q86)</f>
        <v>239732</v>
      </c>
      <c r="G13" s="2">
        <f>SUM('Budget Detail FY 2012-19'!R77:R86)</f>
        <v>289190</v>
      </c>
      <c r="H13" s="2">
        <f>SUM('Budget Detail FY 2012-19'!S77:S86)</f>
        <v>315700</v>
      </c>
      <c r="I13" s="2">
        <f>SUM('Budget Detail FY 2012-19'!T77:T86)</f>
        <v>339572</v>
      </c>
      <c r="J13" s="2">
        <f>SUM('Budget Detail FY 2012-19'!U77:U86)</f>
        <v>365318</v>
      </c>
      <c r="K13" s="2">
        <f>SUM('Budget Detail FY 2012-19'!V77:V86)</f>
        <v>393172</v>
      </c>
    </row>
    <row r="14" spans="1:12" ht="20.100000000000001" customHeight="1">
      <c r="A14" s="14"/>
      <c r="B14" s="15" t="s">
        <v>931</v>
      </c>
      <c r="C14" s="2">
        <f>SUM('Budget Detail FY 2012-19'!N87:N101)</f>
        <v>112309</v>
      </c>
      <c r="D14" s="2">
        <f>SUM('Budget Detail FY 2012-19'!O87:O101)</f>
        <v>122314</v>
      </c>
      <c r="E14" s="2">
        <f>SUM('Budget Detail FY 2012-19'!P87:P101)</f>
        <v>172833</v>
      </c>
      <c r="F14" s="2">
        <f>SUM('Budget Detail FY 2012-19'!Q87:Q101)</f>
        <v>172983</v>
      </c>
      <c r="G14" s="2">
        <f>SUM('Budget Detail FY 2012-19'!R87:R101)</f>
        <v>167735</v>
      </c>
      <c r="H14" s="2">
        <f>SUM('Budget Detail FY 2012-19'!S87:S101)</f>
        <v>169039</v>
      </c>
      <c r="I14" s="2">
        <f>SUM('Budget Detail FY 2012-19'!T87:T101)</f>
        <v>170421</v>
      </c>
      <c r="J14" s="2">
        <f>SUM('Budget Detail FY 2012-19'!U87:U101)</f>
        <v>171886</v>
      </c>
      <c r="K14" s="2">
        <f>SUM('Budget Detail FY 2012-19'!V87:V101)</f>
        <v>173439</v>
      </c>
    </row>
    <row r="15" spans="1:12" ht="20.100000000000001" customHeight="1">
      <c r="A15" s="14"/>
      <c r="B15" s="48" t="s">
        <v>932</v>
      </c>
      <c r="C15" s="2">
        <f>SUM('Budget Detail FY 2012-19'!N102:N104)</f>
        <v>8084</v>
      </c>
      <c r="D15" s="2">
        <f>SUM('Budget Detail FY 2012-19'!O102:O104)</f>
        <v>9162</v>
      </c>
      <c r="E15" s="2">
        <f>SUM('Budget Detail FY 2012-19'!P102:P104)</f>
        <v>12950</v>
      </c>
      <c r="F15" s="2">
        <f>SUM('Budget Detail FY 2012-19'!Q102:Q104)</f>
        <v>12950</v>
      </c>
      <c r="G15" s="2">
        <f>SUM('Budget Detail FY 2012-19'!R102:R104)</f>
        <v>12950</v>
      </c>
      <c r="H15" s="2">
        <f>SUM('Budget Detail FY 2012-19'!S102:S104)</f>
        <v>12950</v>
      </c>
      <c r="I15" s="2">
        <f>SUM('Budget Detail FY 2012-19'!T102:T104)</f>
        <v>12950</v>
      </c>
      <c r="J15" s="2">
        <f>SUM('Budget Detail FY 2012-19'!U102:U104)</f>
        <v>12950</v>
      </c>
      <c r="K15" s="2">
        <f>SUM('Budget Detail FY 2012-19'!V102:V104)</f>
        <v>12950</v>
      </c>
    </row>
    <row r="16" spans="1:12" s="126" customFormat="1" ht="20.100000000000001" customHeight="1" thickBot="1">
      <c r="A16" s="124"/>
      <c r="B16" s="125" t="s">
        <v>971</v>
      </c>
      <c r="C16" s="91">
        <f>SUM(C12:C15)</f>
        <v>476541</v>
      </c>
      <c r="D16" s="91">
        <f t="shared" ref="D16:J16" si="0">SUM(D12:D15)</f>
        <v>710199</v>
      </c>
      <c r="E16" s="91">
        <f t="shared" si="0"/>
        <v>807387</v>
      </c>
      <c r="F16" s="91">
        <f>SUM(F12:F15)</f>
        <v>788764</v>
      </c>
      <c r="G16" s="91">
        <f t="shared" si="0"/>
        <v>903028</v>
      </c>
      <c r="H16" s="91">
        <f t="shared" si="0"/>
        <v>941377</v>
      </c>
      <c r="I16" s="91">
        <f t="shared" si="0"/>
        <v>979290</v>
      </c>
      <c r="J16" s="91">
        <f t="shared" si="0"/>
        <v>1019603</v>
      </c>
      <c r="K16" s="91">
        <f>SUM(K12:K15)</f>
        <v>1062571</v>
      </c>
      <c r="L16" s="154"/>
    </row>
    <row r="17" spans="1:11" s="154" customFormat="1" ht="15.75" hidden="1" thickTop="1">
      <c r="A17" s="152"/>
      <c r="B17" s="140"/>
      <c r="C17" s="153">
        <f>'Budget Detail FY 2012-19'!N105</f>
        <v>476541</v>
      </c>
      <c r="D17" s="153">
        <f>'Budget Detail FY 2012-19'!O105</f>
        <v>710199</v>
      </c>
      <c r="E17" s="153">
        <f>'Budget Detail FY 2012-19'!P105</f>
        <v>807387</v>
      </c>
      <c r="F17" s="153">
        <f>'Budget Detail FY 2012-19'!Q105</f>
        <v>788764</v>
      </c>
      <c r="G17" s="153">
        <f>'Budget Detail FY 2012-19'!R105</f>
        <v>903028</v>
      </c>
      <c r="H17" s="153">
        <f>'Budget Detail FY 2012-19'!S105</f>
        <v>941377</v>
      </c>
      <c r="I17" s="153">
        <f>'Budget Detail FY 2012-19'!T105</f>
        <v>979290</v>
      </c>
      <c r="J17" s="153">
        <f>'Budget Detail FY 2012-19'!U105</f>
        <v>1019603</v>
      </c>
      <c r="K17" s="153">
        <f>'Budget Detail FY 2012-19'!V105</f>
        <v>1062571</v>
      </c>
    </row>
    <row r="18" spans="1:11" s="161" customFormat="1" ht="14.25" hidden="1">
      <c r="A18" s="159"/>
      <c r="B18" s="143"/>
      <c r="C18" s="160">
        <f>C16-C17</f>
        <v>0</v>
      </c>
      <c r="D18" s="160">
        <f t="shared" ref="D18:K18" si="1">D16-D17</f>
        <v>0</v>
      </c>
      <c r="E18" s="160">
        <f t="shared" si="1"/>
        <v>0</v>
      </c>
      <c r="F18" s="160">
        <f t="shared" si="1"/>
        <v>0</v>
      </c>
      <c r="G18" s="160">
        <f t="shared" si="1"/>
        <v>0</v>
      </c>
      <c r="H18" s="160">
        <f t="shared" si="1"/>
        <v>0</v>
      </c>
      <c r="I18" s="160">
        <f t="shared" si="1"/>
        <v>0</v>
      </c>
      <c r="J18" s="160">
        <f t="shared" si="1"/>
        <v>0</v>
      </c>
      <c r="K18" s="160">
        <f t="shared" si="1"/>
        <v>0</v>
      </c>
    </row>
    <row r="19" spans="1:11" s="126" customFormat="1" ht="15" thickTop="1">
      <c r="A19" s="124"/>
      <c r="B19" s="17"/>
      <c r="C19" s="151"/>
      <c r="D19" s="151"/>
      <c r="E19" s="151"/>
      <c r="F19" s="151"/>
      <c r="G19" s="151"/>
      <c r="H19" s="151"/>
      <c r="I19" s="151"/>
      <c r="J19" s="151"/>
      <c r="K19" s="151"/>
    </row>
    <row r="20" spans="1:11" ht="15">
      <c r="A20" s="14"/>
      <c r="B20" s="16"/>
      <c r="C20" s="62"/>
      <c r="D20" s="62"/>
      <c r="E20" s="62"/>
      <c r="F20" s="60"/>
      <c r="G20" s="60"/>
      <c r="H20" s="60"/>
      <c r="I20" s="60"/>
      <c r="J20" s="60"/>
      <c r="K20" s="60"/>
    </row>
    <row r="21" spans="1:11" ht="15">
      <c r="A21" s="14"/>
      <c r="B21" s="11"/>
      <c r="C21" s="50"/>
      <c r="D21" s="50"/>
      <c r="E21" s="50"/>
      <c r="F21" s="60"/>
      <c r="G21" s="60"/>
      <c r="H21" s="60"/>
      <c r="I21" s="60"/>
      <c r="J21" s="60"/>
      <c r="K21" s="60"/>
    </row>
    <row r="22" spans="1:11" ht="15">
      <c r="A22" s="14"/>
      <c r="B22" s="11"/>
      <c r="C22" s="50"/>
      <c r="D22" s="50"/>
      <c r="E22" s="50"/>
      <c r="F22" s="60"/>
      <c r="G22" s="60"/>
      <c r="H22" s="60"/>
      <c r="I22" s="60"/>
      <c r="J22" s="60"/>
      <c r="K22" s="60"/>
    </row>
    <row r="23" spans="1:11" ht="15">
      <c r="A23" s="14"/>
      <c r="B23" s="11"/>
      <c r="C23" s="50"/>
      <c r="D23" s="50"/>
      <c r="E23" s="50"/>
      <c r="F23" s="60"/>
      <c r="G23" s="60"/>
      <c r="H23" s="60"/>
      <c r="I23" s="60"/>
      <c r="J23" s="60"/>
      <c r="K23" s="60"/>
    </row>
    <row r="24" spans="1:11" ht="15">
      <c r="A24" s="14"/>
      <c r="B24" s="11"/>
      <c r="C24" s="50"/>
      <c r="D24" s="50"/>
      <c r="E24" s="50"/>
      <c r="F24" s="60"/>
      <c r="G24" s="60"/>
      <c r="H24" s="60"/>
      <c r="I24" s="60"/>
      <c r="J24" s="60"/>
      <c r="K24" s="60"/>
    </row>
    <row r="25" spans="1:11" ht="15">
      <c r="A25" s="14"/>
      <c r="B25" s="11"/>
      <c r="C25" s="50"/>
      <c r="D25" s="50"/>
      <c r="E25" s="50"/>
      <c r="F25" s="60"/>
      <c r="G25" s="60"/>
      <c r="H25" s="60"/>
      <c r="I25" s="60"/>
      <c r="J25" s="60"/>
      <c r="K25" s="60"/>
    </row>
    <row r="26" spans="1:11" ht="15">
      <c r="A26" s="14"/>
      <c r="B26" s="11"/>
      <c r="C26" s="50"/>
      <c r="D26" s="50"/>
      <c r="E26" s="50"/>
      <c r="F26" s="60"/>
      <c r="G26" s="60"/>
      <c r="H26" s="60"/>
      <c r="I26" s="60"/>
      <c r="J26" s="60"/>
      <c r="K26" s="60"/>
    </row>
    <row r="27" spans="1:11" ht="15">
      <c r="A27" s="14"/>
      <c r="B27" s="11"/>
      <c r="C27" s="50"/>
      <c r="D27" s="50"/>
      <c r="E27" s="50"/>
      <c r="F27" s="60"/>
      <c r="G27" s="60"/>
      <c r="H27" s="60"/>
      <c r="I27" s="60"/>
      <c r="J27" s="60"/>
      <c r="K27" s="60"/>
    </row>
    <row r="28" spans="1:11" ht="15">
      <c r="A28" s="14"/>
      <c r="B28" s="11"/>
      <c r="C28" s="50"/>
      <c r="D28" s="50"/>
      <c r="E28" s="50"/>
      <c r="F28" s="60"/>
      <c r="G28" s="60"/>
      <c r="H28" s="60"/>
      <c r="I28" s="60"/>
      <c r="J28" s="60"/>
      <c r="K28" s="60"/>
    </row>
    <row r="29" spans="1:11" ht="15">
      <c r="A29" s="14"/>
      <c r="B29" s="11"/>
      <c r="C29" s="50"/>
      <c r="D29" s="50"/>
      <c r="E29" s="50"/>
      <c r="F29" s="60"/>
      <c r="G29" s="60"/>
      <c r="H29" s="60"/>
      <c r="I29" s="60"/>
      <c r="J29" s="60"/>
      <c r="K29" s="60"/>
    </row>
    <row r="30" spans="1:11" ht="15">
      <c r="A30" s="14"/>
      <c r="B30" s="11"/>
      <c r="C30" s="50"/>
      <c r="D30" s="50"/>
      <c r="E30" s="50"/>
      <c r="F30" s="60"/>
      <c r="G30" s="60"/>
      <c r="H30" s="60"/>
      <c r="I30" s="60"/>
      <c r="J30" s="60"/>
      <c r="K30" s="60"/>
    </row>
    <row r="31" spans="1:11" ht="15">
      <c r="A31" s="14"/>
      <c r="B31" s="11"/>
      <c r="C31" s="50"/>
      <c r="D31" s="50"/>
      <c r="E31" s="50"/>
      <c r="F31" s="60"/>
      <c r="G31" s="60"/>
      <c r="H31" s="60"/>
      <c r="I31" s="60"/>
      <c r="J31" s="60"/>
      <c r="K31" s="60"/>
    </row>
    <row r="32" spans="1:11" ht="15">
      <c r="A32" s="14"/>
      <c r="B32" s="11"/>
      <c r="C32" s="50"/>
      <c r="D32" s="50"/>
      <c r="E32" s="50"/>
      <c r="F32" s="60"/>
      <c r="G32" s="60"/>
      <c r="H32" s="60"/>
      <c r="I32" s="60"/>
      <c r="J32" s="60"/>
      <c r="K32" s="60"/>
    </row>
    <row r="33" spans="1:11" ht="15">
      <c r="A33" s="14"/>
      <c r="B33"/>
      <c r="C33" s="30"/>
      <c r="D33" s="30"/>
      <c r="E33" s="30"/>
      <c r="F33" s="30"/>
      <c r="G33" s="30"/>
      <c r="H33" s="60"/>
      <c r="I33" s="60"/>
      <c r="J33" s="60"/>
      <c r="K33" s="60"/>
    </row>
    <row r="34" spans="1:11" ht="15">
      <c r="A34" s="14"/>
      <c r="B34" s="18"/>
      <c r="C34" s="23"/>
      <c r="D34" s="23"/>
      <c r="E34" s="23"/>
      <c r="F34" s="23"/>
      <c r="G34" s="23"/>
      <c r="H34" s="23"/>
      <c r="I34" s="23"/>
      <c r="J34" s="23"/>
      <c r="K34" s="23"/>
    </row>
    <row r="35" spans="1:11" ht="18.75">
      <c r="A35" s="14"/>
      <c r="B35" s="716" t="s">
        <v>972</v>
      </c>
      <c r="C35" s="716"/>
      <c r="D35" s="716"/>
      <c r="E35" s="716"/>
      <c r="F35" s="716"/>
      <c r="G35" s="716"/>
      <c r="H35" s="716"/>
      <c r="I35" s="716"/>
      <c r="J35" s="716"/>
      <c r="K35" s="716"/>
    </row>
    <row r="36" spans="1:11" ht="15">
      <c r="A36" s="14"/>
      <c r="B36" s="44"/>
      <c r="C36" s="60"/>
      <c r="D36" s="60"/>
      <c r="E36" s="60"/>
      <c r="F36" s="60"/>
      <c r="G36" s="60"/>
      <c r="H36" s="60"/>
      <c r="I36" s="60"/>
      <c r="J36" s="60"/>
      <c r="K36" s="60"/>
    </row>
    <row r="37" spans="1:11" ht="15" customHeight="1">
      <c r="A37" s="14"/>
      <c r="B37" s="715" t="s">
        <v>1477</v>
      </c>
      <c r="C37" s="715"/>
      <c r="D37" s="715"/>
      <c r="E37" s="715"/>
      <c r="F37" s="715"/>
      <c r="G37" s="715"/>
      <c r="H37" s="715"/>
      <c r="I37" s="715"/>
      <c r="J37" s="715"/>
      <c r="K37" s="715"/>
    </row>
    <row r="38" spans="1:11" ht="15">
      <c r="A38" s="14"/>
      <c r="B38" s="715"/>
      <c r="C38" s="715"/>
      <c r="D38" s="715"/>
      <c r="E38" s="715"/>
      <c r="F38" s="715"/>
      <c r="G38" s="715"/>
      <c r="H38" s="715"/>
      <c r="I38" s="715"/>
      <c r="J38" s="715"/>
      <c r="K38" s="715"/>
    </row>
    <row r="39" spans="1:11" ht="15">
      <c r="A39" s="14"/>
      <c r="B39" s="715"/>
      <c r="C39" s="715"/>
      <c r="D39" s="715"/>
      <c r="E39" s="715"/>
      <c r="F39" s="715"/>
      <c r="G39" s="715"/>
      <c r="H39" s="715"/>
      <c r="I39" s="715"/>
      <c r="J39" s="715"/>
      <c r="K39" s="715"/>
    </row>
    <row r="40" spans="1:11" ht="15">
      <c r="A40" s="14"/>
      <c r="B40" s="49"/>
      <c r="C40" s="63"/>
      <c r="D40" s="63"/>
      <c r="E40" s="63"/>
      <c r="F40" s="60"/>
      <c r="G40" s="60"/>
      <c r="H40" s="60"/>
      <c r="I40" s="60"/>
      <c r="J40" s="60"/>
      <c r="K40" s="60"/>
    </row>
    <row r="41" spans="1:11" ht="15">
      <c r="A41" s="14"/>
      <c r="B41" s="11"/>
      <c r="C41" s="72"/>
      <c r="D41" s="73"/>
      <c r="E41" s="72" t="s">
        <v>283</v>
      </c>
      <c r="F41" s="1"/>
      <c r="G41" s="1"/>
      <c r="H41" s="1"/>
      <c r="I41" s="1"/>
      <c r="J41" s="1"/>
      <c r="K41" s="1"/>
    </row>
    <row r="42" spans="1:11" ht="15">
      <c r="A42" s="14"/>
      <c r="B42" s="13"/>
      <c r="C42" s="72" t="s">
        <v>229</v>
      </c>
      <c r="D42" s="55" t="s">
        <v>282</v>
      </c>
      <c r="E42" s="73" t="s">
        <v>917</v>
      </c>
      <c r="F42" s="73" t="s">
        <v>283</v>
      </c>
      <c r="G42" s="73" t="s">
        <v>298</v>
      </c>
      <c r="H42" s="73" t="s">
        <v>299</v>
      </c>
      <c r="I42" s="73" t="s">
        <v>300</v>
      </c>
      <c r="J42" s="73" t="s">
        <v>1087</v>
      </c>
      <c r="K42" s="73" t="s">
        <v>1224</v>
      </c>
    </row>
    <row r="43" spans="1:11" ht="15.75" thickBot="1">
      <c r="A43" s="14"/>
      <c r="B43" s="46"/>
      <c r="C43" s="75" t="s">
        <v>1</v>
      </c>
      <c r="D43" s="75" t="s">
        <v>1</v>
      </c>
      <c r="E43" s="75" t="s">
        <v>871</v>
      </c>
      <c r="F43" s="75" t="s">
        <v>20</v>
      </c>
      <c r="G43" s="75" t="s">
        <v>917</v>
      </c>
      <c r="H43" s="75" t="s">
        <v>20</v>
      </c>
      <c r="I43" s="75" t="s">
        <v>20</v>
      </c>
      <c r="J43" s="75" t="s">
        <v>20</v>
      </c>
      <c r="K43" s="75" t="s">
        <v>20</v>
      </c>
    </row>
    <row r="44" spans="1:11" ht="15">
      <c r="A44" s="14"/>
      <c r="B44" s="11"/>
      <c r="C44" s="50"/>
      <c r="D44" s="50"/>
      <c r="E44" s="50"/>
      <c r="F44" s="60"/>
      <c r="G44" s="60"/>
      <c r="H44" s="60"/>
      <c r="I44" s="60"/>
      <c r="J44" s="60"/>
      <c r="K44" s="60"/>
    </row>
    <row r="45" spans="1:11" ht="15">
      <c r="A45" s="14"/>
      <c r="B45" s="47" t="s">
        <v>659</v>
      </c>
      <c r="C45" s="50"/>
      <c r="D45" s="50"/>
      <c r="E45" s="50"/>
      <c r="F45" s="60"/>
      <c r="G45" s="60"/>
      <c r="H45" s="60"/>
      <c r="I45" s="60"/>
      <c r="J45" s="60"/>
      <c r="K45" s="60"/>
    </row>
    <row r="46" spans="1:11" ht="20.100000000000001" customHeight="1">
      <c r="A46" s="14"/>
      <c r="B46" s="15" t="s">
        <v>929</v>
      </c>
      <c r="C46" s="2">
        <f>'Budget Detail FY 2012-19'!N108</f>
        <v>170294</v>
      </c>
      <c r="D46" s="2">
        <f>'Budget Detail FY 2012-19'!O108</f>
        <v>176887</v>
      </c>
      <c r="E46" s="2">
        <f>'Budget Detail FY 2012-19'!P108</f>
        <v>189024</v>
      </c>
      <c r="F46" s="2">
        <f>'Budget Detail FY 2012-19'!Q108</f>
        <v>189024</v>
      </c>
      <c r="G46" s="2">
        <f>'Budget Detail FY 2012-19'!R108</f>
        <v>207142</v>
      </c>
      <c r="H46" s="2">
        <f>'Budget Detail FY 2012-19'!S108</f>
        <v>213356</v>
      </c>
      <c r="I46" s="2">
        <f>'Budget Detail FY 2012-19'!T108</f>
        <v>220823</v>
      </c>
      <c r="J46" s="2">
        <f>'Budget Detail FY 2012-19'!U108</f>
        <v>228552</v>
      </c>
      <c r="K46" s="2">
        <f>'Budget Detail FY 2012-19'!V108</f>
        <v>236551</v>
      </c>
    </row>
    <row r="47" spans="1:11" ht="20.100000000000001" customHeight="1">
      <c r="A47" s="14"/>
      <c r="B47" s="15" t="s">
        <v>930</v>
      </c>
      <c r="C47" s="2">
        <f>SUM('Budget Detail FY 2012-19'!N109:N114)</f>
        <v>29628</v>
      </c>
      <c r="D47" s="2">
        <f>SUM('Budget Detail FY 2012-19'!O109:O114)</f>
        <v>60326</v>
      </c>
      <c r="E47" s="2">
        <f>SUM('Budget Detail FY 2012-19'!P109:P114)</f>
        <v>64571</v>
      </c>
      <c r="F47" s="2">
        <f>SUM('Budget Detail FY 2012-19'!Q109:Q114)</f>
        <v>64137</v>
      </c>
      <c r="G47" s="2">
        <f>SUM('Budget Detail FY 2012-19'!R109:R114)</f>
        <v>73202</v>
      </c>
      <c r="H47" s="2">
        <f>SUM('Budget Detail FY 2012-19'!S109:S114)</f>
        <v>78730</v>
      </c>
      <c r="I47" s="2">
        <f>SUM('Budget Detail FY 2012-19'!T109:T114)</f>
        <v>84590</v>
      </c>
      <c r="J47" s="2">
        <f>SUM('Budget Detail FY 2012-19'!U109:U114)</f>
        <v>90918</v>
      </c>
      <c r="K47" s="2">
        <f>SUM('Budget Detail FY 2012-19'!V109:V114)</f>
        <v>97793</v>
      </c>
    </row>
    <row r="48" spans="1:11" ht="20.100000000000001" customHeight="1">
      <c r="A48" s="14"/>
      <c r="B48" s="15" t="s">
        <v>931</v>
      </c>
      <c r="C48" s="2">
        <f>SUM('Budget Detail FY 2012-19'!N115:N124)</f>
        <v>80204</v>
      </c>
      <c r="D48" s="2">
        <f>SUM('Budget Detail FY 2012-19'!O115:O124)</f>
        <v>58584</v>
      </c>
      <c r="E48" s="2">
        <f>SUM('Budget Detail FY 2012-19'!P115:P124)</f>
        <v>82550</v>
      </c>
      <c r="F48" s="2">
        <f>SUM('Budget Detail FY 2012-19'!Q115:Q124)</f>
        <v>81750</v>
      </c>
      <c r="G48" s="2">
        <f>SUM('Budget Detail FY 2012-19'!R115:R124)</f>
        <v>95450</v>
      </c>
      <c r="H48" s="2">
        <f>SUM('Budget Detail FY 2012-19'!S115:S124)</f>
        <v>96550</v>
      </c>
      <c r="I48" s="2">
        <f>SUM('Budget Detail FY 2012-19'!T115:T124)</f>
        <v>97650</v>
      </c>
      <c r="J48" s="2">
        <f>SUM('Budget Detail FY 2012-19'!U115:U124)</f>
        <v>100250</v>
      </c>
      <c r="K48" s="2">
        <f>SUM('Budget Detail FY 2012-19'!V115:V124)</f>
        <v>100250</v>
      </c>
    </row>
    <row r="49" spans="2:12" ht="20.100000000000001" customHeight="1">
      <c r="B49" s="15" t="s">
        <v>932</v>
      </c>
      <c r="C49" s="2">
        <f>SUM('Budget Detail FY 2012-19'!N125:N127)</f>
        <v>4042</v>
      </c>
      <c r="D49" s="2">
        <f>SUM('Budget Detail FY 2012-19'!O125:O127)</f>
        <v>2105</v>
      </c>
      <c r="E49" s="2">
        <f>SUM('Budget Detail FY 2012-19'!P125:P127)</f>
        <v>5250</v>
      </c>
      <c r="F49" s="2">
        <f>SUM('Budget Detail FY 2012-19'!Q125:Q127)</f>
        <v>5250</v>
      </c>
      <c r="G49" s="2">
        <f>SUM('Budget Detail FY 2012-19'!R125:R127)</f>
        <v>5100</v>
      </c>
      <c r="H49" s="2">
        <f>SUM('Budget Detail FY 2012-19'!S125:S127)</f>
        <v>5100</v>
      </c>
      <c r="I49" s="2">
        <f>SUM('Budget Detail FY 2012-19'!T125:T127)</f>
        <v>5100</v>
      </c>
      <c r="J49" s="2">
        <f>SUM('Budget Detail FY 2012-19'!U125:U127)</f>
        <v>5100</v>
      </c>
      <c r="K49" s="2">
        <f>SUM('Budget Detail FY 2012-19'!V125:V127)</f>
        <v>5100</v>
      </c>
    </row>
    <row r="50" spans="2:12" s="126" customFormat="1" ht="20.100000000000001" customHeight="1" thickBot="1">
      <c r="B50" s="127" t="s">
        <v>1089</v>
      </c>
      <c r="C50" s="91">
        <f t="shared" ref="C50:J50" si="2">SUM(C46:C49)</f>
        <v>284168</v>
      </c>
      <c r="D50" s="91">
        <f>SUM(D46:D49)</f>
        <v>297902</v>
      </c>
      <c r="E50" s="91">
        <f t="shared" si="2"/>
        <v>341395</v>
      </c>
      <c r="F50" s="91">
        <f t="shared" si="2"/>
        <v>340161</v>
      </c>
      <c r="G50" s="91">
        <f t="shared" si="2"/>
        <v>380894</v>
      </c>
      <c r="H50" s="91">
        <f t="shared" si="2"/>
        <v>393736</v>
      </c>
      <c r="I50" s="91">
        <f t="shared" si="2"/>
        <v>408163</v>
      </c>
      <c r="J50" s="91">
        <f t="shared" si="2"/>
        <v>424820</v>
      </c>
      <c r="K50" s="91">
        <f>SUM(K46:K49)</f>
        <v>439694</v>
      </c>
      <c r="L50" s="154"/>
    </row>
    <row r="51" spans="2:12" s="154" customFormat="1" ht="15.75" hidden="1" customHeight="1" thickTop="1">
      <c r="B51" s="140"/>
      <c r="C51" s="153">
        <f>'Budget Detail FY 2012-19'!N128</f>
        <v>284168</v>
      </c>
      <c r="D51" s="153">
        <f>'Budget Detail FY 2012-19'!O128</f>
        <v>297902</v>
      </c>
      <c r="E51" s="153">
        <f>'Budget Detail FY 2012-19'!P128</f>
        <v>341395</v>
      </c>
      <c r="F51" s="153">
        <f>'Budget Detail FY 2012-19'!Q128</f>
        <v>340161</v>
      </c>
      <c r="G51" s="153">
        <f>'Budget Detail FY 2012-19'!R128</f>
        <v>380894</v>
      </c>
      <c r="H51" s="153">
        <f>'Budget Detail FY 2012-19'!S128</f>
        <v>393736</v>
      </c>
      <c r="I51" s="153">
        <f>'Budget Detail FY 2012-19'!T128</f>
        <v>408163</v>
      </c>
      <c r="J51" s="153">
        <f>'Budget Detail FY 2012-19'!U128</f>
        <v>424820</v>
      </c>
      <c r="K51" s="153">
        <f>'Budget Detail FY 2012-19'!V128</f>
        <v>439694</v>
      </c>
    </row>
    <row r="52" spans="2:12" s="161" customFormat="1" ht="14.25" hidden="1" customHeight="1">
      <c r="B52" s="143"/>
      <c r="C52" s="160">
        <f>C50-C51</f>
        <v>0</v>
      </c>
      <c r="D52" s="160">
        <f t="shared" ref="D52:K52" si="3">D50-D51</f>
        <v>0</v>
      </c>
      <c r="E52" s="160">
        <f t="shared" si="3"/>
        <v>0</v>
      </c>
      <c r="F52" s="160">
        <f t="shared" si="3"/>
        <v>0</v>
      </c>
      <c r="G52" s="160">
        <f t="shared" si="3"/>
        <v>0</v>
      </c>
      <c r="H52" s="160">
        <f t="shared" si="3"/>
        <v>0</v>
      </c>
      <c r="I52" s="160">
        <f t="shared" si="3"/>
        <v>0</v>
      </c>
      <c r="J52" s="160">
        <f t="shared" si="3"/>
        <v>0</v>
      </c>
      <c r="K52" s="160">
        <f t="shared" si="3"/>
        <v>0</v>
      </c>
    </row>
    <row r="53" spans="2:12" s="126" customFormat="1" ht="15" thickTop="1">
      <c r="B53" s="17"/>
      <c r="C53" s="151"/>
      <c r="D53" s="151"/>
      <c r="E53" s="151"/>
      <c r="F53" s="151"/>
      <c r="G53" s="151"/>
      <c r="H53" s="151"/>
      <c r="I53" s="151"/>
      <c r="J53" s="151"/>
      <c r="K53" s="151"/>
    </row>
    <row r="54" spans="2:12" ht="15">
      <c r="B54" s="11"/>
      <c r="C54" s="50"/>
      <c r="D54" s="50"/>
      <c r="E54" s="50"/>
      <c r="F54" s="60"/>
      <c r="G54" s="60"/>
      <c r="H54" s="60"/>
      <c r="I54" s="60"/>
      <c r="J54" s="60"/>
      <c r="K54" s="60"/>
    </row>
    <row r="55" spans="2:12" ht="15">
      <c r="B55" s="11"/>
      <c r="C55" s="50"/>
      <c r="D55" s="50"/>
      <c r="E55" s="50"/>
      <c r="F55" s="60"/>
      <c r="G55" s="60"/>
      <c r="H55" s="60"/>
      <c r="I55" s="60"/>
      <c r="J55" s="60"/>
      <c r="K55" s="60"/>
    </row>
    <row r="56" spans="2:12" ht="12.75" customHeight="1">
      <c r="B56" s="11"/>
      <c r="C56" s="50"/>
      <c r="D56" s="50"/>
      <c r="E56" s="50"/>
      <c r="F56" s="60"/>
      <c r="G56" s="60"/>
      <c r="H56" s="60"/>
      <c r="I56" s="60"/>
      <c r="J56" s="60"/>
      <c r="K56" s="60"/>
    </row>
    <row r="57" spans="2:12" ht="17.25" customHeight="1">
      <c r="B57" s="11"/>
      <c r="C57" s="50"/>
      <c r="D57" s="50"/>
      <c r="E57" s="50"/>
      <c r="F57" s="60"/>
      <c r="G57" s="60"/>
      <c r="H57" s="60"/>
      <c r="I57" s="60"/>
      <c r="J57" s="60"/>
      <c r="K57" s="60"/>
    </row>
    <row r="58" spans="2:12" ht="15">
      <c r="B58" s="11"/>
      <c r="C58" s="50"/>
      <c r="D58" s="50"/>
      <c r="E58" s="50"/>
      <c r="F58" s="60"/>
      <c r="G58" s="60"/>
      <c r="H58" s="60"/>
      <c r="I58" s="60"/>
      <c r="J58" s="60"/>
      <c r="K58" s="60"/>
    </row>
    <row r="59" spans="2:12" ht="15">
      <c r="B59" s="11"/>
      <c r="C59" s="50"/>
      <c r="D59" s="50"/>
      <c r="E59" s="50"/>
      <c r="F59" s="60"/>
      <c r="G59" s="60"/>
      <c r="H59" s="60"/>
      <c r="I59" s="60"/>
      <c r="J59" s="60"/>
      <c r="K59" s="60"/>
    </row>
    <row r="60" spans="2:12" ht="15">
      <c r="B60" s="11"/>
      <c r="C60" s="50"/>
      <c r="D60" s="50"/>
      <c r="E60" s="50"/>
      <c r="F60" s="60"/>
      <c r="G60" s="60"/>
      <c r="H60" s="60"/>
      <c r="I60" s="60"/>
      <c r="J60" s="60"/>
      <c r="K60" s="60"/>
    </row>
    <row r="61" spans="2:12" ht="15">
      <c r="B61" s="11"/>
      <c r="C61" s="50"/>
      <c r="D61" s="50"/>
      <c r="E61" s="50"/>
      <c r="F61" s="60"/>
      <c r="G61" s="60"/>
      <c r="H61" s="60"/>
      <c r="I61" s="60"/>
      <c r="J61" s="60"/>
      <c r="K61" s="60"/>
    </row>
    <row r="62" spans="2:12" ht="15">
      <c r="B62" s="11"/>
      <c r="C62" s="50"/>
      <c r="D62" s="50"/>
      <c r="E62" s="50"/>
      <c r="F62" s="60"/>
      <c r="G62" s="60"/>
      <c r="H62" s="60"/>
      <c r="I62" s="60"/>
      <c r="J62" s="60"/>
      <c r="K62" s="60"/>
    </row>
    <row r="63" spans="2:12" ht="15">
      <c r="B63" s="11"/>
      <c r="C63" s="50"/>
      <c r="D63" s="50"/>
      <c r="E63" s="50"/>
      <c r="F63" s="60"/>
      <c r="G63" s="60"/>
      <c r="H63" s="60"/>
      <c r="I63" s="60"/>
      <c r="J63" s="60"/>
      <c r="K63" s="60"/>
    </row>
    <row r="64" spans="2:12" ht="15">
      <c r="B64" s="11"/>
      <c r="C64" s="50"/>
      <c r="D64" s="50"/>
      <c r="E64" s="50"/>
      <c r="F64" s="60"/>
      <c r="G64" s="60"/>
      <c r="H64" s="60"/>
      <c r="I64" s="60"/>
      <c r="J64" s="60"/>
      <c r="K64" s="60"/>
    </row>
    <row r="65" spans="2:11" ht="15">
      <c r="B65" s="11"/>
      <c r="C65" s="50"/>
      <c r="D65" s="50"/>
      <c r="E65" s="50"/>
      <c r="F65" s="60"/>
      <c r="G65" s="60"/>
      <c r="H65" s="60"/>
      <c r="I65" s="60"/>
      <c r="J65" s="60"/>
      <c r="K65" s="60"/>
    </row>
    <row r="66" spans="2:11" ht="15">
      <c r="B66" s="24"/>
      <c r="C66" s="26"/>
      <c r="D66" s="26"/>
      <c r="E66" s="26"/>
      <c r="F66" s="26"/>
      <c r="G66" s="26"/>
      <c r="H66" s="26"/>
      <c r="I66" s="26"/>
      <c r="J66" s="26"/>
      <c r="K66" s="26"/>
    </row>
    <row r="67" spans="2:11" ht="18.75" customHeight="1">
      <c r="B67" s="714" t="s">
        <v>973</v>
      </c>
      <c r="C67" s="714"/>
      <c r="D67" s="714"/>
      <c r="E67" s="714"/>
      <c r="F67" s="714"/>
      <c r="G67" s="714"/>
      <c r="H67" s="714"/>
      <c r="I67" s="714"/>
      <c r="J67" s="714"/>
      <c r="K67" s="714"/>
    </row>
    <row r="68" spans="2:11" ht="15">
      <c r="B68" s="44"/>
      <c r="C68" s="60"/>
      <c r="D68" s="60"/>
      <c r="E68" s="60"/>
      <c r="F68" s="60"/>
      <c r="G68" s="60"/>
      <c r="H68" s="60"/>
      <c r="I68" s="60"/>
      <c r="J68" s="60"/>
      <c r="K68" s="60"/>
    </row>
    <row r="69" spans="2:11" ht="12.75" customHeight="1">
      <c r="B69" s="721" t="s">
        <v>1478</v>
      </c>
      <c r="C69" s="721"/>
      <c r="D69" s="721"/>
      <c r="E69" s="721"/>
      <c r="F69" s="721"/>
      <c r="G69" s="721"/>
      <c r="H69" s="721"/>
      <c r="I69" s="721"/>
      <c r="J69" s="721"/>
      <c r="K69" s="721"/>
    </row>
    <row r="70" spans="2:11" ht="12.75" customHeight="1">
      <c r="B70" s="721"/>
      <c r="C70" s="721"/>
      <c r="D70" s="721"/>
      <c r="E70" s="721"/>
      <c r="F70" s="721"/>
      <c r="G70" s="721"/>
      <c r="H70" s="721"/>
      <c r="I70" s="721"/>
      <c r="J70" s="721"/>
      <c r="K70" s="721"/>
    </row>
    <row r="71" spans="2:11" ht="15">
      <c r="B71" s="51"/>
      <c r="C71" s="64"/>
      <c r="D71" s="64"/>
      <c r="E71" s="64"/>
      <c r="F71" s="60"/>
      <c r="G71" s="60"/>
      <c r="H71" s="60"/>
      <c r="I71" s="60"/>
      <c r="J71" s="60"/>
      <c r="K71" s="60"/>
    </row>
    <row r="72" spans="2:11" ht="15">
      <c r="B72" s="11"/>
      <c r="C72" s="72"/>
      <c r="D72" s="73"/>
      <c r="E72" s="72" t="s">
        <v>283</v>
      </c>
      <c r="F72" s="1"/>
      <c r="G72" s="1"/>
      <c r="H72" s="1"/>
      <c r="I72" s="1"/>
      <c r="J72" s="1"/>
      <c r="K72" s="1"/>
    </row>
    <row r="73" spans="2:11" ht="15">
      <c r="B73" s="13"/>
      <c r="C73" s="72" t="s">
        <v>229</v>
      </c>
      <c r="D73" s="55" t="s">
        <v>282</v>
      </c>
      <c r="E73" s="73" t="s">
        <v>917</v>
      </c>
      <c r="F73" s="73" t="s">
        <v>283</v>
      </c>
      <c r="G73" s="73" t="s">
        <v>298</v>
      </c>
      <c r="H73" s="73" t="s">
        <v>299</v>
      </c>
      <c r="I73" s="73" t="s">
        <v>300</v>
      </c>
      <c r="J73" s="73" t="s">
        <v>1087</v>
      </c>
      <c r="K73" s="73" t="s">
        <v>1224</v>
      </c>
    </row>
    <row r="74" spans="2:11" ht="15.75" thickBot="1">
      <c r="B74" s="46"/>
      <c r="C74" s="75" t="s">
        <v>1</v>
      </c>
      <c r="D74" s="75" t="s">
        <v>1</v>
      </c>
      <c r="E74" s="75" t="s">
        <v>871</v>
      </c>
      <c r="F74" s="75" t="s">
        <v>20</v>
      </c>
      <c r="G74" s="75" t="s">
        <v>917</v>
      </c>
      <c r="H74" s="75" t="s">
        <v>20</v>
      </c>
      <c r="I74" s="75" t="s">
        <v>20</v>
      </c>
      <c r="J74" s="75" t="s">
        <v>20</v>
      </c>
      <c r="K74" s="75" t="s">
        <v>20</v>
      </c>
    </row>
    <row r="75" spans="2:11" ht="15">
      <c r="B75" s="11"/>
      <c r="C75" s="50"/>
      <c r="D75" s="50"/>
      <c r="E75" s="50"/>
      <c r="F75" s="60"/>
      <c r="G75" s="60"/>
      <c r="H75" s="60"/>
      <c r="I75" s="60"/>
      <c r="J75" s="60"/>
      <c r="K75" s="60"/>
    </row>
    <row r="76" spans="2:11" ht="15">
      <c r="B76" s="47" t="s">
        <v>659</v>
      </c>
      <c r="C76" s="50"/>
      <c r="D76" s="50"/>
      <c r="E76" s="50"/>
      <c r="F76" s="60"/>
      <c r="G76" s="60"/>
      <c r="H76" s="60"/>
      <c r="I76" s="60"/>
      <c r="J76" s="60"/>
      <c r="K76" s="60"/>
    </row>
    <row r="77" spans="2:11" ht="20.100000000000001" customHeight="1">
      <c r="B77" s="15" t="s">
        <v>929</v>
      </c>
      <c r="C77" s="2">
        <f>SUM('Budget Detail FY 2012-19'!N131:N131)</f>
        <v>75383</v>
      </c>
      <c r="D77" s="2">
        <f>SUM('Budget Detail FY 2012-19'!O131:O131)</f>
        <v>0</v>
      </c>
      <c r="E77" s="2">
        <f>SUM('Budget Detail FY 2012-19'!P131:P131)</f>
        <v>0</v>
      </c>
      <c r="F77" s="2">
        <f>SUM('Budget Detail FY 2012-19'!Q131:Q131)</f>
        <v>0</v>
      </c>
      <c r="G77" s="2">
        <f>SUM('Budget Detail FY 2012-19'!R131:R131)</f>
        <v>0</v>
      </c>
      <c r="H77" s="2">
        <f>SUM('Budget Detail FY 2012-19'!S131:S131)</f>
        <v>0</v>
      </c>
      <c r="I77" s="2">
        <f>SUM('Budget Detail FY 2012-19'!T131:T131)</f>
        <v>0</v>
      </c>
      <c r="J77" s="2">
        <f>SUM('Budget Detail FY 2012-19'!U131:U131)</f>
        <v>0</v>
      </c>
      <c r="K77" s="2">
        <f>SUM('Budget Detail FY 2012-19'!V131:V131)</f>
        <v>0</v>
      </c>
    </row>
    <row r="78" spans="2:11" ht="20.100000000000001" customHeight="1">
      <c r="B78" s="15" t="s">
        <v>930</v>
      </c>
      <c r="C78" s="2">
        <f>SUM('Budget Detail FY 2012-19'!N132:N137)</f>
        <v>22485</v>
      </c>
      <c r="D78" s="2">
        <f>SUM('Budget Detail FY 2012-19'!O132:O137)</f>
        <v>0</v>
      </c>
      <c r="E78" s="2">
        <f>SUM('Budget Detail FY 2012-19'!P132:P137)</f>
        <v>0</v>
      </c>
      <c r="F78" s="2">
        <f>SUM('Budget Detail FY 2012-19'!Q132:Q137)</f>
        <v>0</v>
      </c>
      <c r="G78" s="2">
        <f>SUM('Budget Detail FY 2012-19'!R132:R137)</f>
        <v>0</v>
      </c>
      <c r="H78" s="2">
        <f>SUM('Budget Detail FY 2012-19'!S132:S137)</f>
        <v>0</v>
      </c>
      <c r="I78" s="2">
        <f>SUM('Budget Detail FY 2012-19'!T132:T137)</f>
        <v>0</v>
      </c>
      <c r="J78" s="2">
        <f>SUM('Budget Detail FY 2012-19'!U132:U137)</f>
        <v>0</v>
      </c>
      <c r="K78" s="2">
        <f>SUM('Budget Detail FY 2012-19'!V132:V137)</f>
        <v>0</v>
      </c>
    </row>
    <row r="79" spans="2:11" ht="20.100000000000001" customHeight="1">
      <c r="B79" s="15" t="s">
        <v>931</v>
      </c>
      <c r="C79" s="2">
        <f>SUM('Budget Detail FY 2012-19'!N138:N144)</f>
        <v>4348</v>
      </c>
      <c r="D79" s="2">
        <f>SUM('Budget Detail FY 2012-19'!O138:O144)</f>
        <v>0</v>
      </c>
      <c r="E79" s="2">
        <f>SUM('Budget Detail FY 2012-19'!P138:P144)</f>
        <v>0</v>
      </c>
      <c r="F79" s="2">
        <f>SUM('Budget Detail FY 2012-19'!Q138:Q144)</f>
        <v>0</v>
      </c>
      <c r="G79" s="2">
        <f>SUM('Budget Detail FY 2012-19'!R138:R144)</f>
        <v>0</v>
      </c>
      <c r="H79" s="2">
        <f>SUM('Budget Detail FY 2012-19'!S138:S144)</f>
        <v>0</v>
      </c>
      <c r="I79" s="2">
        <f>SUM('Budget Detail FY 2012-19'!T138:T144)</f>
        <v>0</v>
      </c>
      <c r="J79" s="2">
        <f>SUM('Budget Detail FY 2012-19'!U138:U144)</f>
        <v>0</v>
      </c>
      <c r="K79" s="2">
        <f>SUM('Budget Detail FY 2012-19'!V138:V144)</f>
        <v>0</v>
      </c>
    </row>
    <row r="80" spans="2:11" ht="20.100000000000001" customHeight="1">
      <c r="B80" s="15" t="s">
        <v>932</v>
      </c>
      <c r="C80" s="2">
        <f>SUM('Budget Detail FY 2012-19'!N145:N145)</f>
        <v>7</v>
      </c>
      <c r="D80" s="2">
        <f>SUM('Budget Detail FY 2012-19'!O145:O145)</f>
        <v>0</v>
      </c>
      <c r="E80" s="2">
        <f>SUM('Budget Detail FY 2012-19'!P145:P145)</f>
        <v>0</v>
      </c>
      <c r="F80" s="2">
        <f>SUM('Budget Detail FY 2012-19'!Q145:Q145)</f>
        <v>0</v>
      </c>
      <c r="G80" s="2">
        <f>SUM('Budget Detail FY 2012-19'!R145:R145)</f>
        <v>0</v>
      </c>
      <c r="H80" s="2">
        <f>SUM('Budget Detail FY 2012-19'!S145:S145)</f>
        <v>0</v>
      </c>
      <c r="I80" s="2">
        <f>SUM('Budget Detail FY 2012-19'!T145:T145)</f>
        <v>0</v>
      </c>
      <c r="J80" s="2">
        <f>SUM('Budget Detail FY 2012-19'!U145:U145)</f>
        <v>0</v>
      </c>
      <c r="K80" s="2">
        <f>SUM('Budget Detail FY 2012-19'!V145:V145)</f>
        <v>0</v>
      </c>
    </row>
    <row r="81" spans="2:12" s="126" customFormat="1" ht="20.100000000000001" customHeight="1" thickBot="1">
      <c r="B81" s="127" t="s">
        <v>1090</v>
      </c>
      <c r="C81" s="91">
        <f>SUM(C77:C80)</f>
        <v>102223</v>
      </c>
      <c r="D81" s="91">
        <f t="shared" ref="D81:J81" si="4">SUM(D77:D80)</f>
        <v>0</v>
      </c>
      <c r="E81" s="91">
        <f t="shared" si="4"/>
        <v>0</v>
      </c>
      <c r="F81" s="91">
        <f t="shared" si="4"/>
        <v>0</v>
      </c>
      <c r="G81" s="91">
        <f t="shared" si="4"/>
        <v>0</v>
      </c>
      <c r="H81" s="91">
        <f t="shared" si="4"/>
        <v>0</v>
      </c>
      <c r="I81" s="91">
        <f t="shared" si="4"/>
        <v>0</v>
      </c>
      <c r="J81" s="91">
        <f t="shared" si="4"/>
        <v>0</v>
      </c>
      <c r="K81" s="91">
        <f>SUM(K77:K80)</f>
        <v>0</v>
      </c>
      <c r="L81" s="154"/>
    </row>
    <row r="82" spans="2:12" s="154" customFormat="1" ht="15.75" hidden="1" thickTop="1">
      <c r="B82" s="140"/>
      <c r="C82" s="153">
        <f>'Budget Detail FY 2012-19'!N146</f>
        <v>102223</v>
      </c>
      <c r="D82" s="153">
        <f>'Budget Detail FY 2012-19'!O146</f>
        <v>0</v>
      </c>
      <c r="E82" s="153">
        <f>'Budget Detail FY 2012-19'!P146</f>
        <v>0</v>
      </c>
      <c r="F82" s="153">
        <f>'Budget Detail FY 2012-19'!Q146</f>
        <v>0</v>
      </c>
      <c r="G82" s="153">
        <f>'Budget Detail FY 2012-19'!R146</f>
        <v>0</v>
      </c>
      <c r="H82" s="153">
        <f>'Budget Detail FY 2012-19'!S146</f>
        <v>0</v>
      </c>
      <c r="I82" s="153">
        <f>'Budget Detail FY 2012-19'!T146</f>
        <v>0</v>
      </c>
      <c r="J82" s="153">
        <f>'Budget Detail FY 2012-19'!U146</f>
        <v>0</v>
      </c>
      <c r="K82" s="153">
        <f>'Budget Detail FY 2012-19'!V146</f>
        <v>0</v>
      </c>
    </row>
    <row r="83" spans="2:12" s="161" customFormat="1" ht="14.25" hidden="1">
      <c r="B83" s="143"/>
      <c r="C83" s="160">
        <f>C81-C82</f>
        <v>0</v>
      </c>
      <c r="D83" s="160">
        <f t="shared" ref="D83:K83" si="5">D81-D82</f>
        <v>0</v>
      </c>
      <c r="E83" s="160">
        <f t="shared" si="5"/>
        <v>0</v>
      </c>
      <c r="F83" s="160">
        <f t="shared" si="5"/>
        <v>0</v>
      </c>
      <c r="G83" s="160">
        <f t="shared" si="5"/>
        <v>0</v>
      </c>
      <c r="H83" s="160">
        <f t="shared" si="5"/>
        <v>0</v>
      </c>
      <c r="I83" s="160">
        <f t="shared" si="5"/>
        <v>0</v>
      </c>
      <c r="J83" s="160">
        <f t="shared" si="5"/>
        <v>0</v>
      </c>
      <c r="K83" s="160">
        <f t="shared" si="5"/>
        <v>0</v>
      </c>
    </row>
    <row r="84" spans="2:12" s="126" customFormat="1" ht="15" thickTop="1">
      <c r="B84" s="17"/>
      <c r="C84" s="151"/>
      <c r="D84" s="151"/>
      <c r="E84" s="151"/>
      <c r="F84" s="151"/>
      <c r="G84" s="151"/>
      <c r="H84" s="151"/>
      <c r="I84" s="151"/>
      <c r="J84" s="151"/>
      <c r="K84" s="151"/>
    </row>
    <row r="85" spans="2:12" ht="15">
      <c r="B85" s="11"/>
      <c r="C85" s="50"/>
      <c r="D85" s="50"/>
      <c r="E85" s="50"/>
      <c r="F85" s="60"/>
      <c r="G85" s="60"/>
      <c r="H85" s="60"/>
      <c r="I85" s="60"/>
      <c r="J85" s="60"/>
      <c r="K85" s="60"/>
    </row>
    <row r="86" spans="2:12" ht="15">
      <c r="B86" s="11"/>
      <c r="C86" s="50"/>
      <c r="D86" s="50"/>
      <c r="E86" s="50"/>
      <c r="F86" s="60"/>
      <c r="G86" s="60"/>
      <c r="H86" s="60"/>
      <c r="I86" s="60"/>
      <c r="J86" s="60"/>
      <c r="K86" s="60"/>
    </row>
    <row r="87" spans="2:12" ht="15">
      <c r="B87" s="11"/>
      <c r="C87" s="50"/>
      <c r="D87" s="50"/>
      <c r="E87" s="50"/>
      <c r="F87" s="60"/>
      <c r="G87" s="60"/>
      <c r="H87" s="60"/>
      <c r="I87" s="60"/>
      <c r="J87" s="60"/>
      <c r="K87" s="60"/>
    </row>
    <row r="88" spans="2:12" ht="15">
      <c r="B88" s="11"/>
      <c r="C88" s="50"/>
      <c r="D88" s="50"/>
      <c r="E88" s="50"/>
      <c r="F88" s="60"/>
      <c r="G88" s="60"/>
      <c r="H88" s="60"/>
      <c r="I88" s="60"/>
      <c r="J88" s="60"/>
      <c r="K88" s="60"/>
    </row>
    <row r="89" spans="2:12" ht="15">
      <c r="B89" s="11"/>
      <c r="C89" s="50"/>
      <c r="D89" s="50"/>
      <c r="E89" s="50"/>
      <c r="F89" s="60"/>
      <c r="G89" s="60"/>
      <c r="H89" s="60"/>
      <c r="I89" s="60"/>
      <c r="J89" s="60"/>
      <c r="K89" s="60"/>
    </row>
    <row r="90" spans="2:12" ht="15">
      <c r="B90" s="11"/>
      <c r="C90" s="50"/>
      <c r="D90" s="50"/>
      <c r="E90" s="50"/>
      <c r="F90" s="60"/>
      <c r="G90" s="60"/>
      <c r="H90" s="60"/>
      <c r="I90" s="60"/>
      <c r="J90" s="60"/>
      <c r="K90" s="60"/>
    </row>
    <row r="91" spans="2:12" ht="15">
      <c r="B91" s="11"/>
      <c r="C91" s="50"/>
      <c r="D91" s="50"/>
      <c r="E91" s="50"/>
      <c r="F91" s="60"/>
      <c r="G91" s="60"/>
      <c r="H91" s="60"/>
      <c r="I91" s="60"/>
      <c r="J91" s="60"/>
      <c r="K91" s="60"/>
    </row>
    <row r="92" spans="2:12" ht="15">
      <c r="B92" s="11"/>
      <c r="C92" s="50"/>
      <c r="D92" s="50"/>
      <c r="E92" s="50"/>
      <c r="F92" s="60"/>
      <c r="G92" s="60"/>
      <c r="H92" s="60"/>
      <c r="I92" s="60"/>
      <c r="J92" s="60"/>
      <c r="K92" s="60"/>
    </row>
    <row r="93" spans="2:12" ht="15">
      <c r="B93" s="11"/>
      <c r="C93" s="50"/>
      <c r="D93" s="50"/>
      <c r="E93" s="50"/>
      <c r="F93" s="60"/>
      <c r="G93" s="60"/>
      <c r="H93" s="60"/>
      <c r="I93" s="60"/>
      <c r="J93" s="60"/>
      <c r="K93" s="60"/>
    </row>
    <row r="94" spans="2:12" ht="15">
      <c r="B94" s="11"/>
      <c r="C94" s="50"/>
      <c r="D94" s="50"/>
      <c r="E94" s="50"/>
      <c r="F94" s="60"/>
      <c r="G94" s="60"/>
      <c r="H94" s="60"/>
      <c r="I94" s="60"/>
      <c r="J94" s="60"/>
      <c r="K94" s="60"/>
    </row>
    <row r="95" spans="2:12" ht="15">
      <c r="B95" s="11"/>
      <c r="C95" s="50"/>
      <c r="D95" s="50"/>
      <c r="E95" s="50"/>
      <c r="F95" s="60"/>
      <c r="G95" s="60"/>
      <c r="H95" s="60"/>
      <c r="I95" s="60"/>
      <c r="J95" s="60"/>
      <c r="K95" s="60"/>
    </row>
    <row r="96" spans="2:12" ht="21" customHeight="1">
      <c r="B96" s="11"/>
      <c r="C96" s="50"/>
      <c r="D96" s="50"/>
      <c r="E96" s="50"/>
      <c r="F96" s="60"/>
      <c r="G96" s="60"/>
      <c r="H96" s="60"/>
      <c r="I96" s="60"/>
      <c r="J96" s="60"/>
      <c r="K96" s="60"/>
    </row>
    <row r="98" spans="2:12" ht="18.75">
      <c r="B98" s="722" t="s">
        <v>974</v>
      </c>
      <c r="C98" s="722"/>
      <c r="D98" s="722"/>
      <c r="E98" s="722"/>
      <c r="F98" s="722"/>
      <c r="G98" s="722"/>
      <c r="H98" s="722"/>
      <c r="I98" s="722"/>
      <c r="J98" s="722"/>
      <c r="K98" s="722"/>
    </row>
    <row r="99" spans="2:12" ht="15">
      <c r="B99" s="44"/>
      <c r="C99" s="60"/>
      <c r="D99" s="60"/>
      <c r="E99" s="60"/>
      <c r="F99" s="60"/>
      <c r="G99" s="60"/>
      <c r="H99" s="60"/>
      <c r="I99" s="60"/>
      <c r="J99" s="60"/>
      <c r="K99" s="60"/>
    </row>
    <row r="100" spans="2:12" ht="12.75" customHeight="1">
      <c r="B100" s="723" t="s">
        <v>1479</v>
      </c>
      <c r="C100" s="723"/>
      <c r="D100" s="723"/>
      <c r="E100" s="723"/>
      <c r="F100" s="723"/>
      <c r="G100" s="723"/>
      <c r="H100" s="723"/>
      <c r="I100" s="723"/>
      <c r="J100" s="723"/>
      <c r="K100" s="723"/>
    </row>
    <row r="101" spans="2:12" ht="18.75" customHeight="1">
      <c r="B101" s="723"/>
      <c r="C101" s="723"/>
      <c r="D101" s="723"/>
      <c r="E101" s="723"/>
      <c r="F101" s="723"/>
      <c r="G101" s="723"/>
      <c r="H101" s="723"/>
      <c r="I101" s="723"/>
      <c r="J101" s="723"/>
      <c r="K101" s="723"/>
    </row>
    <row r="102" spans="2:12" ht="15">
      <c r="B102" s="52"/>
      <c r="C102" s="65"/>
      <c r="D102" s="65"/>
      <c r="E102" s="65"/>
      <c r="F102" s="60"/>
      <c r="G102" s="60"/>
      <c r="H102" s="60"/>
      <c r="I102" s="60"/>
      <c r="J102" s="60"/>
      <c r="K102" s="60"/>
    </row>
    <row r="103" spans="2:12" ht="15">
      <c r="B103" s="11"/>
      <c r="C103" s="72"/>
      <c r="D103" s="73"/>
      <c r="E103" s="72" t="s">
        <v>283</v>
      </c>
      <c r="F103" s="1"/>
      <c r="G103" s="1"/>
      <c r="H103" s="1"/>
      <c r="I103" s="1"/>
      <c r="J103" s="1"/>
      <c r="K103" s="1"/>
    </row>
    <row r="104" spans="2:12" ht="15">
      <c r="B104" s="13"/>
      <c r="C104" s="72" t="s">
        <v>229</v>
      </c>
      <c r="D104" s="55" t="s">
        <v>282</v>
      </c>
      <c r="E104" s="73" t="s">
        <v>917</v>
      </c>
      <c r="F104" s="73" t="s">
        <v>283</v>
      </c>
      <c r="G104" s="73" t="s">
        <v>298</v>
      </c>
      <c r="H104" s="73" t="s">
        <v>299</v>
      </c>
      <c r="I104" s="73" t="s">
        <v>300</v>
      </c>
      <c r="J104" s="73" t="s">
        <v>1087</v>
      </c>
      <c r="K104" s="73" t="s">
        <v>1224</v>
      </c>
    </row>
    <row r="105" spans="2:12" ht="15.75" thickBot="1">
      <c r="B105" s="46"/>
      <c r="C105" s="75" t="s">
        <v>1</v>
      </c>
      <c r="D105" s="75" t="s">
        <v>1</v>
      </c>
      <c r="E105" s="75" t="s">
        <v>871</v>
      </c>
      <c r="F105" s="75" t="s">
        <v>20</v>
      </c>
      <c r="G105" s="75" t="s">
        <v>917</v>
      </c>
      <c r="H105" s="75" t="s">
        <v>20</v>
      </c>
      <c r="I105" s="75" t="s">
        <v>20</v>
      </c>
      <c r="J105" s="75" t="s">
        <v>20</v>
      </c>
      <c r="K105" s="75" t="s">
        <v>20</v>
      </c>
    </row>
    <row r="106" spans="2:12" ht="15">
      <c r="B106" s="11"/>
      <c r="C106" s="50"/>
      <c r="D106" s="50"/>
      <c r="E106" s="50"/>
      <c r="F106" s="60"/>
      <c r="G106" s="60"/>
      <c r="H106" s="60"/>
      <c r="I106" s="60"/>
      <c r="J106" s="60"/>
      <c r="K106" s="60"/>
    </row>
    <row r="107" spans="2:12" ht="15">
      <c r="B107" s="47" t="s">
        <v>659</v>
      </c>
      <c r="C107" s="50"/>
      <c r="D107" s="50"/>
      <c r="E107" s="50"/>
      <c r="F107" s="60"/>
      <c r="G107" s="60"/>
      <c r="H107" s="60"/>
      <c r="I107" s="60"/>
      <c r="J107" s="60"/>
      <c r="K107" s="60"/>
    </row>
    <row r="108" spans="2:12" ht="20.100000000000001" customHeight="1">
      <c r="B108" s="15" t="s">
        <v>929</v>
      </c>
      <c r="C108" s="2">
        <f>SUM('Budget Detail FY 2012-19'!N149:N155)</f>
        <v>2028011</v>
      </c>
      <c r="D108" s="2">
        <f>SUM('Budget Detail FY 2012-19'!O149:O155)</f>
        <v>2185748</v>
      </c>
      <c r="E108" s="2">
        <f>SUM('Budget Detail FY 2012-19'!P149:P155)</f>
        <v>2434547</v>
      </c>
      <c r="F108" s="2">
        <f>SUM('Budget Detail FY 2012-19'!Q149:Q155)</f>
        <v>2434547</v>
      </c>
      <c r="G108" s="2">
        <f>SUM('Budget Detail FY 2012-19'!R149:R155)</f>
        <v>2659683</v>
      </c>
      <c r="H108" s="2">
        <f>SUM('Budget Detail FY 2012-19'!S149:S155)</f>
        <v>2842517</v>
      </c>
      <c r="I108" s="2">
        <f>SUM('Budget Detail FY 2012-19'!T149:T155)</f>
        <v>2935145</v>
      </c>
      <c r="J108" s="2">
        <f>SUM('Budget Detail FY 2012-19'!U149:U155)</f>
        <v>3031015</v>
      </c>
      <c r="K108" s="2">
        <f>SUM('Budget Detail FY 2012-19'!V149:V155)</f>
        <v>3130240</v>
      </c>
    </row>
    <row r="109" spans="2:12" ht="20.100000000000001" customHeight="1">
      <c r="B109" s="15" t="s">
        <v>930</v>
      </c>
      <c r="C109" s="2">
        <f>SUM('Budget Detail FY 2012-19'!N156:N162)</f>
        <v>521435</v>
      </c>
      <c r="D109" s="2">
        <f>SUM('Budget Detail FY 2012-19'!O156:O162)</f>
        <v>1071102</v>
      </c>
      <c r="E109" s="2">
        <f>SUM('Budget Detail FY 2012-19'!P156:P162)</f>
        <v>1342880</v>
      </c>
      <c r="F109" s="2">
        <f>SUM('Budget Detail FY 2012-19'!Q156:Q162)</f>
        <v>1249520</v>
      </c>
      <c r="G109" s="2">
        <f>SUM('Budget Detail FY 2012-19'!R156:R162)</f>
        <v>1464454</v>
      </c>
      <c r="H109" s="2">
        <f>SUM('Budget Detail FY 2012-19'!S156:S162)</f>
        <v>1607964</v>
      </c>
      <c r="I109" s="2">
        <f>SUM('Budget Detail FY 2012-19'!T156:T162)</f>
        <v>1699545</v>
      </c>
      <c r="J109" s="2">
        <f>SUM('Budget Detail FY 2012-19'!U156:U162)</f>
        <v>1796069</v>
      </c>
      <c r="K109" s="2">
        <f>SUM('Budget Detail FY 2012-19'!V156:V162)</f>
        <v>1897944</v>
      </c>
    </row>
    <row r="110" spans="2:12" ht="20.100000000000001" customHeight="1">
      <c r="B110" s="15" t="s">
        <v>931</v>
      </c>
      <c r="C110" s="2">
        <f>SUM('Budget Detail FY 2012-19'!N163:N180)</f>
        <v>163951</v>
      </c>
      <c r="D110" s="2">
        <f>SUM('Budget Detail FY 2012-19'!O163:O180)</f>
        <v>157048</v>
      </c>
      <c r="E110" s="2">
        <f>SUM('Budget Detail FY 2012-19'!P163:P180)</f>
        <v>209350</v>
      </c>
      <c r="F110" s="2">
        <f>SUM('Budget Detail FY 2012-19'!Q163:Q180)</f>
        <v>209350</v>
      </c>
      <c r="G110" s="2">
        <f>SUM('Budget Detail FY 2012-19'!R163:R180)</f>
        <v>284908</v>
      </c>
      <c r="H110" s="2">
        <f>SUM('Budget Detail FY 2012-19'!S163:S180)</f>
        <v>312767</v>
      </c>
      <c r="I110" s="2">
        <f>SUM('Budget Detail FY 2012-19'!T163:T180)</f>
        <v>301267</v>
      </c>
      <c r="J110" s="2">
        <f>SUM('Budget Detail FY 2012-19'!U163:U180)</f>
        <v>280267</v>
      </c>
      <c r="K110" s="2">
        <f>SUM('Budget Detail FY 2012-19'!V163:V180)</f>
        <v>291267</v>
      </c>
    </row>
    <row r="111" spans="2:12" ht="20.100000000000001" customHeight="1">
      <c r="B111" s="15" t="s">
        <v>932</v>
      </c>
      <c r="C111" s="2">
        <f>SUM('Budget Detail FY 2012-19'!N181:N189)</f>
        <v>133023</v>
      </c>
      <c r="D111" s="2">
        <f>SUM('Budget Detail FY 2012-19'!O181:O189)</f>
        <v>137058</v>
      </c>
      <c r="E111" s="2">
        <f>SUM('Budget Detail FY 2012-19'!P181:P189)</f>
        <v>153270</v>
      </c>
      <c r="F111" s="2">
        <f>SUM('Budget Detail FY 2012-19'!Q181:Q189)</f>
        <v>153270</v>
      </c>
      <c r="G111" s="2">
        <f>SUM('Budget Detail FY 2012-19'!R181:R189)</f>
        <v>172637</v>
      </c>
      <c r="H111" s="2">
        <f>SUM('Budget Detail FY 2012-19'!S181:S189)</f>
        <v>179449</v>
      </c>
      <c r="I111" s="2">
        <f>SUM('Budget Detail FY 2012-19'!T181:T189)</f>
        <v>186738</v>
      </c>
      <c r="J111" s="2">
        <f>SUM('Budget Detail FY 2012-19'!U181:U189)</f>
        <v>194537</v>
      </c>
      <c r="K111" s="2">
        <f>SUM('Budget Detail FY 2012-19'!V181:V189)</f>
        <v>202882</v>
      </c>
    </row>
    <row r="112" spans="2:12" s="126" customFormat="1" ht="20.100000000000001" customHeight="1" thickBot="1">
      <c r="B112" s="127" t="s">
        <v>1091</v>
      </c>
      <c r="C112" s="91">
        <f t="shared" ref="C112:J112" si="6">SUM(C108:C111)</f>
        <v>2846420</v>
      </c>
      <c r="D112" s="91">
        <f t="shared" si="6"/>
        <v>3550956</v>
      </c>
      <c r="E112" s="91">
        <f>SUM(E108:E111)</f>
        <v>4140047</v>
      </c>
      <c r="F112" s="91">
        <f t="shared" si="6"/>
        <v>4046687</v>
      </c>
      <c r="G112" s="91">
        <f t="shared" si="6"/>
        <v>4581682</v>
      </c>
      <c r="H112" s="91">
        <f t="shared" si="6"/>
        <v>4942697</v>
      </c>
      <c r="I112" s="91">
        <f t="shared" si="6"/>
        <v>5122695</v>
      </c>
      <c r="J112" s="91">
        <f t="shared" si="6"/>
        <v>5301888</v>
      </c>
      <c r="K112" s="91">
        <f>SUM(K108:K111)</f>
        <v>5522333</v>
      </c>
      <c r="L112" s="154"/>
    </row>
    <row r="113" spans="2:11" s="154" customFormat="1" ht="15.75" hidden="1" thickTop="1">
      <c r="B113" s="140"/>
      <c r="C113" s="153">
        <f>'Budget Detail FY 2012-19'!N190</f>
        <v>2846420</v>
      </c>
      <c r="D113" s="153">
        <f>'Budget Detail FY 2012-19'!O190</f>
        <v>3550956</v>
      </c>
      <c r="E113" s="153">
        <f>'Budget Detail FY 2012-19'!P190</f>
        <v>4140047</v>
      </c>
      <c r="F113" s="153">
        <f>'Budget Detail FY 2012-19'!Q190</f>
        <v>4046687</v>
      </c>
      <c r="G113" s="153">
        <f>'Budget Detail FY 2012-19'!R190</f>
        <v>4581682</v>
      </c>
      <c r="H113" s="153">
        <f>'Budget Detail FY 2012-19'!S190</f>
        <v>4942697</v>
      </c>
      <c r="I113" s="153">
        <f>'Budget Detail FY 2012-19'!T190</f>
        <v>5122695</v>
      </c>
      <c r="J113" s="153">
        <f>'Budget Detail FY 2012-19'!U190</f>
        <v>5301888</v>
      </c>
      <c r="K113" s="153">
        <f>'Budget Detail FY 2012-19'!V190</f>
        <v>5522333</v>
      </c>
    </row>
    <row r="114" spans="2:11" s="161" customFormat="1" ht="14.25" hidden="1">
      <c r="B114" s="143"/>
      <c r="C114" s="160">
        <f>C112-C113</f>
        <v>0</v>
      </c>
      <c r="D114" s="160">
        <f t="shared" ref="D114:K114" si="7">D112-D113</f>
        <v>0</v>
      </c>
      <c r="E114" s="160">
        <f t="shared" si="7"/>
        <v>0</v>
      </c>
      <c r="F114" s="160">
        <f t="shared" si="7"/>
        <v>0</v>
      </c>
      <c r="G114" s="160">
        <f t="shared" si="7"/>
        <v>0</v>
      </c>
      <c r="H114" s="160">
        <f t="shared" si="7"/>
        <v>0</v>
      </c>
      <c r="I114" s="160">
        <f t="shared" si="7"/>
        <v>0</v>
      </c>
      <c r="J114" s="160">
        <f t="shared" si="7"/>
        <v>0</v>
      </c>
      <c r="K114" s="160">
        <f t="shared" si="7"/>
        <v>0</v>
      </c>
    </row>
    <row r="115" spans="2:11" s="126" customFormat="1" ht="15" thickTop="1">
      <c r="B115" s="17"/>
      <c r="C115" s="151"/>
      <c r="D115" s="151"/>
      <c r="E115" s="151"/>
      <c r="F115" s="151"/>
      <c r="G115" s="151"/>
      <c r="H115" s="151"/>
      <c r="I115" s="151"/>
      <c r="J115" s="151"/>
      <c r="K115" s="151"/>
    </row>
    <row r="116" spans="2:11" ht="15">
      <c r="B116" s="11"/>
      <c r="C116" s="50"/>
      <c r="D116" s="50"/>
      <c r="E116" s="50"/>
      <c r="F116" s="60"/>
      <c r="G116" s="60"/>
      <c r="H116" s="60"/>
      <c r="I116" s="60"/>
      <c r="J116" s="60"/>
      <c r="K116" s="60"/>
    </row>
    <row r="117" spans="2:11" ht="15">
      <c r="B117" s="11"/>
      <c r="C117" s="50"/>
      <c r="D117" s="50"/>
      <c r="E117" s="50"/>
      <c r="F117" s="60"/>
      <c r="G117" s="60"/>
      <c r="H117" s="60"/>
      <c r="I117" s="60"/>
      <c r="J117" s="60"/>
      <c r="K117" s="60"/>
    </row>
    <row r="118" spans="2:11" ht="15">
      <c r="B118" s="11"/>
      <c r="C118" s="50"/>
      <c r="D118" s="50"/>
      <c r="E118" s="50"/>
      <c r="F118" s="60"/>
      <c r="G118" s="60"/>
      <c r="H118" s="60"/>
      <c r="I118" s="60"/>
      <c r="J118" s="60"/>
      <c r="K118" s="60"/>
    </row>
    <row r="119" spans="2:11" ht="15">
      <c r="B119" s="11"/>
      <c r="C119" s="50"/>
      <c r="D119" s="50"/>
      <c r="E119" s="50"/>
      <c r="F119" s="60"/>
      <c r="G119" s="60"/>
      <c r="H119" s="60"/>
      <c r="I119" s="60"/>
      <c r="J119" s="60"/>
      <c r="K119" s="60"/>
    </row>
    <row r="120" spans="2:11" ht="15">
      <c r="B120" s="11"/>
      <c r="C120" s="50"/>
      <c r="D120" s="50"/>
      <c r="E120" s="50"/>
      <c r="F120" s="60"/>
      <c r="G120" s="60"/>
      <c r="H120" s="60"/>
      <c r="I120" s="60"/>
      <c r="J120" s="60"/>
      <c r="K120" s="60"/>
    </row>
    <row r="121" spans="2:11" ht="15">
      <c r="B121" s="11"/>
      <c r="C121" s="50"/>
      <c r="D121" s="50"/>
      <c r="E121" s="50"/>
      <c r="F121" s="60"/>
      <c r="G121" s="60"/>
      <c r="H121" s="60"/>
      <c r="I121" s="60"/>
      <c r="J121" s="60"/>
      <c r="K121" s="60"/>
    </row>
    <row r="122" spans="2:11" ht="15">
      <c r="B122" s="11"/>
      <c r="C122" s="50"/>
      <c r="D122" s="50"/>
      <c r="E122" s="50"/>
      <c r="F122" s="60"/>
      <c r="G122" s="60"/>
      <c r="H122" s="60"/>
      <c r="I122" s="60"/>
      <c r="J122" s="60"/>
      <c r="K122" s="60"/>
    </row>
    <row r="123" spans="2:11" ht="15">
      <c r="B123" s="11"/>
      <c r="C123" s="50"/>
      <c r="D123" s="50"/>
      <c r="E123" s="50"/>
      <c r="F123" s="60"/>
      <c r="G123" s="60"/>
      <c r="H123" s="60"/>
      <c r="I123" s="60"/>
      <c r="J123" s="60"/>
      <c r="K123" s="60"/>
    </row>
    <row r="124" spans="2:11" ht="15">
      <c r="B124" s="11"/>
      <c r="C124" s="50"/>
      <c r="D124" s="50"/>
      <c r="E124" s="50"/>
      <c r="F124" s="60"/>
      <c r="G124" s="60"/>
      <c r="H124" s="60"/>
      <c r="I124" s="60"/>
      <c r="J124" s="60"/>
      <c r="K124" s="60"/>
    </row>
    <row r="125" spans="2:11" ht="15">
      <c r="B125" s="11"/>
      <c r="C125" s="50"/>
      <c r="D125" s="50"/>
      <c r="E125" s="50"/>
      <c r="F125" s="60"/>
      <c r="G125" s="60"/>
      <c r="H125" s="60"/>
      <c r="I125" s="60"/>
      <c r="J125" s="60"/>
      <c r="K125" s="60"/>
    </row>
    <row r="126" spans="2:11" ht="15">
      <c r="B126" s="11"/>
      <c r="C126" s="50"/>
      <c r="D126" s="50"/>
      <c r="E126" s="50"/>
      <c r="F126" s="60"/>
      <c r="G126" s="60"/>
      <c r="H126" s="60"/>
      <c r="I126" s="60"/>
      <c r="J126" s="60"/>
      <c r="K126" s="60"/>
    </row>
    <row r="127" spans="2:11" ht="15">
      <c r="B127" s="11"/>
      <c r="C127" s="50"/>
      <c r="D127" s="50"/>
      <c r="E127" s="50"/>
      <c r="F127" s="60"/>
      <c r="G127" s="60"/>
      <c r="H127" s="60"/>
      <c r="I127" s="60"/>
      <c r="J127" s="60"/>
      <c r="K127" s="60"/>
    </row>
    <row r="128" spans="2:11" ht="15">
      <c r="B128" s="11"/>
      <c r="C128" s="50"/>
      <c r="D128" s="50"/>
      <c r="E128" s="50"/>
      <c r="F128" s="60"/>
      <c r="G128" s="60"/>
      <c r="H128" s="60"/>
      <c r="I128" s="60"/>
      <c r="J128" s="60"/>
      <c r="K128" s="60"/>
    </row>
    <row r="129" spans="2:11" ht="15">
      <c r="B129" s="11"/>
      <c r="C129" s="50"/>
      <c r="D129" s="50"/>
      <c r="E129" s="50"/>
      <c r="F129" s="60"/>
      <c r="G129" s="60"/>
      <c r="H129" s="60"/>
      <c r="I129" s="60"/>
      <c r="J129" s="60"/>
      <c r="K129" s="60"/>
    </row>
    <row r="130" spans="2:11" ht="15">
      <c r="B130" s="11"/>
      <c r="C130" s="50"/>
      <c r="D130" s="50"/>
      <c r="E130" s="50"/>
      <c r="F130" s="60"/>
      <c r="G130" s="60"/>
      <c r="H130" s="60"/>
      <c r="I130" s="60"/>
      <c r="J130" s="60"/>
      <c r="K130" s="60"/>
    </row>
    <row r="131" spans="2:11" ht="15">
      <c r="B131" s="14"/>
      <c r="C131" s="23"/>
      <c r="D131" s="23"/>
      <c r="E131" s="23"/>
      <c r="F131" s="23"/>
      <c r="G131" s="23"/>
      <c r="H131" s="23"/>
      <c r="I131" s="23"/>
      <c r="J131" s="23"/>
      <c r="K131" s="23"/>
    </row>
    <row r="132" spans="2:11" ht="18.75" customHeight="1">
      <c r="B132" s="714" t="s">
        <v>975</v>
      </c>
      <c r="C132" s="714"/>
      <c r="D132" s="714"/>
      <c r="E132" s="714"/>
      <c r="F132" s="714"/>
      <c r="G132" s="714"/>
      <c r="H132" s="714"/>
      <c r="I132" s="714"/>
      <c r="J132" s="714"/>
      <c r="K132" s="714"/>
    </row>
    <row r="133" spans="2:11" ht="15">
      <c r="B133" s="44"/>
      <c r="C133" s="60"/>
      <c r="D133" s="60"/>
      <c r="E133" s="60"/>
      <c r="F133" s="60"/>
      <c r="G133" s="60"/>
      <c r="H133" s="60"/>
      <c r="I133" s="60"/>
      <c r="J133" s="60"/>
      <c r="K133" s="60"/>
    </row>
    <row r="134" spans="2:11" ht="12.75" customHeight="1">
      <c r="B134" s="718" t="s">
        <v>976</v>
      </c>
      <c r="C134" s="718"/>
      <c r="D134" s="718"/>
      <c r="E134" s="718"/>
      <c r="F134" s="718"/>
      <c r="G134" s="718"/>
      <c r="H134" s="718"/>
      <c r="I134" s="718"/>
      <c r="J134" s="718"/>
      <c r="K134" s="718"/>
    </row>
    <row r="135" spans="2:11" ht="12.75" customHeight="1">
      <c r="B135" s="718"/>
      <c r="C135" s="718"/>
      <c r="D135" s="718"/>
      <c r="E135" s="718"/>
      <c r="F135" s="718"/>
      <c r="G135" s="718"/>
      <c r="H135" s="718"/>
      <c r="I135" s="718"/>
      <c r="J135" s="718"/>
      <c r="K135" s="718"/>
    </row>
    <row r="136" spans="2:11" ht="12.75" customHeight="1">
      <c r="B136" s="718"/>
      <c r="C136" s="718"/>
      <c r="D136" s="718"/>
      <c r="E136" s="718"/>
      <c r="F136" s="718"/>
      <c r="G136" s="718"/>
      <c r="H136" s="718"/>
      <c r="I136" s="718"/>
      <c r="J136" s="718"/>
      <c r="K136" s="718"/>
    </row>
    <row r="137" spans="2:11" ht="12.75" customHeight="1">
      <c r="B137" s="718"/>
      <c r="C137" s="718"/>
      <c r="D137" s="718"/>
      <c r="E137" s="718"/>
      <c r="F137" s="718"/>
      <c r="G137" s="718"/>
      <c r="H137" s="718"/>
      <c r="I137" s="718"/>
      <c r="J137" s="718"/>
      <c r="K137" s="718"/>
    </row>
    <row r="138" spans="2:11" ht="15">
      <c r="B138" s="49"/>
      <c r="C138" s="63"/>
      <c r="D138" s="63"/>
      <c r="E138" s="63"/>
      <c r="F138" s="60"/>
      <c r="G138" s="60"/>
      <c r="H138" s="60"/>
      <c r="I138" s="60"/>
      <c r="J138" s="60"/>
      <c r="K138" s="60"/>
    </row>
    <row r="139" spans="2:11" ht="15">
      <c r="B139" s="11"/>
      <c r="C139" s="72"/>
      <c r="D139" s="73"/>
      <c r="E139" s="72" t="s">
        <v>283</v>
      </c>
      <c r="F139" s="1"/>
      <c r="G139" s="1"/>
      <c r="H139" s="1"/>
      <c r="I139" s="1"/>
      <c r="J139" s="1"/>
      <c r="K139" s="1"/>
    </row>
    <row r="140" spans="2:11" ht="15">
      <c r="B140" s="13"/>
      <c r="C140" s="72" t="s">
        <v>229</v>
      </c>
      <c r="D140" s="55" t="s">
        <v>282</v>
      </c>
      <c r="E140" s="73" t="s">
        <v>917</v>
      </c>
      <c r="F140" s="73" t="s">
        <v>283</v>
      </c>
      <c r="G140" s="73" t="s">
        <v>298</v>
      </c>
      <c r="H140" s="73" t="s">
        <v>299</v>
      </c>
      <c r="I140" s="73" t="s">
        <v>300</v>
      </c>
      <c r="J140" s="73" t="s">
        <v>1087</v>
      </c>
      <c r="K140" s="73" t="s">
        <v>1224</v>
      </c>
    </row>
    <row r="141" spans="2:11" ht="15.75" thickBot="1">
      <c r="B141" s="46"/>
      <c r="C141" s="75" t="s">
        <v>1</v>
      </c>
      <c r="D141" s="75" t="s">
        <v>1</v>
      </c>
      <c r="E141" s="75" t="s">
        <v>871</v>
      </c>
      <c r="F141" s="75" t="s">
        <v>20</v>
      </c>
      <c r="G141" s="75" t="s">
        <v>917</v>
      </c>
      <c r="H141" s="75" t="s">
        <v>20</v>
      </c>
      <c r="I141" s="75" t="s">
        <v>20</v>
      </c>
      <c r="J141" s="75" t="s">
        <v>20</v>
      </c>
      <c r="K141" s="75" t="s">
        <v>20</v>
      </c>
    </row>
    <row r="142" spans="2:11" ht="15">
      <c r="B142" s="11"/>
      <c r="C142" s="50"/>
      <c r="D142" s="50"/>
      <c r="E142" s="50"/>
      <c r="F142" s="60"/>
      <c r="G142" s="60"/>
      <c r="H142" s="60"/>
      <c r="I142" s="60"/>
      <c r="J142" s="60"/>
      <c r="K142" s="60"/>
    </row>
    <row r="143" spans="2:11" ht="15">
      <c r="B143" s="47" t="s">
        <v>659</v>
      </c>
      <c r="C143" s="50"/>
      <c r="D143" s="50"/>
      <c r="E143" s="50"/>
      <c r="F143" s="60"/>
      <c r="G143" s="60"/>
      <c r="H143" s="60"/>
      <c r="I143" s="60"/>
      <c r="J143" s="60"/>
      <c r="K143" s="60"/>
    </row>
    <row r="144" spans="2:11" ht="20.100000000000001" customHeight="1">
      <c r="B144" s="15" t="s">
        <v>929</v>
      </c>
      <c r="C144" s="2">
        <f>SUM('Budget Detail FY 2012-19'!N193:N194)</f>
        <v>188249</v>
      </c>
      <c r="D144" s="2">
        <f>SUM('Budget Detail FY 2012-19'!O193:O194)</f>
        <v>199396</v>
      </c>
      <c r="E144" s="2">
        <f>SUM('Budget Detail FY 2012-19'!P193:P194)</f>
        <v>225666</v>
      </c>
      <c r="F144" s="2">
        <f>SUM('Budget Detail FY 2012-19'!Q193:Q194)</f>
        <v>225666</v>
      </c>
      <c r="G144" s="2">
        <f>SUM('Budget Detail FY 2012-19'!R193:R194)</f>
        <v>327457</v>
      </c>
      <c r="H144" s="2">
        <f>SUM('Budget Detail FY 2012-19'!S193:S194)</f>
        <v>336381</v>
      </c>
      <c r="I144" s="2">
        <f>SUM('Budget Detail FY 2012-19'!T193:T194)</f>
        <v>347104</v>
      </c>
      <c r="J144" s="2">
        <f>SUM('Budget Detail FY 2012-19'!U193:U194)</f>
        <v>358203</v>
      </c>
      <c r="K144" s="2">
        <f>SUM('Budget Detail FY 2012-19'!V193:V194)</f>
        <v>369690</v>
      </c>
    </row>
    <row r="145" spans="2:12" ht="20.100000000000001" customHeight="1">
      <c r="B145" s="15" t="s">
        <v>930</v>
      </c>
      <c r="C145" s="2">
        <f>SUM('Budget Detail FY 2012-19'!N195:N200)</f>
        <v>31460</v>
      </c>
      <c r="D145" s="2">
        <f>SUM('Budget Detail FY 2012-19'!O195:O200)</f>
        <v>84415</v>
      </c>
      <c r="E145" s="2">
        <f>SUM('Budget Detail FY 2012-19'!P195:P200)</f>
        <v>93377</v>
      </c>
      <c r="F145" s="2">
        <f>SUM('Budget Detail FY 2012-19'!Q195:Q200)</f>
        <v>93377</v>
      </c>
      <c r="G145" s="2">
        <f>SUM('Budget Detail FY 2012-19'!R195:R200)</f>
        <v>122541</v>
      </c>
      <c r="H145" s="2">
        <f>SUM('Budget Detail FY 2012-19'!S195:S200)</f>
        <v>131868</v>
      </c>
      <c r="I145" s="2">
        <f>SUM('Budget Detail FY 2012-19'!T195:T200)</f>
        <v>141798</v>
      </c>
      <c r="J145" s="2">
        <f>SUM('Budget Detail FY 2012-19'!U195:U200)</f>
        <v>152523</v>
      </c>
      <c r="K145" s="2">
        <f>SUM('Budget Detail FY 2012-19'!V195:V200)</f>
        <v>164167</v>
      </c>
    </row>
    <row r="146" spans="2:12" ht="20.100000000000001" customHeight="1">
      <c r="B146" s="15" t="s">
        <v>931</v>
      </c>
      <c r="C146" s="2">
        <f>SUM('Budget Detail FY 2012-19'!N201:N212)</f>
        <v>83661</v>
      </c>
      <c r="D146" s="2">
        <f>SUM('Budget Detail FY 2012-19'!O201:O212)</f>
        <v>65944</v>
      </c>
      <c r="E146" s="2">
        <f>SUM('Budget Detail FY 2012-19'!P201:P212)</f>
        <v>81750</v>
      </c>
      <c r="F146" s="2">
        <f>SUM('Budget Detail FY 2012-19'!Q201:Q212)</f>
        <v>81750</v>
      </c>
      <c r="G146" s="2">
        <f>SUM('Budget Detail FY 2012-19'!R201:R212)</f>
        <v>139622</v>
      </c>
      <c r="H146" s="2">
        <f>SUM('Budget Detail FY 2012-19'!S201:S212)</f>
        <v>141769</v>
      </c>
      <c r="I146" s="2">
        <f>SUM('Budget Detail FY 2012-19'!T201:T212)</f>
        <v>89794</v>
      </c>
      <c r="J146" s="2">
        <f>SUM('Budget Detail FY 2012-19'!U201:U212)</f>
        <v>91900</v>
      </c>
      <c r="K146" s="2">
        <f>SUM('Budget Detail FY 2012-19'!V201:V212)</f>
        <v>94090</v>
      </c>
    </row>
    <row r="147" spans="2:12" ht="20.100000000000001" customHeight="1">
      <c r="B147" s="15" t="s">
        <v>932</v>
      </c>
      <c r="C147" s="2">
        <f>SUM('Budget Detail FY 2012-19'!N213:N218)</f>
        <v>3683</v>
      </c>
      <c r="D147" s="2">
        <f>SUM('Budget Detail FY 2012-19'!O213:O218)</f>
        <v>15434</v>
      </c>
      <c r="E147" s="2">
        <f>SUM('Budget Detail FY 2012-19'!P213:P218)</f>
        <v>11535</v>
      </c>
      <c r="F147" s="2">
        <f>SUM('Budget Detail FY 2012-19'!Q213:Q218)</f>
        <v>11535</v>
      </c>
      <c r="G147" s="2">
        <f>SUM('Budget Detail FY 2012-19'!R213:R218)</f>
        <v>13934</v>
      </c>
      <c r="H147" s="2">
        <f>SUM('Budget Detail FY 2012-19'!S213:S218)</f>
        <v>12227</v>
      </c>
      <c r="I147" s="2">
        <f>SUM('Budget Detail FY 2012-19'!T213:T218)</f>
        <v>12540</v>
      </c>
      <c r="J147" s="2">
        <f>SUM('Budget Detail FY 2012-19'!U213:U218)</f>
        <v>12875</v>
      </c>
      <c r="K147" s="2">
        <f>SUM('Budget Detail FY 2012-19'!V213:V218)</f>
        <v>13234</v>
      </c>
    </row>
    <row r="148" spans="2:12" s="126" customFormat="1" ht="20.100000000000001" customHeight="1" thickBot="1">
      <c r="B148" s="127" t="s">
        <v>977</v>
      </c>
      <c r="C148" s="91">
        <f t="shared" ref="C148:I148" si="8">SUM(C144:C147)</f>
        <v>307053</v>
      </c>
      <c r="D148" s="91">
        <f>SUM(D144:D147)</f>
        <v>365189</v>
      </c>
      <c r="E148" s="91">
        <f t="shared" si="8"/>
        <v>412328</v>
      </c>
      <c r="F148" s="91">
        <f t="shared" si="8"/>
        <v>412328</v>
      </c>
      <c r="G148" s="91">
        <f t="shared" si="8"/>
        <v>603554</v>
      </c>
      <c r="H148" s="91">
        <f t="shared" si="8"/>
        <v>622245</v>
      </c>
      <c r="I148" s="91">
        <f t="shared" si="8"/>
        <v>591236</v>
      </c>
      <c r="J148" s="91">
        <f>SUM(J144:J147)</f>
        <v>615501</v>
      </c>
      <c r="K148" s="91">
        <f>SUM(K144:K147)</f>
        <v>641181</v>
      </c>
      <c r="L148" s="154"/>
    </row>
    <row r="149" spans="2:12" s="154" customFormat="1" ht="15.75" hidden="1" thickTop="1">
      <c r="B149" s="140"/>
      <c r="C149" s="153">
        <f>'Budget Detail FY 2012-19'!N219</f>
        <v>307053</v>
      </c>
      <c r="D149" s="153">
        <f>'Budget Detail FY 2012-19'!O219</f>
        <v>365189</v>
      </c>
      <c r="E149" s="153">
        <f>'Budget Detail FY 2012-19'!P219</f>
        <v>412328</v>
      </c>
      <c r="F149" s="153">
        <f>'Budget Detail FY 2012-19'!Q219</f>
        <v>412328</v>
      </c>
      <c r="G149" s="153">
        <f>'Budget Detail FY 2012-19'!R219</f>
        <v>603554</v>
      </c>
      <c r="H149" s="153">
        <f>'Budget Detail FY 2012-19'!S219</f>
        <v>622245</v>
      </c>
      <c r="I149" s="153">
        <f>'Budget Detail FY 2012-19'!T219</f>
        <v>591236</v>
      </c>
      <c r="J149" s="153">
        <f>'Budget Detail FY 2012-19'!U219</f>
        <v>615501</v>
      </c>
      <c r="K149" s="153">
        <f>'Budget Detail FY 2012-19'!V219</f>
        <v>641181</v>
      </c>
    </row>
    <row r="150" spans="2:12" s="161" customFormat="1" ht="14.25" hidden="1">
      <c r="B150" s="143"/>
      <c r="C150" s="160">
        <f>C148-C149</f>
        <v>0</v>
      </c>
      <c r="D150" s="160">
        <f t="shared" ref="D150:K150" si="9">D148-D149</f>
        <v>0</v>
      </c>
      <c r="E150" s="160">
        <f t="shared" si="9"/>
        <v>0</v>
      </c>
      <c r="F150" s="160">
        <f t="shared" si="9"/>
        <v>0</v>
      </c>
      <c r="G150" s="160">
        <f t="shared" si="9"/>
        <v>0</v>
      </c>
      <c r="H150" s="160">
        <f t="shared" si="9"/>
        <v>0</v>
      </c>
      <c r="I150" s="160">
        <f t="shared" si="9"/>
        <v>0</v>
      </c>
      <c r="J150" s="160">
        <f t="shared" si="9"/>
        <v>0</v>
      </c>
      <c r="K150" s="160">
        <f t="shared" si="9"/>
        <v>0</v>
      </c>
    </row>
    <row r="151" spans="2:12" s="126" customFormat="1" ht="15" thickTop="1">
      <c r="B151" s="17"/>
      <c r="C151" s="151"/>
      <c r="D151" s="151"/>
      <c r="E151" s="151"/>
      <c r="F151" s="151"/>
      <c r="G151" s="151"/>
      <c r="H151" s="151"/>
      <c r="I151" s="151"/>
      <c r="J151" s="151"/>
      <c r="K151" s="151"/>
    </row>
    <row r="152" spans="2:12" ht="15">
      <c r="B152" s="11"/>
      <c r="C152" s="50"/>
      <c r="D152" s="50"/>
      <c r="E152" s="50"/>
      <c r="F152" s="60"/>
      <c r="G152" s="60"/>
      <c r="H152" s="60"/>
      <c r="I152" s="60"/>
      <c r="J152" s="60"/>
      <c r="K152" s="60"/>
    </row>
    <row r="153" spans="2:12" ht="15">
      <c r="B153" s="11"/>
      <c r="C153" s="50"/>
      <c r="D153" s="50"/>
      <c r="E153" s="50"/>
      <c r="F153" s="60"/>
      <c r="G153" s="60"/>
      <c r="H153" s="60"/>
      <c r="I153" s="60"/>
      <c r="J153" s="60"/>
      <c r="K153" s="60"/>
    </row>
    <row r="154" spans="2:12" ht="15">
      <c r="B154" s="11"/>
      <c r="C154" s="50"/>
      <c r="D154" s="50"/>
      <c r="E154" s="50"/>
      <c r="F154" s="60"/>
      <c r="G154" s="60"/>
      <c r="H154" s="60"/>
      <c r="I154" s="60"/>
      <c r="J154" s="60"/>
      <c r="K154" s="60"/>
    </row>
    <row r="155" spans="2:12" ht="15">
      <c r="B155" s="11"/>
      <c r="C155" s="50"/>
      <c r="D155" s="50"/>
      <c r="E155" s="50"/>
      <c r="F155" s="60"/>
      <c r="G155" s="60"/>
      <c r="H155" s="60"/>
      <c r="I155" s="60"/>
      <c r="J155" s="60"/>
      <c r="K155" s="60"/>
    </row>
    <row r="156" spans="2:12" ht="15">
      <c r="B156" s="11"/>
      <c r="C156" s="50"/>
      <c r="D156" s="50"/>
      <c r="E156" s="50"/>
      <c r="F156" s="60"/>
      <c r="G156" s="60"/>
      <c r="H156" s="60"/>
      <c r="I156" s="60"/>
      <c r="J156" s="60"/>
      <c r="K156" s="60"/>
    </row>
    <row r="157" spans="2:12" ht="15">
      <c r="B157" s="11"/>
      <c r="C157" s="50"/>
      <c r="D157" s="50"/>
      <c r="E157" s="50"/>
      <c r="F157" s="60"/>
      <c r="G157" s="60"/>
      <c r="H157" s="60"/>
      <c r="I157" s="60"/>
      <c r="J157" s="60"/>
      <c r="K157" s="60"/>
    </row>
    <row r="158" spans="2:12" ht="15">
      <c r="B158" s="11"/>
      <c r="C158" s="50"/>
      <c r="D158" s="50"/>
      <c r="E158" s="50"/>
      <c r="F158" s="60"/>
      <c r="G158" s="60"/>
      <c r="H158" s="60"/>
      <c r="I158" s="60"/>
      <c r="J158" s="60"/>
      <c r="K158" s="60"/>
    </row>
    <row r="159" spans="2:12" ht="15">
      <c r="B159" s="11"/>
      <c r="C159" s="50"/>
      <c r="D159" s="50"/>
      <c r="E159" s="50"/>
      <c r="F159" s="60"/>
      <c r="G159" s="60"/>
      <c r="H159" s="60"/>
      <c r="I159" s="60"/>
      <c r="J159" s="60"/>
      <c r="K159" s="60"/>
    </row>
    <row r="160" spans="2:12" ht="15">
      <c r="B160" s="11"/>
      <c r="C160" s="50"/>
      <c r="D160" s="50"/>
      <c r="E160" s="50"/>
      <c r="F160" s="60"/>
      <c r="G160" s="60"/>
      <c r="H160" s="60"/>
      <c r="I160" s="60"/>
      <c r="J160" s="60"/>
      <c r="K160" s="60"/>
    </row>
    <row r="161" spans="2:11" ht="15">
      <c r="B161" s="11"/>
      <c r="C161" s="50"/>
      <c r="D161" s="50"/>
      <c r="E161" s="50"/>
      <c r="F161" s="60"/>
      <c r="G161" s="60"/>
      <c r="H161" s="60"/>
      <c r="I161" s="60"/>
      <c r="J161" s="60"/>
      <c r="K161" s="60"/>
    </row>
    <row r="162" spans="2:11" ht="15">
      <c r="B162" s="11"/>
      <c r="C162" s="50"/>
      <c r="D162" s="50"/>
      <c r="E162" s="50"/>
      <c r="F162" s="60"/>
      <c r="G162" s="60"/>
      <c r="H162" s="60"/>
      <c r="I162" s="60"/>
      <c r="J162" s="60"/>
      <c r="K162" s="60"/>
    </row>
    <row r="163" spans="2:11" ht="15">
      <c r="B163" s="11"/>
      <c r="C163" s="50"/>
      <c r="D163" s="50"/>
      <c r="E163" s="50"/>
      <c r="F163" s="60"/>
      <c r="G163" s="60"/>
      <c r="H163" s="60"/>
      <c r="I163" s="60"/>
      <c r="J163" s="60"/>
      <c r="K163" s="60"/>
    </row>
    <row r="164" spans="2:11" ht="15">
      <c r="B164" s="38"/>
      <c r="C164" s="23"/>
      <c r="D164" s="23"/>
      <c r="E164" s="23"/>
      <c r="F164" s="23"/>
      <c r="G164" s="23"/>
      <c r="H164" s="23"/>
      <c r="I164" s="23"/>
      <c r="J164" s="23"/>
      <c r="K164" s="23"/>
    </row>
    <row r="165" spans="2:11" ht="18.75" customHeight="1">
      <c r="B165" s="714" t="s">
        <v>1503</v>
      </c>
      <c r="C165" s="714"/>
      <c r="D165" s="714"/>
      <c r="E165" s="714"/>
      <c r="F165" s="714"/>
      <c r="G165" s="714"/>
      <c r="H165" s="714"/>
      <c r="I165" s="714"/>
      <c r="J165" s="714"/>
      <c r="K165" s="714"/>
    </row>
    <row r="166" spans="2:11" ht="15">
      <c r="B166" s="53"/>
      <c r="C166" s="66"/>
      <c r="D166" s="67"/>
      <c r="E166" s="67"/>
      <c r="F166" s="60"/>
      <c r="G166" s="60"/>
      <c r="H166" s="60"/>
      <c r="I166" s="60"/>
      <c r="J166" s="60"/>
      <c r="K166" s="60"/>
    </row>
    <row r="167" spans="2:11" ht="12.75" customHeight="1">
      <c r="B167" s="720" t="s">
        <v>978</v>
      </c>
      <c r="C167" s="720"/>
      <c r="D167" s="720"/>
      <c r="E167" s="720"/>
      <c r="F167" s="720"/>
      <c r="G167" s="720"/>
      <c r="H167" s="720"/>
      <c r="I167" s="720"/>
      <c r="J167" s="720"/>
      <c r="K167" s="720"/>
    </row>
    <row r="168" spans="2:11" ht="17.25" customHeight="1">
      <c r="B168" s="720"/>
      <c r="C168" s="720"/>
      <c r="D168" s="720"/>
      <c r="E168" s="720"/>
      <c r="F168" s="720"/>
      <c r="G168" s="720"/>
      <c r="H168" s="720"/>
      <c r="I168" s="720"/>
      <c r="J168" s="720"/>
      <c r="K168" s="720"/>
    </row>
    <row r="169" spans="2:11" ht="15">
      <c r="B169" s="54"/>
      <c r="C169" s="68"/>
      <c r="D169" s="68"/>
      <c r="E169" s="68"/>
      <c r="F169" s="60"/>
      <c r="G169" s="60"/>
      <c r="H169" s="60"/>
      <c r="I169" s="60"/>
      <c r="J169" s="60"/>
      <c r="K169" s="60"/>
    </row>
    <row r="170" spans="2:11" ht="15">
      <c r="B170" s="11"/>
      <c r="C170" s="72"/>
      <c r="D170" s="73"/>
      <c r="E170" s="72" t="s">
        <v>283</v>
      </c>
      <c r="F170" s="1"/>
      <c r="G170" s="1"/>
      <c r="H170" s="1"/>
      <c r="I170" s="1"/>
      <c r="J170" s="1"/>
      <c r="K170" s="1"/>
    </row>
    <row r="171" spans="2:11" ht="15">
      <c r="B171" s="13"/>
      <c r="C171" s="72" t="s">
        <v>229</v>
      </c>
      <c r="D171" s="55" t="s">
        <v>282</v>
      </c>
      <c r="E171" s="73" t="s">
        <v>917</v>
      </c>
      <c r="F171" s="73" t="s">
        <v>283</v>
      </c>
      <c r="G171" s="73" t="s">
        <v>298</v>
      </c>
      <c r="H171" s="73" t="s">
        <v>299</v>
      </c>
      <c r="I171" s="73" t="s">
        <v>300</v>
      </c>
      <c r="J171" s="73" t="s">
        <v>1087</v>
      </c>
      <c r="K171" s="73" t="s">
        <v>1224</v>
      </c>
    </row>
    <row r="172" spans="2:11" ht="15.75" thickBot="1">
      <c r="B172" s="46"/>
      <c r="C172" s="75" t="s">
        <v>1</v>
      </c>
      <c r="D172" s="75" t="s">
        <v>1</v>
      </c>
      <c r="E172" s="75" t="s">
        <v>871</v>
      </c>
      <c r="F172" s="75" t="s">
        <v>20</v>
      </c>
      <c r="G172" s="75" t="s">
        <v>917</v>
      </c>
      <c r="H172" s="75" t="s">
        <v>20</v>
      </c>
      <c r="I172" s="75" t="s">
        <v>20</v>
      </c>
      <c r="J172" s="75" t="s">
        <v>20</v>
      </c>
      <c r="K172" s="75" t="s">
        <v>20</v>
      </c>
    </row>
    <row r="173" spans="2:11" ht="15">
      <c r="B173" s="11"/>
      <c r="C173" s="50"/>
      <c r="D173" s="50"/>
      <c r="E173" s="50"/>
      <c r="F173" s="60"/>
      <c r="G173" s="60"/>
      <c r="H173" s="60"/>
      <c r="I173" s="60"/>
      <c r="J173" s="60"/>
      <c r="K173" s="60"/>
    </row>
    <row r="174" spans="2:11" ht="15">
      <c r="B174" s="47" t="s">
        <v>659</v>
      </c>
      <c r="C174" s="50"/>
      <c r="D174" s="50"/>
      <c r="E174" s="50"/>
      <c r="F174" s="60"/>
      <c r="G174" s="60"/>
      <c r="H174" s="60"/>
      <c r="I174" s="60"/>
      <c r="J174" s="60"/>
      <c r="K174" s="60"/>
    </row>
    <row r="175" spans="2:11" ht="20.100000000000001" customHeight="1">
      <c r="B175" s="15" t="s">
        <v>929</v>
      </c>
      <c r="C175" s="2">
        <f>SUM('Budget Detail FY 2012-19'!N222:N224)</f>
        <v>260348</v>
      </c>
      <c r="D175" s="2">
        <f>SUM('Budget Detail FY 2012-19'!O222:O224)</f>
        <v>267730</v>
      </c>
      <c r="E175" s="2">
        <f>SUM('Budget Detail FY 2012-19'!P222:P224)</f>
        <v>327962</v>
      </c>
      <c r="F175" s="2">
        <f>SUM('Budget Detail FY 2012-19'!Q222:Q224)</f>
        <v>327962</v>
      </c>
      <c r="G175" s="2">
        <f>SUM('Budget Detail FY 2012-19'!R222:R224)</f>
        <v>339283</v>
      </c>
      <c r="H175" s="2">
        <f>SUM('Budget Detail FY 2012-19'!S222:S224)</f>
        <v>343037</v>
      </c>
      <c r="I175" s="2">
        <f>SUM('Budget Detail FY 2012-19'!T222:T224)</f>
        <v>354518</v>
      </c>
      <c r="J175" s="2">
        <f>SUM('Budget Detail FY 2012-19'!U222:U224)</f>
        <v>366401</v>
      </c>
      <c r="K175" s="2">
        <f>SUM('Budget Detail FY 2012-19'!V222:V224)</f>
        <v>378700</v>
      </c>
    </row>
    <row r="176" spans="2:11" ht="20.100000000000001" customHeight="1">
      <c r="B176" s="15" t="s">
        <v>930</v>
      </c>
      <c r="C176" s="2">
        <f>SUM('Budget Detail FY 2012-19'!N225:N230)</f>
        <v>44246</v>
      </c>
      <c r="D176" s="2">
        <f>SUM('Budget Detail FY 2012-19'!O225:O230)</f>
        <v>139666</v>
      </c>
      <c r="E176" s="2">
        <f>SUM('Budget Detail FY 2012-19'!P225:P230)</f>
        <v>163688</v>
      </c>
      <c r="F176" s="2">
        <f>SUM('Budget Detail FY 2012-19'!Q225:Q230)</f>
        <v>163688</v>
      </c>
      <c r="G176" s="2">
        <f>SUM('Budget Detail FY 2012-19'!R225:R230)</f>
        <v>177193</v>
      </c>
      <c r="H176" s="2">
        <f>SUM('Budget Detail FY 2012-19'!S225:S230)</f>
        <v>188418</v>
      </c>
      <c r="I176" s="2">
        <f>SUM('Budget Detail FY 2012-19'!T225:T230)</f>
        <v>202788</v>
      </c>
      <c r="J176" s="2">
        <f>SUM('Budget Detail FY 2012-19'!U225:U230)</f>
        <v>218303</v>
      </c>
      <c r="K176" s="2">
        <f>SUM('Budget Detail FY 2012-19'!V225:V230)</f>
        <v>235123</v>
      </c>
    </row>
    <row r="177" spans="2:12" ht="20.100000000000001" customHeight="1">
      <c r="B177" s="15" t="s">
        <v>931</v>
      </c>
      <c r="C177" s="2">
        <f>SUM('Budget Detail FY 2012-19'!N231:N243)+SUM('Budget Detail FY 2012-19'!N255:N257)</f>
        <v>1314041</v>
      </c>
      <c r="D177" s="2">
        <f>SUM('Budget Detail FY 2012-19'!O231:O243)+SUM('Budget Detail FY 2012-19'!O255:O257)</f>
        <v>1169135</v>
      </c>
      <c r="E177" s="2">
        <f>SUM('Budget Detail FY 2012-19'!P231:P243)+SUM('Budget Detail FY 2012-19'!P255:P257)</f>
        <v>1509250</v>
      </c>
      <c r="F177" s="2">
        <f>SUM('Budget Detail FY 2012-19'!Q231:Q243)+SUM('Budget Detail FY 2012-19'!Q255:Q257)</f>
        <v>1482901</v>
      </c>
      <c r="G177" s="2">
        <f>SUM('Budget Detail FY 2012-19'!R231:R243)+SUM('Budget Detail FY 2012-19'!R255:R257)</f>
        <v>1304171</v>
      </c>
      <c r="H177" s="2">
        <f>SUM('Budget Detail FY 2012-19'!S231:S243)+SUM('Budget Detail FY 2012-19'!S255:S257)</f>
        <v>1269467</v>
      </c>
      <c r="I177" s="2">
        <f>SUM('Budget Detail FY 2012-19'!T231:T243)+SUM('Budget Detail FY 2012-19'!T255:T257)</f>
        <v>1301767</v>
      </c>
      <c r="J177" s="2">
        <f>SUM('Budget Detail FY 2012-19'!U231:U243)+SUM('Budget Detail FY 2012-19'!U255:U257)</f>
        <v>1335044</v>
      </c>
      <c r="K177" s="2">
        <f>SUM('Budget Detail FY 2012-19'!V231:V243)+SUM('Budget Detail FY 2012-19'!V255:V257)</f>
        <v>1369328</v>
      </c>
    </row>
    <row r="178" spans="2:12" ht="20.100000000000001" customHeight="1">
      <c r="B178" s="15" t="s">
        <v>932</v>
      </c>
      <c r="C178" s="2">
        <f>SUM('Budget Detail FY 2012-19'!N244:N251)</f>
        <v>85167</v>
      </c>
      <c r="D178" s="2">
        <f>SUM('Budget Detail FY 2012-19'!O244:O251)</f>
        <v>71058</v>
      </c>
      <c r="E178" s="2">
        <f>SUM('Budget Detail FY 2012-19'!P244:P251)</f>
        <v>104105</v>
      </c>
      <c r="F178" s="2">
        <f>SUM('Budget Detail FY 2012-19'!Q244:Q251)</f>
        <v>105105</v>
      </c>
      <c r="G178" s="2">
        <f>SUM('Budget Detail FY 2012-19'!R244:R251)</f>
        <v>90678</v>
      </c>
      <c r="H178" s="2">
        <f>SUM('Budget Detail FY 2012-19'!S244:S251)</f>
        <v>93101</v>
      </c>
      <c r="I178" s="2">
        <f>SUM('Budget Detail FY 2012-19'!T244:T251)</f>
        <v>95684</v>
      </c>
      <c r="J178" s="2">
        <f>SUM('Budget Detail FY 2012-19'!U244:U251)</f>
        <v>98437</v>
      </c>
      <c r="K178" s="2">
        <f>SUM('Budget Detail FY 2012-19'!V244:V251)</f>
        <v>101372</v>
      </c>
    </row>
    <row r="179" spans="2:12" s="126" customFormat="1" ht="20.100000000000001" customHeight="1" thickBot="1">
      <c r="B179" s="127" t="s">
        <v>1092</v>
      </c>
      <c r="C179" s="91">
        <f t="shared" ref="C179:K179" si="10">SUM(C175:C178)</f>
        <v>1703802</v>
      </c>
      <c r="D179" s="91">
        <f t="shared" si="10"/>
        <v>1647589</v>
      </c>
      <c r="E179" s="91">
        <f>SUM(E175:E178)</f>
        <v>2105005</v>
      </c>
      <c r="F179" s="91">
        <f t="shared" si="10"/>
        <v>2079656</v>
      </c>
      <c r="G179" s="91">
        <f t="shared" si="10"/>
        <v>1911325</v>
      </c>
      <c r="H179" s="91">
        <f t="shared" si="10"/>
        <v>1894023</v>
      </c>
      <c r="I179" s="91">
        <f t="shared" si="10"/>
        <v>1954757</v>
      </c>
      <c r="J179" s="91">
        <f t="shared" si="10"/>
        <v>2018185</v>
      </c>
      <c r="K179" s="91">
        <f t="shared" si="10"/>
        <v>2084523</v>
      </c>
      <c r="L179" s="154"/>
    </row>
    <row r="180" spans="2:12" s="156" customFormat="1" ht="15" hidden="1" customHeight="1" thickTop="1">
      <c r="B180" s="155"/>
      <c r="C180" s="153">
        <f>'Budget Detail FY 2012-19'!N260</f>
        <v>1703802</v>
      </c>
      <c r="D180" s="153">
        <f>'Budget Detail FY 2012-19'!O260</f>
        <v>1647589</v>
      </c>
      <c r="E180" s="153">
        <f>'Budget Detail FY 2012-19'!P260</f>
        <v>2105005</v>
      </c>
      <c r="F180" s="153">
        <f>'Budget Detail FY 2012-19'!Q260</f>
        <v>2079656</v>
      </c>
      <c r="G180" s="153">
        <f>'Budget Detail FY 2012-19'!R260</f>
        <v>1911325</v>
      </c>
      <c r="H180" s="153">
        <f>'Budget Detail FY 2012-19'!S260</f>
        <v>1894023</v>
      </c>
      <c r="I180" s="153">
        <f>'Budget Detail FY 2012-19'!T260</f>
        <v>1954757</v>
      </c>
      <c r="J180" s="153">
        <f>'Budget Detail FY 2012-19'!U260</f>
        <v>2018185</v>
      </c>
      <c r="K180" s="153">
        <f>'Budget Detail FY 2012-19'!V260</f>
        <v>2084523</v>
      </c>
    </row>
    <row r="181" spans="2:12" s="164" customFormat="1" ht="15" hidden="1" customHeight="1">
      <c r="B181" s="162"/>
      <c r="C181" s="163">
        <f>C179-C180</f>
        <v>0</v>
      </c>
      <c r="D181" s="163">
        <f t="shared" ref="D181:K181" si="11">D179-D180</f>
        <v>0</v>
      </c>
      <c r="E181" s="163">
        <f t="shared" si="11"/>
        <v>0</v>
      </c>
      <c r="F181" s="163">
        <f t="shared" si="11"/>
        <v>0</v>
      </c>
      <c r="G181" s="163">
        <f t="shared" si="11"/>
        <v>0</v>
      </c>
      <c r="H181" s="163">
        <f t="shared" si="11"/>
        <v>0</v>
      </c>
      <c r="I181" s="163">
        <f t="shared" si="11"/>
        <v>0</v>
      </c>
      <c r="J181" s="163">
        <f t="shared" si="11"/>
        <v>0</v>
      </c>
      <c r="K181" s="163">
        <f t="shared" si="11"/>
        <v>0</v>
      </c>
    </row>
    <row r="182" spans="2:12" ht="12.75" customHeight="1" thickTop="1">
      <c r="B182" s="24"/>
      <c r="C182" s="62"/>
      <c r="D182" s="62"/>
      <c r="E182" s="62"/>
      <c r="F182" s="60"/>
      <c r="G182" s="60"/>
      <c r="H182" s="60"/>
      <c r="I182" s="60"/>
      <c r="J182" s="60"/>
      <c r="K182" s="60"/>
    </row>
    <row r="183" spans="2:12" ht="12.75" customHeight="1">
      <c r="B183" s="24"/>
      <c r="C183" s="62"/>
      <c r="D183" s="62"/>
      <c r="E183" s="62"/>
      <c r="F183" s="60"/>
      <c r="G183" s="60"/>
      <c r="H183" s="60"/>
      <c r="I183" s="60"/>
      <c r="J183" s="60"/>
      <c r="K183" s="60"/>
    </row>
    <row r="184" spans="2:12" ht="17.25" customHeight="1">
      <c r="B184" s="19"/>
      <c r="C184" s="50"/>
      <c r="D184" s="50"/>
      <c r="E184" s="50"/>
      <c r="F184" s="60"/>
      <c r="G184" s="60"/>
      <c r="H184" s="60"/>
      <c r="I184" s="60"/>
      <c r="J184" s="60"/>
      <c r="K184" s="60"/>
    </row>
    <row r="185" spans="2:12" ht="15">
      <c r="B185" s="19"/>
      <c r="C185" s="50"/>
      <c r="D185" s="50"/>
      <c r="E185" s="50"/>
      <c r="F185" s="60"/>
      <c r="G185" s="60"/>
      <c r="H185" s="60"/>
      <c r="I185" s="60"/>
      <c r="J185" s="60"/>
      <c r="K185" s="60"/>
    </row>
    <row r="186" spans="2:12" ht="15">
      <c r="B186" s="19"/>
      <c r="C186" s="50"/>
      <c r="D186" s="50"/>
      <c r="E186" s="50"/>
      <c r="F186" s="60"/>
      <c r="G186" s="60"/>
      <c r="H186" s="60"/>
      <c r="I186" s="60"/>
      <c r="J186" s="60"/>
      <c r="K186" s="60"/>
    </row>
    <row r="187" spans="2:12" ht="15">
      <c r="B187" s="19"/>
      <c r="C187" s="50"/>
      <c r="D187" s="50"/>
      <c r="E187" s="50"/>
      <c r="F187" s="60"/>
      <c r="G187" s="60"/>
      <c r="H187" s="60"/>
      <c r="I187" s="60"/>
      <c r="J187" s="60"/>
      <c r="K187" s="60"/>
    </row>
    <row r="188" spans="2:12" ht="15">
      <c r="B188" s="19"/>
      <c r="C188" s="50"/>
      <c r="D188" s="50"/>
      <c r="E188" s="50"/>
      <c r="F188" s="60"/>
      <c r="G188" s="60"/>
      <c r="H188" s="60"/>
      <c r="I188" s="60"/>
      <c r="J188" s="60"/>
      <c r="K188" s="60"/>
    </row>
    <row r="189" spans="2:12" ht="15">
      <c r="B189" s="19"/>
      <c r="C189" s="50"/>
      <c r="D189" s="50"/>
      <c r="E189" s="50"/>
      <c r="F189" s="60"/>
      <c r="G189" s="60"/>
      <c r="H189" s="60"/>
      <c r="I189" s="60"/>
      <c r="J189" s="60"/>
      <c r="K189" s="60"/>
    </row>
    <row r="190" spans="2:12" ht="15">
      <c r="B190" s="19"/>
      <c r="C190" s="50"/>
      <c r="D190" s="50"/>
      <c r="E190" s="50"/>
      <c r="F190" s="60"/>
      <c r="G190" s="60"/>
      <c r="H190" s="60"/>
      <c r="I190" s="60"/>
      <c r="J190" s="60"/>
      <c r="K190" s="60"/>
    </row>
    <row r="191" spans="2:12" ht="15">
      <c r="B191" s="19"/>
      <c r="C191" s="50"/>
      <c r="D191" s="50"/>
      <c r="E191" s="50"/>
      <c r="F191" s="60"/>
      <c r="G191" s="60"/>
      <c r="H191" s="60"/>
      <c r="I191" s="60"/>
      <c r="J191" s="60"/>
      <c r="K191" s="60"/>
    </row>
    <row r="192" spans="2:12" ht="15">
      <c r="B192" s="19"/>
      <c r="C192" s="50"/>
      <c r="D192" s="50"/>
      <c r="E192" s="50"/>
      <c r="F192" s="60"/>
      <c r="G192" s="60"/>
      <c r="H192" s="60"/>
      <c r="I192" s="60"/>
      <c r="J192" s="60"/>
      <c r="K192" s="60"/>
    </row>
    <row r="193" spans="2:11" ht="15">
      <c r="B193" s="19"/>
      <c r="C193" s="50"/>
      <c r="D193" s="50"/>
      <c r="E193" s="50"/>
      <c r="F193" s="60"/>
      <c r="G193" s="60"/>
      <c r="H193" s="60"/>
      <c r="I193" s="60"/>
      <c r="J193" s="60"/>
      <c r="K193" s="60"/>
    </row>
    <row r="194" spans="2:11" ht="15">
      <c r="B194" s="19"/>
      <c r="C194" s="50"/>
      <c r="D194" s="50"/>
      <c r="E194" s="50"/>
      <c r="F194" s="60"/>
      <c r="G194" s="60"/>
      <c r="H194" s="60"/>
      <c r="I194" s="60"/>
      <c r="J194" s="60"/>
      <c r="K194" s="60"/>
    </row>
    <row r="195" spans="2:11" ht="15">
      <c r="B195" s="19"/>
      <c r="C195" s="50"/>
      <c r="D195" s="50"/>
      <c r="E195" s="50"/>
      <c r="F195" s="60"/>
      <c r="G195" s="60"/>
      <c r="H195" s="60"/>
      <c r="I195" s="60"/>
      <c r="J195" s="60"/>
      <c r="K195" s="60"/>
    </row>
    <row r="196" spans="2:11" ht="15">
      <c r="B196" s="19"/>
      <c r="C196" s="50"/>
      <c r="D196" s="50"/>
      <c r="E196" s="50"/>
      <c r="F196" s="60"/>
      <c r="G196" s="60"/>
      <c r="H196" s="60"/>
      <c r="I196" s="60"/>
      <c r="J196" s="60"/>
      <c r="K196" s="60"/>
    </row>
    <row r="197" spans="2:11" ht="15">
      <c r="B197" s="19"/>
      <c r="C197" s="50"/>
      <c r="D197" s="50"/>
      <c r="E197" s="50"/>
      <c r="F197" s="60"/>
      <c r="G197" s="60"/>
      <c r="H197" s="60"/>
      <c r="I197" s="60"/>
      <c r="J197" s="60"/>
      <c r="K197" s="60"/>
    </row>
    <row r="198" spans="2:11" ht="15">
      <c r="B198" s="19"/>
      <c r="C198" s="50"/>
      <c r="D198" s="50"/>
      <c r="E198" s="50"/>
      <c r="F198" s="60"/>
      <c r="G198" s="60"/>
      <c r="H198" s="60"/>
      <c r="I198" s="60"/>
      <c r="J198" s="60"/>
      <c r="K198" s="60"/>
    </row>
    <row r="199" spans="2:11" ht="18.75" customHeight="1">
      <c r="B199" s="714" t="s">
        <v>979</v>
      </c>
      <c r="C199" s="714"/>
      <c r="D199" s="714"/>
      <c r="E199" s="714"/>
      <c r="F199" s="714"/>
      <c r="G199" s="714"/>
      <c r="H199" s="714"/>
      <c r="I199" s="714"/>
      <c r="J199" s="714"/>
      <c r="K199" s="714"/>
    </row>
    <row r="200" spans="2:11" ht="15">
      <c r="B200" s="55"/>
      <c r="C200" s="60"/>
      <c r="D200" s="60"/>
      <c r="E200" s="60"/>
      <c r="F200" s="60"/>
      <c r="G200" s="60"/>
      <c r="H200" s="60"/>
      <c r="I200" s="60"/>
      <c r="J200" s="60"/>
      <c r="K200" s="60"/>
    </row>
    <row r="201" spans="2:11" ht="12.75" customHeight="1">
      <c r="B201" s="715" t="s">
        <v>1480</v>
      </c>
      <c r="C201" s="715"/>
      <c r="D201" s="715"/>
      <c r="E201" s="715"/>
      <c r="F201" s="715"/>
      <c r="G201" s="715"/>
      <c r="H201" s="715"/>
      <c r="I201" s="715"/>
      <c r="J201" s="715"/>
      <c r="K201" s="715"/>
    </row>
    <row r="202" spans="2:11" ht="19.5" customHeight="1">
      <c r="B202" s="715"/>
      <c r="C202" s="715"/>
      <c r="D202" s="715"/>
      <c r="E202" s="715"/>
      <c r="F202" s="715"/>
      <c r="G202" s="715"/>
      <c r="H202" s="715"/>
      <c r="I202" s="715"/>
      <c r="J202" s="715"/>
      <c r="K202" s="715"/>
    </row>
    <row r="203" spans="2:11" ht="15">
      <c r="B203" s="56"/>
      <c r="C203" s="69"/>
      <c r="D203" s="69"/>
      <c r="E203" s="69"/>
      <c r="F203" s="60"/>
      <c r="G203" s="60"/>
      <c r="H203" s="60"/>
      <c r="I203" s="60"/>
      <c r="J203" s="60"/>
      <c r="K203" s="60"/>
    </row>
    <row r="204" spans="2:11" ht="15">
      <c r="B204" s="57"/>
      <c r="C204" s="72"/>
      <c r="D204" s="73"/>
      <c r="E204" s="72" t="s">
        <v>283</v>
      </c>
      <c r="F204" s="1"/>
      <c r="G204" s="1"/>
      <c r="H204" s="1"/>
      <c r="I204" s="1"/>
      <c r="J204" s="1"/>
      <c r="K204" s="1"/>
    </row>
    <row r="205" spans="2:11" ht="15">
      <c r="B205" s="13"/>
      <c r="C205" s="72" t="s">
        <v>229</v>
      </c>
      <c r="D205" s="55" t="s">
        <v>282</v>
      </c>
      <c r="E205" s="73" t="s">
        <v>917</v>
      </c>
      <c r="F205" s="73" t="s">
        <v>283</v>
      </c>
      <c r="G205" s="73" t="s">
        <v>298</v>
      </c>
      <c r="H205" s="73" t="s">
        <v>299</v>
      </c>
      <c r="I205" s="73" t="s">
        <v>300</v>
      </c>
      <c r="J205" s="73" t="s">
        <v>1087</v>
      </c>
      <c r="K205" s="73" t="s">
        <v>1224</v>
      </c>
    </row>
    <row r="206" spans="2:11" ht="15.75" thickBot="1">
      <c r="B206" s="46"/>
      <c r="C206" s="75" t="s">
        <v>1</v>
      </c>
      <c r="D206" s="75" t="s">
        <v>1</v>
      </c>
      <c r="E206" s="75" t="s">
        <v>871</v>
      </c>
      <c r="F206" s="75" t="s">
        <v>20</v>
      </c>
      <c r="G206" s="75" t="s">
        <v>917</v>
      </c>
      <c r="H206" s="75" t="s">
        <v>20</v>
      </c>
      <c r="I206" s="75" t="s">
        <v>20</v>
      </c>
      <c r="J206" s="75" t="s">
        <v>20</v>
      </c>
      <c r="K206" s="75" t="s">
        <v>20</v>
      </c>
    </row>
    <row r="207" spans="2:11" ht="15">
      <c r="B207" s="11"/>
      <c r="C207" s="50"/>
      <c r="D207" s="50"/>
      <c r="E207" s="50"/>
      <c r="F207" s="60"/>
      <c r="G207" s="60"/>
      <c r="H207" s="60"/>
      <c r="I207" s="60"/>
      <c r="J207" s="60"/>
      <c r="K207" s="60"/>
    </row>
    <row r="208" spans="2:11" ht="15">
      <c r="B208" s="47" t="s">
        <v>659</v>
      </c>
      <c r="C208" s="50"/>
      <c r="D208" s="50"/>
      <c r="E208" s="50"/>
      <c r="F208" s="60"/>
      <c r="G208" s="60"/>
      <c r="H208" s="60"/>
      <c r="I208" s="60"/>
      <c r="J208" s="60"/>
      <c r="K208" s="60"/>
    </row>
    <row r="209" spans="2:12" ht="20.100000000000001" customHeight="1">
      <c r="B209" s="16" t="s">
        <v>929</v>
      </c>
      <c r="C209" s="2">
        <f>'Budget Detail FY 2012-19'!N263</f>
        <v>350</v>
      </c>
      <c r="D209" s="2">
        <f>'Budget Detail FY 2012-19'!O263</f>
        <v>100</v>
      </c>
      <c r="E209" s="2">
        <f>'Budget Detail FY 2012-19'!P263</f>
        <v>500</v>
      </c>
      <c r="F209" s="2">
        <f>'Budget Detail FY 2012-19'!Q263</f>
        <v>500</v>
      </c>
      <c r="G209" s="2">
        <f>'Budget Detail FY 2012-19'!R263</f>
        <v>500</v>
      </c>
      <c r="H209" s="2">
        <f>'Budget Detail FY 2012-19'!S263</f>
        <v>500</v>
      </c>
      <c r="I209" s="2">
        <f>'Budget Detail FY 2012-19'!T263</f>
        <v>500</v>
      </c>
      <c r="J209" s="2">
        <f>'Budget Detail FY 2012-19'!U263</f>
        <v>500</v>
      </c>
      <c r="K209" s="2">
        <f>'Budget Detail FY 2012-19'!V263</f>
        <v>500</v>
      </c>
    </row>
    <row r="210" spans="2:12" ht="20.100000000000001" customHeight="1">
      <c r="B210" s="16" t="s">
        <v>930</v>
      </c>
      <c r="C210" s="2">
        <f>SUM('Budget Detail FY 2012-19'!N264:N272)</f>
        <v>1709445</v>
      </c>
      <c r="D210" s="2">
        <f>SUM('Budget Detail FY 2012-19'!O264:O272)</f>
        <v>315471</v>
      </c>
      <c r="E210" s="2">
        <f>SUM('Budget Detail FY 2012-19'!P264:P272)</f>
        <v>352518</v>
      </c>
      <c r="F210" s="2">
        <f>SUM('Budget Detail FY 2012-19'!Q264:Q272)</f>
        <v>326216</v>
      </c>
      <c r="G210" s="2">
        <f>SUM('Budget Detail FY 2012-19'!R264:R272)</f>
        <v>343647</v>
      </c>
      <c r="H210" s="2">
        <f>SUM('Budget Detail FY 2012-19'!S264:S272)</f>
        <v>353991</v>
      </c>
      <c r="I210" s="2">
        <f>SUM('Budget Detail FY 2012-19'!T264:T272)</f>
        <v>374285</v>
      </c>
      <c r="J210" s="2">
        <f>SUM('Budget Detail FY 2012-19'!U264:U272)</f>
        <v>396283</v>
      </c>
      <c r="K210" s="2">
        <f>SUM('Budget Detail FY 2012-19'!V264:V272)</f>
        <v>419141</v>
      </c>
    </row>
    <row r="211" spans="2:12" ht="20.100000000000001" customHeight="1">
      <c r="B211" s="16" t="s">
        <v>931</v>
      </c>
      <c r="C211" s="2">
        <f>SUM('Budget Detail FY 2012-19'!N273:N288)</f>
        <v>2186393</v>
      </c>
      <c r="D211" s="2">
        <f>SUM('Budget Detail FY 2012-19'!O273:O288)</f>
        <v>1947060</v>
      </c>
      <c r="E211" s="2">
        <f>SUM('Budget Detail FY 2012-19'!P273:P288)</f>
        <v>1889740</v>
      </c>
      <c r="F211" s="2">
        <f>SUM('Budget Detail FY 2012-19'!Q273:Q288)</f>
        <v>2040242</v>
      </c>
      <c r="G211" s="2">
        <f>SUM('Budget Detail FY 2012-19'!R273:R288)</f>
        <v>2291529</v>
      </c>
      <c r="H211" s="2">
        <f>SUM('Budget Detail FY 2012-19'!S273:S288)</f>
        <v>2283789</v>
      </c>
      <c r="I211" s="2">
        <f>SUM('Budget Detail FY 2012-19'!T273:T288)</f>
        <v>2356692</v>
      </c>
      <c r="J211" s="2">
        <f>SUM('Budget Detail FY 2012-19'!U273:U288)</f>
        <v>2422265</v>
      </c>
      <c r="K211" s="2">
        <f>SUM('Budget Detail FY 2012-19'!V273:V288)</f>
        <v>2446537</v>
      </c>
    </row>
    <row r="212" spans="2:12" ht="20.100000000000001" customHeight="1">
      <c r="B212" s="16" t="s">
        <v>932</v>
      </c>
      <c r="C212" s="2">
        <f>'Budget Detail FY 2012-19'!N289</f>
        <v>2910</v>
      </c>
      <c r="D212" s="2">
        <f>'Budget Detail FY 2012-19'!O289</f>
        <v>25649</v>
      </c>
      <c r="E212" s="2">
        <f>'Budget Detail FY 2012-19'!P289</f>
        <v>5000</v>
      </c>
      <c r="F212" s="2">
        <f>'Budget Detail FY 2012-19'!Q289</f>
        <v>5000</v>
      </c>
      <c r="G212" s="2">
        <f>'Budget Detail FY 2012-19'!R289</f>
        <v>5000</v>
      </c>
      <c r="H212" s="2">
        <f>'Budget Detail FY 2012-19'!S289</f>
        <v>5000</v>
      </c>
      <c r="I212" s="2">
        <f>'Budget Detail FY 2012-19'!T289</f>
        <v>5000</v>
      </c>
      <c r="J212" s="2">
        <f>'Budget Detail FY 2012-19'!U289</f>
        <v>5000</v>
      </c>
      <c r="K212" s="2">
        <f>'Budget Detail FY 2012-19'!V289</f>
        <v>5000</v>
      </c>
    </row>
    <row r="213" spans="2:12" ht="20.100000000000001" customHeight="1">
      <c r="B213" s="16" t="s">
        <v>934</v>
      </c>
      <c r="C213" s="2">
        <f>'Budget Detail FY 2012-19'!N290</f>
        <v>52075</v>
      </c>
      <c r="D213" s="2">
        <f>'Budget Detail FY 2012-19'!O290</f>
        <v>0</v>
      </c>
      <c r="E213" s="2">
        <f>'Budget Detail FY 2012-19'!P290</f>
        <v>50000</v>
      </c>
      <c r="F213" s="2">
        <f>'Budget Detail FY 2012-19'!Q290</f>
        <v>11675</v>
      </c>
      <c r="G213" s="2">
        <f>'Budget Detail FY 2012-19'!R290</f>
        <v>0</v>
      </c>
      <c r="H213" s="2">
        <f>'Budget Detail FY 2012-19'!S290</f>
        <v>0</v>
      </c>
      <c r="I213" s="2">
        <f>'Budget Detail FY 2012-19'!T290</f>
        <v>0</v>
      </c>
      <c r="J213" s="2">
        <f>'Budget Detail FY 2012-19'!U290</f>
        <v>0</v>
      </c>
      <c r="K213" s="2">
        <f>'Budget Detail FY 2012-19'!V290</f>
        <v>0</v>
      </c>
    </row>
    <row r="214" spans="2:12" ht="20.100000000000001" customHeight="1">
      <c r="B214" s="16" t="s">
        <v>935</v>
      </c>
      <c r="C214" s="2">
        <f>SUM('Budget Detail FY 2012-19'!N291:N298)</f>
        <v>1297950</v>
      </c>
      <c r="D214" s="2">
        <f>SUM('Budget Detail FY 2012-19'!O291:O298)</f>
        <v>1501502</v>
      </c>
      <c r="E214" s="2">
        <f>SUM('Budget Detail FY 2012-19'!P291:P298)</f>
        <v>3798673</v>
      </c>
      <c r="F214" s="2">
        <f>SUM('Budget Detail FY 2012-19'!Q291:Q298)</f>
        <v>3796914</v>
      </c>
      <c r="G214" s="2">
        <f>SUM('Budget Detail FY 2012-19'!R291:R298)</f>
        <v>2548953</v>
      </c>
      <c r="H214" s="2">
        <f>SUM('Budget Detail FY 2012-19'!S291:S298)</f>
        <v>2654963</v>
      </c>
      <c r="I214" s="2">
        <f>SUM('Budget Detail FY 2012-19'!T291:T298)</f>
        <v>2823942</v>
      </c>
      <c r="J214" s="2">
        <f>SUM('Budget Detail FY 2012-19'!U291:U298)</f>
        <v>3020169</v>
      </c>
      <c r="K214" s="2">
        <f>SUM('Budget Detail FY 2012-19'!V291:V298)</f>
        <v>3189327</v>
      </c>
    </row>
    <row r="215" spans="2:12" s="126" customFormat="1" ht="20.100000000000001" customHeight="1" thickBot="1">
      <c r="B215" s="128" t="s">
        <v>1093</v>
      </c>
      <c r="C215" s="91">
        <f t="shared" ref="C215:J215" si="12">SUM(C209:C214)</f>
        <v>5249123</v>
      </c>
      <c r="D215" s="91">
        <f t="shared" si="12"/>
        <v>3789782</v>
      </c>
      <c r="E215" s="91">
        <f t="shared" si="12"/>
        <v>6096431</v>
      </c>
      <c r="F215" s="91">
        <f>SUM(F209:F214)</f>
        <v>6180547</v>
      </c>
      <c r="G215" s="91">
        <f t="shared" si="12"/>
        <v>5189629</v>
      </c>
      <c r="H215" s="91">
        <f t="shared" si="12"/>
        <v>5298243</v>
      </c>
      <c r="I215" s="91">
        <f t="shared" si="12"/>
        <v>5560419</v>
      </c>
      <c r="J215" s="91">
        <f t="shared" si="12"/>
        <v>5844217</v>
      </c>
      <c r="K215" s="91">
        <f>SUM(K209:K214)</f>
        <v>6060505</v>
      </c>
      <c r="L215" s="154"/>
    </row>
    <row r="216" spans="2:12" s="158" customFormat="1" ht="15.75" hidden="1" thickTop="1">
      <c r="B216" s="139"/>
      <c r="C216" s="157">
        <f>'Budget Detail FY 2012-19'!N299</f>
        <v>5249123</v>
      </c>
      <c r="D216" s="157">
        <f>'Budget Detail FY 2012-19'!O299</f>
        <v>3789782</v>
      </c>
      <c r="E216" s="157">
        <f>'Budget Detail FY 2012-19'!P299</f>
        <v>6096431</v>
      </c>
      <c r="F216" s="157">
        <f>'Budget Detail FY 2012-19'!Q299</f>
        <v>6180547</v>
      </c>
      <c r="G216" s="157">
        <f>'Budget Detail FY 2012-19'!R299</f>
        <v>5189629</v>
      </c>
      <c r="H216" s="157">
        <f>'Budget Detail FY 2012-19'!S299</f>
        <v>5298243</v>
      </c>
      <c r="I216" s="157">
        <f>'Budget Detail FY 2012-19'!T299</f>
        <v>5560419</v>
      </c>
      <c r="J216" s="157">
        <f>'Budget Detail FY 2012-19'!U299</f>
        <v>5844217</v>
      </c>
      <c r="K216" s="157">
        <f>'Budget Detail FY 2012-19'!V299</f>
        <v>6060505</v>
      </c>
    </row>
    <row r="217" spans="2:12" s="164" customFormat="1" ht="15" hidden="1">
      <c r="B217" s="142"/>
      <c r="C217" s="165">
        <f>C215-C216</f>
        <v>0</v>
      </c>
      <c r="D217" s="165">
        <f t="shared" ref="D217:K217" si="13">D215-D216</f>
        <v>0</v>
      </c>
      <c r="E217" s="165">
        <f t="shared" si="13"/>
        <v>0</v>
      </c>
      <c r="F217" s="165">
        <f t="shared" si="13"/>
        <v>0</v>
      </c>
      <c r="G217" s="165">
        <f t="shared" si="13"/>
        <v>0</v>
      </c>
      <c r="H217" s="165">
        <f t="shared" si="13"/>
        <v>0</v>
      </c>
      <c r="I217" s="165">
        <f t="shared" si="13"/>
        <v>0</v>
      </c>
      <c r="J217" s="165">
        <f t="shared" si="13"/>
        <v>0</v>
      </c>
      <c r="K217" s="165">
        <f t="shared" si="13"/>
        <v>0</v>
      </c>
    </row>
    <row r="218" spans="2:12" ht="15.75" thickTop="1">
      <c r="B218" s="11"/>
      <c r="C218" s="50"/>
      <c r="D218" s="50"/>
      <c r="E218" s="50"/>
      <c r="F218" s="60"/>
      <c r="G218" s="60"/>
      <c r="H218" s="60"/>
      <c r="I218" s="60"/>
      <c r="J218" s="60"/>
      <c r="K218" s="60"/>
    </row>
    <row r="219" spans="2:12" ht="15">
      <c r="B219" s="11"/>
      <c r="C219" s="50"/>
      <c r="D219" s="50"/>
      <c r="E219" s="50"/>
      <c r="F219" s="60"/>
      <c r="G219" s="60"/>
      <c r="H219" s="60"/>
      <c r="I219" s="60"/>
      <c r="J219" s="60"/>
      <c r="K219" s="60"/>
    </row>
    <row r="220" spans="2:12" ht="15">
      <c r="B220" s="11"/>
      <c r="C220" s="50"/>
      <c r="D220" s="50"/>
      <c r="E220" s="50"/>
      <c r="F220" s="60"/>
      <c r="G220" s="60"/>
      <c r="H220" s="60"/>
      <c r="I220" s="60"/>
      <c r="J220" s="60"/>
      <c r="K220" s="60"/>
    </row>
    <row r="221" spans="2:12" ht="15">
      <c r="B221" s="11"/>
      <c r="C221" s="50"/>
      <c r="D221" s="50"/>
      <c r="E221" s="50"/>
      <c r="F221" s="60"/>
      <c r="G221" s="60"/>
      <c r="H221" s="60"/>
      <c r="I221" s="60"/>
      <c r="J221" s="60"/>
      <c r="K221" s="60"/>
    </row>
    <row r="222" spans="2:12" ht="15">
      <c r="B222" s="11"/>
      <c r="C222" s="50"/>
      <c r="D222" s="50"/>
      <c r="E222" s="50"/>
      <c r="F222" s="60"/>
      <c r="G222" s="60"/>
      <c r="H222" s="60"/>
      <c r="I222" s="60"/>
      <c r="J222" s="60"/>
      <c r="K222" s="60"/>
    </row>
    <row r="223" spans="2:12" ht="15">
      <c r="B223" s="11"/>
      <c r="C223" s="50"/>
      <c r="D223" s="50"/>
      <c r="E223" s="50"/>
      <c r="F223" s="60"/>
      <c r="G223" s="60"/>
      <c r="H223" s="60"/>
      <c r="I223" s="60"/>
      <c r="J223" s="60"/>
      <c r="K223" s="60"/>
    </row>
    <row r="224" spans="2:12" ht="15">
      <c r="B224" s="11"/>
      <c r="C224" s="50"/>
      <c r="D224" s="50"/>
      <c r="E224" s="50"/>
      <c r="F224" s="60"/>
      <c r="G224" s="60"/>
      <c r="H224" s="60"/>
      <c r="I224" s="60"/>
      <c r="J224" s="60"/>
      <c r="K224" s="60"/>
    </row>
    <row r="225" spans="2:12" ht="12.75" customHeight="1">
      <c r="B225" s="11"/>
      <c r="C225" s="50"/>
      <c r="D225" s="50"/>
      <c r="E225" s="50"/>
      <c r="F225" s="60"/>
      <c r="G225" s="60"/>
      <c r="H225" s="60"/>
      <c r="I225" s="60"/>
      <c r="J225" s="60"/>
      <c r="K225" s="60"/>
    </row>
    <row r="226" spans="2:12" ht="18" customHeight="1">
      <c r="B226" s="11"/>
      <c r="C226" s="50"/>
      <c r="D226" s="50"/>
      <c r="E226" s="50"/>
      <c r="F226" s="60"/>
      <c r="G226" s="60"/>
      <c r="H226" s="60"/>
      <c r="I226" s="60"/>
      <c r="J226" s="60"/>
      <c r="K226" s="60"/>
    </row>
    <row r="227" spans="2:12" ht="15">
      <c r="B227" s="11"/>
      <c r="C227" s="50"/>
      <c r="D227" s="50"/>
      <c r="E227" s="50"/>
      <c r="F227" s="60"/>
      <c r="G227" s="60"/>
      <c r="H227" s="60"/>
      <c r="I227" s="60"/>
      <c r="J227" s="60"/>
      <c r="K227" s="60"/>
    </row>
    <row r="228" spans="2:12" ht="15">
      <c r="B228" s="11"/>
      <c r="C228" s="50"/>
      <c r="D228" s="50"/>
      <c r="E228" s="50"/>
      <c r="F228" s="60"/>
      <c r="G228" s="60"/>
      <c r="H228" s="60"/>
      <c r="I228" s="60"/>
      <c r="J228" s="60"/>
      <c r="K228" s="60"/>
    </row>
    <row r="229" spans="2:12" ht="15">
      <c r="B229" s="11"/>
      <c r="C229" s="50"/>
      <c r="D229" s="50"/>
      <c r="E229" s="50"/>
      <c r="F229" s="60"/>
      <c r="G229" s="60"/>
      <c r="H229" s="60"/>
      <c r="I229" s="60"/>
      <c r="J229" s="60"/>
      <c r="K229" s="60"/>
    </row>
    <row r="230" spans="2:12" ht="15">
      <c r="B230" s="11"/>
      <c r="C230" s="50"/>
      <c r="D230" s="50"/>
      <c r="E230" s="50"/>
      <c r="F230" s="60"/>
      <c r="G230" s="60"/>
      <c r="H230" s="60"/>
      <c r="I230" s="60"/>
      <c r="J230" s="60"/>
      <c r="K230" s="60"/>
    </row>
    <row r="231" spans="2:12" ht="15">
      <c r="B231" s="11"/>
      <c r="C231" s="50"/>
      <c r="D231" s="50"/>
      <c r="E231" s="50"/>
      <c r="F231" s="60"/>
      <c r="G231" s="60"/>
      <c r="H231" s="60"/>
      <c r="I231" s="60"/>
      <c r="J231" s="60"/>
      <c r="K231" s="60"/>
    </row>
    <row r="232" spans="2:12" ht="15">
      <c r="B232" s="11"/>
      <c r="C232" s="50"/>
      <c r="D232" s="50"/>
      <c r="E232" s="50"/>
      <c r="F232" s="60"/>
      <c r="G232" s="60"/>
      <c r="H232" s="60"/>
      <c r="I232" s="60"/>
      <c r="J232" s="60"/>
      <c r="K232" s="60"/>
    </row>
    <row r="233" spans="2:12" ht="15">
      <c r="B233" s="11"/>
      <c r="C233" s="50"/>
      <c r="D233" s="50"/>
      <c r="E233" s="50"/>
      <c r="F233" s="60"/>
      <c r="G233" s="60"/>
      <c r="H233" s="60"/>
      <c r="I233" s="60"/>
      <c r="J233" s="60"/>
      <c r="K233" s="60"/>
      <c r="L233" s="158"/>
    </row>
    <row r="234" spans="2:12" s="158" customFormat="1" ht="15" hidden="1">
      <c r="B234" s="166"/>
      <c r="C234" s="167"/>
      <c r="D234" s="167"/>
      <c r="E234" s="167"/>
      <c r="F234" s="167"/>
      <c r="G234" s="167"/>
      <c r="H234" s="167"/>
      <c r="I234" s="167"/>
      <c r="J234" s="167"/>
      <c r="K234" s="167"/>
    </row>
    <row r="235" spans="2:12" s="158" customFormat="1" ht="15" hidden="1">
      <c r="B235" s="166" t="s">
        <v>1332</v>
      </c>
      <c r="C235" s="167">
        <f>C16+C50+C81+C112+C148+C179+C215</f>
        <v>10969330</v>
      </c>
      <c r="D235" s="167">
        <f t="shared" ref="D235:K235" si="14">D16+D50+D81+D112+D148+D179+D215</f>
        <v>10361617</v>
      </c>
      <c r="E235" s="167">
        <f t="shared" si="14"/>
        <v>13902593</v>
      </c>
      <c r="F235" s="167">
        <f t="shared" si="14"/>
        <v>13848143</v>
      </c>
      <c r="G235" s="167">
        <f t="shared" si="14"/>
        <v>13570112</v>
      </c>
      <c r="H235" s="167">
        <f t="shared" si="14"/>
        <v>14092321</v>
      </c>
      <c r="I235" s="167">
        <f t="shared" si="14"/>
        <v>14616560</v>
      </c>
      <c r="J235" s="167">
        <f t="shared" si="14"/>
        <v>15224214</v>
      </c>
      <c r="K235" s="167">
        <f t="shared" si="14"/>
        <v>15810807</v>
      </c>
    </row>
    <row r="236" spans="2:12" s="158" customFormat="1" ht="15" hidden="1">
      <c r="B236" s="166" t="s">
        <v>1333</v>
      </c>
      <c r="C236" s="167">
        <f>'Fund Cover Sheets'!C31</f>
        <v>10969330</v>
      </c>
      <c r="D236" s="167">
        <f>'Fund Cover Sheets'!D31</f>
        <v>10361617</v>
      </c>
      <c r="E236" s="167">
        <f>'Fund Cover Sheets'!E31</f>
        <v>13902593</v>
      </c>
      <c r="F236" s="167">
        <f>'Fund Cover Sheets'!F31</f>
        <v>13848143</v>
      </c>
      <c r="G236" s="167">
        <f>'Fund Cover Sheets'!G31</f>
        <v>13570112</v>
      </c>
      <c r="H236" s="167">
        <f>'Fund Cover Sheets'!H31</f>
        <v>14092321</v>
      </c>
      <c r="I236" s="167">
        <f>'Fund Cover Sheets'!I31</f>
        <v>14616560</v>
      </c>
      <c r="J236" s="167">
        <f>'Fund Cover Sheets'!J31</f>
        <v>15224214</v>
      </c>
      <c r="K236" s="167">
        <f>'Fund Cover Sheets'!K31</f>
        <v>15810807</v>
      </c>
    </row>
    <row r="237" spans="2:12" s="164" customFormat="1" ht="15" hidden="1">
      <c r="B237" s="168" t="s">
        <v>1285</v>
      </c>
      <c r="C237" s="145">
        <f>C235-C236</f>
        <v>0</v>
      </c>
      <c r="D237" s="145">
        <f t="shared" ref="D237:K237" si="15">D235-D236</f>
        <v>0</v>
      </c>
      <c r="E237" s="145">
        <f t="shared" si="15"/>
        <v>0</v>
      </c>
      <c r="F237" s="145">
        <f t="shared" si="15"/>
        <v>0</v>
      </c>
      <c r="G237" s="145">
        <f t="shared" si="15"/>
        <v>0</v>
      </c>
      <c r="H237" s="145">
        <f t="shared" si="15"/>
        <v>0</v>
      </c>
      <c r="I237" s="145">
        <f t="shared" si="15"/>
        <v>0</v>
      </c>
      <c r="J237" s="145">
        <f t="shared" si="15"/>
        <v>0</v>
      </c>
      <c r="K237" s="145">
        <f t="shared" si="15"/>
        <v>0</v>
      </c>
    </row>
    <row r="238" spans="2:12" ht="15">
      <c r="B238" s="14"/>
      <c r="C238" s="23"/>
      <c r="D238" s="23"/>
      <c r="E238" s="23"/>
      <c r="F238" s="23"/>
      <c r="G238" s="23"/>
      <c r="H238" s="23"/>
      <c r="I238" s="23"/>
      <c r="J238" s="23"/>
      <c r="K238" s="23"/>
    </row>
    <row r="239" spans="2:12" ht="15">
      <c r="B239" s="38"/>
      <c r="C239" s="23"/>
      <c r="D239" s="23"/>
      <c r="E239" s="23"/>
      <c r="F239" s="23"/>
      <c r="G239" s="23"/>
      <c r="H239" s="23"/>
      <c r="I239" s="23"/>
      <c r="J239" s="23"/>
      <c r="K239" s="23"/>
    </row>
    <row r="240" spans="2:12" ht="15">
      <c r="B240" s="16"/>
      <c r="C240" s="23"/>
      <c r="D240" s="23"/>
      <c r="E240" s="23"/>
      <c r="F240" s="23"/>
      <c r="G240" s="23"/>
      <c r="H240" s="23"/>
      <c r="I240" s="23"/>
      <c r="J240" s="23"/>
      <c r="K240" s="23"/>
    </row>
    <row r="241" spans="2:11" ht="15">
      <c r="B241" s="16"/>
      <c r="C241" s="23"/>
      <c r="D241" s="23"/>
      <c r="E241" s="23"/>
      <c r="F241" s="23"/>
      <c r="G241" s="23"/>
      <c r="H241" s="23"/>
      <c r="I241" s="23"/>
      <c r="J241" s="23"/>
      <c r="K241" s="23"/>
    </row>
    <row r="242" spans="2:11" ht="15">
      <c r="B242" s="16"/>
      <c r="C242" s="23"/>
      <c r="D242" s="23"/>
      <c r="E242" s="23"/>
      <c r="F242" s="23"/>
      <c r="G242" s="23"/>
      <c r="H242" s="23"/>
      <c r="I242" s="23"/>
      <c r="J242" s="23"/>
      <c r="K242" s="23"/>
    </row>
    <row r="243" spans="2:11" ht="15">
      <c r="B243" s="16"/>
      <c r="C243" s="23"/>
      <c r="D243" s="23"/>
      <c r="E243" s="23"/>
      <c r="F243" s="23"/>
      <c r="G243" s="23"/>
      <c r="H243" s="23"/>
      <c r="I243" s="23"/>
      <c r="J243" s="23"/>
      <c r="K243" s="23"/>
    </row>
    <row r="244" spans="2:11" ht="15">
      <c r="B244" s="17"/>
      <c r="C244" s="23"/>
      <c r="D244" s="23"/>
      <c r="E244" s="23"/>
      <c r="F244" s="23"/>
      <c r="G244" s="23"/>
      <c r="H244" s="23"/>
      <c r="I244" s="23"/>
      <c r="J244" s="23"/>
      <c r="K244" s="23"/>
    </row>
    <row r="245" spans="2:11" ht="15">
      <c r="B245" s="17"/>
      <c r="C245" s="23"/>
      <c r="D245" s="23"/>
      <c r="E245" s="23"/>
      <c r="F245" s="23"/>
      <c r="G245" s="23"/>
      <c r="H245" s="23"/>
      <c r="I245" s="23"/>
      <c r="J245" s="23"/>
      <c r="K245" s="23"/>
    </row>
    <row r="246" spans="2:11" ht="15">
      <c r="B246" s="18"/>
      <c r="C246" s="23"/>
      <c r="D246" s="23"/>
      <c r="E246" s="23"/>
      <c r="F246" s="23"/>
      <c r="G246" s="23"/>
      <c r="H246" s="23"/>
      <c r="I246" s="23"/>
      <c r="J246" s="23"/>
      <c r="K246" s="23"/>
    </row>
    <row r="247" spans="2:11" ht="15">
      <c r="B247" s="18"/>
      <c r="C247" s="23"/>
      <c r="D247" s="23"/>
      <c r="E247" s="23"/>
      <c r="F247" s="23"/>
      <c r="G247" s="23"/>
      <c r="H247" s="23"/>
      <c r="I247" s="23"/>
      <c r="J247" s="23"/>
      <c r="K247" s="23"/>
    </row>
    <row r="248" spans="2:11" ht="15">
      <c r="B248" s="38"/>
      <c r="C248" s="23"/>
      <c r="D248" s="23"/>
      <c r="E248" s="23"/>
      <c r="F248" s="23"/>
      <c r="G248" s="23"/>
      <c r="H248" s="23"/>
      <c r="I248" s="23"/>
      <c r="J248" s="23"/>
      <c r="K248" s="23"/>
    </row>
    <row r="249" spans="2:11" ht="15">
      <c r="B249" s="19"/>
      <c r="C249" s="23"/>
      <c r="D249" s="23"/>
      <c r="E249" s="23"/>
      <c r="F249" s="23"/>
      <c r="G249" s="23"/>
      <c r="H249" s="23"/>
      <c r="I249" s="23"/>
      <c r="J249" s="23"/>
      <c r="K249" s="23"/>
    </row>
    <row r="250" spans="2:11" ht="15">
      <c r="B250" s="19"/>
      <c r="C250" s="23"/>
      <c r="D250" s="23"/>
      <c r="E250" s="23"/>
      <c r="F250" s="23"/>
      <c r="G250" s="23"/>
      <c r="H250" s="23"/>
      <c r="I250" s="23"/>
      <c r="J250" s="23"/>
      <c r="K250" s="23"/>
    </row>
    <row r="251" spans="2:11" ht="15">
      <c r="B251" s="14"/>
      <c r="C251" s="23"/>
      <c r="D251" s="23"/>
      <c r="E251" s="23"/>
      <c r="F251" s="23"/>
      <c r="G251" s="23"/>
      <c r="H251" s="23"/>
      <c r="I251" s="23"/>
      <c r="J251" s="23"/>
      <c r="K251" s="23"/>
    </row>
    <row r="252" spans="2:11" ht="15">
      <c r="B252" s="14"/>
      <c r="C252" s="23"/>
      <c r="D252" s="23"/>
      <c r="E252" s="23"/>
      <c r="F252" s="23"/>
      <c r="G252" s="23"/>
      <c r="H252" s="23"/>
      <c r="I252" s="23"/>
      <c r="J252" s="23"/>
      <c r="K252" s="23"/>
    </row>
    <row r="253" spans="2:11" ht="15">
      <c r="B253" s="14"/>
      <c r="C253" s="23"/>
      <c r="D253" s="23"/>
      <c r="E253" s="23"/>
      <c r="F253" s="23"/>
      <c r="G253" s="23"/>
      <c r="H253" s="23"/>
      <c r="I253" s="23"/>
      <c r="J253" s="23"/>
      <c r="K253" s="23"/>
    </row>
    <row r="254" spans="2:11" ht="15">
      <c r="B254" s="14"/>
      <c r="C254" s="23"/>
      <c r="D254" s="23"/>
      <c r="E254" s="23"/>
      <c r="F254" s="23"/>
      <c r="G254" s="23"/>
      <c r="H254" s="23"/>
      <c r="I254" s="23"/>
      <c r="J254" s="23"/>
      <c r="K254" s="23"/>
    </row>
    <row r="255" spans="2:11" ht="15">
      <c r="B255" s="14"/>
      <c r="C255" s="23"/>
      <c r="D255" s="23"/>
      <c r="E255" s="23"/>
      <c r="F255" s="23"/>
      <c r="G255" s="23"/>
      <c r="H255" s="23"/>
      <c r="I255" s="23"/>
      <c r="J255" s="23"/>
      <c r="K255" s="23"/>
    </row>
    <row r="256" spans="2:11" ht="15">
      <c r="B256" s="14"/>
      <c r="C256" s="23"/>
      <c r="D256" s="23"/>
      <c r="E256" s="23"/>
      <c r="F256" s="23"/>
      <c r="G256" s="23"/>
      <c r="H256" s="23"/>
      <c r="I256" s="23"/>
      <c r="J256" s="23"/>
      <c r="K256" s="23"/>
    </row>
    <row r="257" spans="2:11" ht="15">
      <c r="B257" s="14"/>
      <c r="C257" s="23"/>
      <c r="D257" s="23"/>
      <c r="E257" s="23"/>
      <c r="F257" s="23"/>
      <c r="G257" s="23"/>
      <c r="H257" s="23"/>
      <c r="I257" s="23"/>
      <c r="J257" s="23"/>
      <c r="K257" s="23"/>
    </row>
    <row r="258" spans="2:11" ht="15">
      <c r="B258" s="14"/>
      <c r="C258" s="23"/>
      <c r="D258" s="23"/>
      <c r="E258" s="23"/>
      <c r="F258" s="23"/>
      <c r="G258" s="23"/>
      <c r="H258" s="23"/>
      <c r="I258" s="23"/>
      <c r="J258" s="23"/>
      <c r="K258" s="23"/>
    </row>
    <row r="259" spans="2:11" ht="15">
      <c r="B259" s="14"/>
      <c r="C259" s="23"/>
      <c r="D259" s="23"/>
      <c r="E259" s="23"/>
      <c r="F259" s="23"/>
      <c r="G259" s="23"/>
      <c r="H259" s="23"/>
      <c r="I259" s="23"/>
      <c r="J259" s="23"/>
      <c r="K259" s="23"/>
    </row>
    <row r="260" spans="2:11" ht="15">
      <c r="B260" s="14"/>
      <c r="C260" s="23"/>
      <c r="D260" s="23"/>
      <c r="E260" s="23"/>
      <c r="F260" s="23"/>
      <c r="G260" s="23"/>
      <c r="H260" s="23"/>
      <c r="I260" s="23"/>
      <c r="J260" s="23"/>
      <c r="K260" s="23"/>
    </row>
    <row r="263" spans="2:11" ht="18.75">
      <c r="B263" s="717"/>
      <c r="C263" s="717"/>
      <c r="D263" s="717"/>
      <c r="E263" s="717"/>
      <c r="F263" s="717"/>
      <c r="G263" s="717"/>
      <c r="H263" s="717"/>
      <c r="I263" s="717"/>
      <c r="J263" s="717"/>
      <c r="K263" s="31"/>
    </row>
    <row r="264" spans="2:11" ht="15">
      <c r="B264" s="32"/>
      <c r="C264" s="23"/>
      <c r="D264" s="23"/>
      <c r="E264" s="23"/>
      <c r="F264" s="23"/>
      <c r="G264" s="23"/>
      <c r="H264" s="23"/>
      <c r="I264" s="23"/>
      <c r="J264" s="23"/>
      <c r="K264" s="23"/>
    </row>
    <row r="265" spans="2:11">
      <c r="B265" s="719"/>
      <c r="C265" s="719"/>
      <c r="D265" s="719"/>
      <c r="E265" s="719"/>
      <c r="F265" s="719"/>
      <c r="G265" s="719"/>
      <c r="H265" s="719"/>
      <c r="I265" s="719"/>
      <c r="J265" s="719"/>
      <c r="K265" s="31"/>
    </row>
    <row r="266" spans="2:11" ht="20.25" customHeight="1">
      <c r="B266" s="719"/>
      <c r="C266" s="719"/>
      <c r="D266" s="719"/>
      <c r="E266" s="719"/>
      <c r="F266" s="719"/>
      <c r="G266" s="719"/>
      <c r="H266" s="719"/>
      <c r="I266" s="719"/>
      <c r="J266" s="719"/>
      <c r="K266" s="31"/>
    </row>
    <row r="267" spans="2:11" ht="15">
      <c r="B267" s="33"/>
      <c r="C267" s="34"/>
      <c r="D267" s="34"/>
      <c r="E267" s="34"/>
      <c r="F267" s="34"/>
      <c r="G267" s="34"/>
      <c r="H267" s="23"/>
      <c r="I267" s="23"/>
      <c r="J267" s="23"/>
      <c r="K267" s="23"/>
    </row>
    <row r="268" spans="2:11" ht="15">
      <c r="B268" s="35"/>
      <c r="C268" s="23"/>
      <c r="D268" s="26"/>
      <c r="E268" s="26"/>
      <c r="F268" s="26"/>
      <c r="G268" s="23"/>
      <c r="H268" s="23"/>
      <c r="I268" s="23"/>
      <c r="J268" s="23"/>
      <c r="K268" s="23"/>
    </row>
    <row r="269" spans="2:11" ht="15">
      <c r="B269" s="24"/>
      <c r="C269" s="26"/>
      <c r="D269" s="26"/>
      <c r="E269" s="26"/>
      <c r="F269" s="26"/>
      <c r="G269" s="26"/>
      <c r="H269" s="26"/>
      <c r="I269" s="26"/>
      <c r="J269" s="26"/>
      <c r="K269" s="26"/>
    </row>
    <row r="270" spans="2:11" ht="15">
      <c r="B270" s="14"/>
      <c r="C270" s="26"/>
      <c r="D270" s="26"/>
      <c r="E270" s="37"/>
      <c r="F270" s="37"/>
      <c r="G270" s="37"/>
      <c r="H270" s="37"/>
      <c r="I270" s="37"/>
      <c r="J270" s="37"/>
      <c r="K270" s="37"/>
    </row>
    <row r="271" spans="2:11" ht="15">
      <c r="B271" s="14"/>
      <c r="C271" s="26"/>
      <c r="D271" s="23"/>
      <c r="E271" s="23"/>
      <c r="F271" s="23"/>
      <c r="G271" s="23"/>
      <c r="H271" s="23"/>
      <c r="I271" s="23"/>
      <c r="J271" s="23"/>
      <c r="K271" s="23"/>
    </row>
    <row r="272" spans="2:11" ht="15">
      <c r="B272" s="38"/>
      <c r="C272" s="23"/>
      <c r="D272" s="23"/>
      <c r="E272" s="23"/>
      <c r="F272" s="23"/>
      <c r="G272" s="23"/>
      <c r="H272" s="23"/>
      <c r="I272" s="23"/>
      <c r="J272" s="23"/>
      <c r="K272" s="23"/>
    </row>
    <row r="273" spans="2:11" ht="15">
      <c r="B273" s="40"/>
      <c r="C273" s="23"/>
      <c r="D273" s="23"/>
      <c r="E273" s="23"/>
      <c r="F273" s="23"/>
      <c r="G273" s="23"/>
      <c r="H273" s="23"/>
      <c r="I273" s="23"/>
      <c r="J273" s="23"/>
      <c r="K273" s="23"/>
    </row>
    <row r="274" spans="2:11" ht="15">
      <c r="B274" s="40"/>
      <c r="C274" s="23"/>
      <c r="D274" s="23"/>
      <c r="E274" s="23"/>
      <c r="F274" s="23"/>
      <c r="G274" s="23"/>
      <c r="H274" s="23"/>
      <c r="I274" s="23"/>
      <c r="J274" s="23"/>
      <c r="K274" s="23"/>
    </row>
    <row r="275" spans="2:11" ht="15">
      <c r="B275" s="40"/>
      <c r="C275" s="23"/>
      <c r="D275" s="23"/>
      <c r="E275" s="23"/>
      <c r="F275" s="23"/>
      <c r="G275" s="23"/>
      <c r="H275" s="23"/>
      <c r="I275" s="23"/>
      <c r="J275" s="23"/>
      <c r="K275" s="23"/>
    </row>
    <row r="276" spans="2:11" ht="15">
      <c r="B276" s="40"/>
      <c r="C276" s="23"/>
      <c r="D276" s="23"/>
      <c r="E276" s="23"/>
      <c r="F276" s="23"/>
      <c r="G276" s="23"/>
      <c r="H276" s="23"/>
      <c r="I276" s="23"/>
      <c r="J276" s="23"/>
      <c r="K276" s="23"/>
    </row>
    <row r="277" spans="2:11" ht="15">
      <c r="B277" s="17"/>
      <c r="C277" s="23"/>
      <c r="D277" s="23"/>
      <c r="E277" s="23"/>
      <c r="F277" s="23"/>
      <c r="G277" s="23"/>
      <c r="H277" s="23"/>
      <c r="I277" s="23"/>
      <c r="J277" s="23"/>
      <c r="K277" s="23"/>
    </row>
    <row r="278" spans="2:11" ht="15">
      <c r="B278" s="14"/>
      <c r="C278" s="23"/>
      <c r="D278" s="23"/>
      <c r="E278" s="23"/>
      <c r="F278" s="23"/>
      <c r="G278" s="23"/>
      <c r="H278" s="23"/>
      <c r="I278" s="23"/>
      <c r="J278" s="23"/>
      <c r="K278" s="23"/>
    </row>
    <row r="279" spans="2:11" ht="15">
      <c r="B279" s="38"/>
      <c r="C279" s="23"/>
      <c r="D279" s="23"/>
      <c r="E279" s="23"/>
      <c r="F279" s="23"/>
      <c r="G279" s="23"/>
      <c r="H279" s="23"/>
      <c r="I279" s="23"/>
      <c r="J279" s="23"/>
      <c r="K279" s="23"/>
    </row>
    <row r="280" spans="2:11" ht="15">
      <c r="B280" s="16"/>
      <c r="C280" s="23"/>
      <c r="D280" s="23"/>
      <c r="E280" s="23"/>
      <c r="F280" s="23"/>
      <c r="G280" s="23"/>
      <c r="H280" s="23"/>
      <c r="I280" s="23"/>
      <c r="J280" s="23"/>
      <c r="K280" s="23"/>
    </row>
    <row r="281" spans="2:11" ht="15">
      <c r="B281" s="16"/>
      <c r="C281" s="23"/>
      <c r="D281" s="23"/>
      <c r="E281" s="23"/>
      <c r="F281" s="23"/>
      <c r="G281" s="23"/>
      <c r="H281" s="23"/>
      <c r="I281" s="23"/>
      <c r="J281" s="23"/>
      <c r="K281" s="23"/>
    </row>
    <row r="282" spans="2:11" ht="15">
      <c r="B282" s="17"/>
      <c r="C282" s="23"/>
      <c r="D282" s="23"/>
      <c r="E282" s="23"/>
      <c r="F282" s="23"/>
      <c r="G282" s="23"/>
      <c r="H282" s="23"/>
      <c r="I282" s="23"/>
      <c r="J282" s="23"/>
      <c r="K282" s="23"/>
    </row>
    <row r="283" spans="2:11" ht="15">
      <c r="B283" s="17"/>
      <c r="C283" s="23"/>
      <c r="D283" s="23"/>
      <c r="E283" s="23"/>
      <c r="F283" s="23"/>
      <c r="G283" s="23"/>
      <c r="H283" s="23"/>
      <c r="I283" s="23"/>
      <c r="J283" s="23"/>
      <c r="K283" s="23"/>
    </row>
    <row r="284" spans="2:11" ht="15">
      <c r="B284" s="18"/>
      <c r="C284" s="23"/>
      <c r="D284" s="23"/>
      <c r="E284" s="23"/>
      <c r="F284" s="23"/>
      <c r="G284" s="23"/>
      <c r="H284" s="23"/>
      <c r="I284" s="23"/>
      <c r="J284" s="23"/>
      <c r="K284" s="23"/>
    </row>
    <row r="285" spans="2:11" ht="15">
      <c r="B285" s="18"/>
      <c r="C285" s="23"/>
      <c r="D285" s="23"/>
      <c r="E285" s="23"/>
      <c r="F285" s="23"/>
      <c r="G285" s="23"/>
      <c r="H285" s="23"/>
      <c r="I285" s="23"/>
      <c r="J285" s="23"/>
      <c r="K285" s="23"/>
    </row>
    <row r="286" spans="2:11" ht="15">
      <c r="B286" s="38"/>
      <c r="C286" s="23"/>
      <c r="D286" s="23"/>
      <c r="E286" s="23"/>
      <c r="F286" s="23"/>
      <c r="G286" s="23"/>
      <c r="H286" s="23"/>
      <c r="I286" s="23"/>
      <c r="J286" s="23"/>
      <c r="K286" s="23"/>
    </row>
    <row r="287" spans="2:11" ht="15">
      <c r="B287" s="19"/>
      <c r="C287" s="23"/>
      <c r="D287" s="23"/>
      <c r="E287" s="23"/>
      <c r="F287" s="23"/>
      <c r="G287" s="23"/>
      <c r="H287" s="23"/>
      <c r="I287" s="23"/>
      <c r="J287" s="23"/>
      <c r="K287" s="23"/>
    </row>
    <row r="288" spans="2:11" ht="15">
      <c r="B288" s="14"/>
      <c r="C288" s="23"/>
      <c r="D288" s="23"/>
      <c r="E288" s="23"/>
      <c r="F288" s="23"/>
      <c r="G288" s="23"/>
      <c r="H288" s="23"/>
      <c r="I288" s="23"/>
      <c r="J288" s="23"/>
      <c r="K288" s="23"/>
    </row>
    <row r="289" spans="2:11" ht="15">
      <c r="B289" s="14"/>
      <c r="C289" s="23"/>
      <c r="D289" s="23"/>
      <c r="E289" s="23"/>
      <c r="F289" s="23"/>
      <c r="G289" s="23"/>
      <c r="H289" s="23"/>
      <c r="I289" s="23"/>
      <c r="J289" s="23"/>
      <c r="K289" s="23"/>
    </row>
    <row r="290" spans="2:11" ht="15">
      <c r="B290" s="14"/>
      <c r="C290" s="23"/>
      <c r="D290" s="23"/>
      <c r="E290" s="23"/>
      <c r="F290" s="23"/>
      <c r="G290" s="23"/>
      <c r="H290" s="23"/>
      <c r="I290" s="23"/>
      <c r="J290" s="23"/>
      <c r="K290" s="23"/>
    </row>
    <row r="291" spans="2:11" ht="15">
      <c r="B291" s="14"/>
      <c r="C291" s="23"/>
      <c r="D291" s="23"/>
      <c r="E291" s="23"/>
      <c r="F291" s="23"/>
      <c r="G291" s="23"/>
      <c r="H291" s="23"/>
      <c r="I291" s="23"/>
      <c r="J291" s="23"/>
      <c r="K291" s="23"/>
    </row>
    <row r="292" spans="2:11" ht="15">
      <c r="B292" s="14"/>
      <c r="C292" s="23"/>
      <c r="D292" s="23"/>
      <c r="E292" s="23"/>
      <c r="F292" s="23"/>
      <c r="G292" s="23"/>
      <c r="H292" s="23"/>
      <c r="I292" s="23"/>
      <c r="J292" s="23"/>
      <c r="K292" s="23"/>
    </row>
    <row r="293" spans="2:11" ht="15">
      <c r="B293" s="14"/>
      <c r="C293" s="23"/>
      <c r="D293" s="23"/>
      <c r="E293" s="23"/>
      <c r="F293" s="23"/>
      <c r="G293" s="23"/>
      <c r="H293" s="23"/>
      <c r="I293" s="23"/>
      <c r="J293" s="23"/>
      <c r="K293" s="23"/>
    </row>
    <row r="294" spans="2:11" ht="15">
      <c r="B294" s="14"/>
      <c r="C294" s="23"/>
      <c r="D294" s="23"/>
      <c r="E294" s="23"/>
      <c r="F294" s="23"/>
      <c r="G294" s="23"/>
      <c r="H294" s="23"/>
      <c r="I294" s="23"/>
      <c r="J294" s="23"/>
      <c r="K294" s="23"/>
    </row>
    <row r="295" spans="2:11" ht="15">
      <c r="B295" s="14"/>
      <c r="C295" s="23"/>
      <c r="D295" s="23"/>
      <c r="E295" s="23"/>
      <c r="F295" s="23"/>
      <c r="G295" s="23"/>
      <c r="H295" s="23"/>
      <c r="I295" s="23"/>
      <c r="J295" s="23"/>
      <c r="K295" s="23"/>
    </row>
    <row r="296" spans="2:11" ht="15">
      <c r="B296" s="14"/>
      <c r="C296" s="23"/>
      <c r="D296" s="23"/>
      <c r="E296" s="23"/>
      <c r="F296" s="23"/>
      <c r="G296" s="23"/>
      <c r="H296" s="23"/>
      <c r="I296" s="23"/>
      <c r="J296" s="23"/>
      <c r="K296" s="23"/>
    </row>
    <row r="297" spans="2:11" ht="15">
      <c r="B297" s="14"/>
      <c r="C297" s="23"/>
      <c r="D297" s="23"/>
      <c r="E297" s="23"/>
      <c r="F297" s="23"/>
      <c r="G297" s="23"/>
      <c r="H297" s="23"/>
      <c r="I297" s="23"/>
      <c r="J297" s="23"/>
      <c r="K297" s="23"/>
    </row>
    <row r="298" spans="2:11" ht="15">
      <c r="B298" s="14"/>
      <c r="C298" s="23"/>
      <c r="D298" s="23"/>
      <c r="E298" s="23"/>
      <c r="F298" s="23"/>
      <c r="G298" s="23"/>
      <c r="H298" s="23"/>
      <c r="I298" s="23"/>
      <c r="J298" s="23"/>
      <c r="K298" s="23"/>
    </row>
    <row r="300" spans="2:11" ht="18.75">
      <c r="B300" s="717"/>
      <c r="C300" s="717"/>
      <c r="D300" s="717"/>
      <c r="E300" s="717"/>
      <c r="F300" s="717"/>
      <c r="G300" s="717"/>
      <c r="H300" s="717"/>
      <c r="I300" s="717"/>
      <c r="J300" s="717"/>
      <c r="K300" s="31"/>
    </row>
    <row r="301" spans="2:11" ht="15">
      <c r="B301" s="32"/>
      <c r="C301" s="23"/>
      <c r="D301" s="23"/>
      <c r="E301" s="23"/>
      <c r="F301" s="23"/>
      <c r="G301" s="23"/>
      <c r="H301" s="23"/>
      <c r="I301" s="23"/>
      <c r="J301" s="23"/>
      <c r="K301" s="23"/>
    </row>
    <row r="302" spans="2:11" ht="15">
      <c r="B302" s="719"/>
      <c r="C302" s="719"/>
      <c r="D302" s="719"/>
      <c r="E302" s="719"/>
      <c r="F302" s="719"/>
      <c r="G302" s="719"/>
      <c r="H302" s="719"/>
      <c r="I302" s="719"/>
      <c r="J302" s="719"/>
      <c r="K302" s="31"/>
    </row>
    <row r="303" spans="2:11" ht="15">
      <c r="B303" s="33"/>
      <c r="C303" s="34"/>
      <c r="D303" s="34"/>
      <c r="E303" s="34"/>
      <c r="F303" s="34"/>
      <c r="G303" s="34"/>
      <c r="H303" s="23"/>
      <c r="I303" s="23"/>
      <c r="J303" s="23"/>
      <c r="K303" s="23"/>
    </row>
    <row r="304" spans="2:11" ht="15">
      <c r="B304" s="35"/>
      <c r="C304" s="23"/>
      <c r="D304" s="26"/>
      <c r="E304" s="26"/>
      <c r="F304" s="26"/>
      <c r="G304" s="23"/>
      <c r="H304" s="23"/>
      <c r="I304" s="23"/>
      <c r="J304" s="23"/>
      <c r="K304" s="23"/>
    </row>
    <row r="305" spans="2:11" ht="15">
      <c r="B305" s="24"/>
      <c r="C305" s="26"/>
      <c r="D305" s="36"/>
      <c r="E305" s="26"/>
      <c r="F305" s="26"/>
      <c r="G305" s="26"/>
      <c r="H305" s="26"/>
      <c r="I305" s="26"/>
      <c r="J305" s="26"/>
      <c r="K305" s="26"/>
    </row>
    <row r="306" spans="2:11" ht="15">
      <c r="B306" s="14"/>
      <c r="C306" s="26"/>
      <c r="D306" s="26"/>
      <c r="E306" s="37"/>
      <c r="F306" s="37"/>
      <c r="G306" s="37"/>
      <c r="H306" s="37"/>
      <c r="I306" s="37"/>
      <c r="J306" s="37"/>
      <c r="K306" s="37"/>
    </row>
    <row r="307" spans="2:11" ht="15">
      <c r="B307" s="14"/>
      <c r="C307" s="26"/>
      <c r="D307" s="23"/>
      <c r="E307" s="23"/>
      <c r="F307" s="23"/>
      <c r="G307" s="23"/>
      <c r="H307" s="23"/>
      <c r="I307" s="23"/>
      <c r="J307" s="23"/>
      <c r="K307" s="23"/>
    </row>
    <row r="308" spans="2:11" ht="15">
      <c r="B308" s="38"/>
      <c r="C308" s="23"/>
      <c r="D308" s="23"/>
      <c r="E308" s="23"/>
      <c r="F308" s="23"/>
      <c r="G308" s="23"/>
      <c r="H308" s="23"/>
      <c r="I308" s="23"/>
      <c r="J308" s="23"/>
      <c r="K308" s="23"/>
    </row>
    <row r="309" spans="2:11" ht="15">
      <c r="B309" s="40"/>
      <c r="C309" s="23"/>
      <c r="D309" s="23"/>
      <c r="E309" s="23"/>
      <c r="F309" s="23"/>
      <c r="G309" s="23"/>
      <c r="H309" s="23"/>
      <c r="I309" s="23"/>
      <c r="J309" s="23"/>
      <c r="K309" s="23"/>
    </row>
    <row r="310" spans="2:11" ht="15">
      <c r="B310" s="40"/>
      <c r="C310" s="23"/>
      <c r="D310" s="23"/>
      <c r="E310" s="23"/>
      <c r="F310" s="23"/>
      <c r="G310" s="23"/>
      <c r="H310" s="23"/>
      <c r="I310" s="23"/>
      <c r="J310" s="23"/>
      <c r="K310" s="23"/>
    </row>
    <row r="311" spans="2:11" ht="15">
      <c r="B311" s="40"/>
      <c r="C311" s="23"/>
      <c r="D311" s="23"/>
      <c r="E311" s="23"/>
      <c r="F311" s="23"/>
      <c r="G311" s="23"/>
      <c r="H311" s="23"/>
      <c r="I311" s="23"/>
      <c r="J311" s="23"/>
      <c r="K311" s="23"/>
    </row>
    <row r="312" spans="2:11" ht="15">
      <c r="B312" s="40"/>
      <c r="C312" s="23"/>
      <c r="D312" s="23"/>
      <c r="E312" s="23"/>
      <c r="F312" s="23"/>
      <c r="G312" s="23"/>
      <c r="H312" s="23"/>
      <c r="I312" s="23"/>
      <c r="J312" s="23"/>
      <c r="K312" s="23"/>
    </row>
    <row r="313" spans="2:11" ht="15">
      <c r="B313" s="40"/>
      <c r="C313" s="23"/>
      <c r="D313" s="23"/>
      <c r="E313" s="23"/>
      <c r="F313" s="23"/>
      <c r="G313" s="23"/>
      <c r="H313" s="23"/>
      <c r="I313" s="23"/>
      <c r="J313" s="23"/>
      <c r="K313" s="23"/>
    </row>
    <row r="314" spans="2:11" ht="15">
      <c r="B314" s="40"/>
      <c r="C314" s="23"/>
      <c r="D314" s="23"/>
      <c r="E314" s="23"/>
      <c r="F314" s="23"/>
      <c r="G314" s="23"/>
      <c r="H314" s="23"/>
      <c r="I314" s="23"/>
      <c r="J314" s="23"/>
      <c r="K314" s="23"/>
    </row>
    <row r="315" spans="2:11" ht="15">
      <c r="B315" s="17"/>
      <c r="C315" s="23"/>
      <c r="D315" s="23"/>
      <c r="E315" s="23"/>
      <c r="F315" s="23"/>
      <c r="G315" s="23"/>
      <c r="H315" s="23"/>
      <c r="I315" s="23"/>
      <c r="J315" s="23"/>
      <c r="K315" s="23"/>
    </row>
    <row r="316" spans="2:11" ht="15">
      <c r="B316" s="14"/>
      <c r="C316" s="23"/>
      <c r="D316" s="23"/>
      <c r="E316" s="23"/>
      <c r="F316" s="23"/>
      <c r="G316" s="23"/>
      <c r="H316" s="23"/>
      <c r="I316" s="23"/>
      <c r="J316" s="23"/>
      <c r="K316" s="23"/>
    </row>
    <row r="317" spans="2:11" ht="15">
      <c r="B317" s="38"/>
      <c r="C317" s="23"/>
      <c r="D317" s="23"/>
      <c r="E317" s="23"/>
      <c r="F317" s="23"/>
      <c r="G317" s="23"/>
      <c r="H317" s="23"/>
      <c r="I317" s="23"/>
      <c r="J317" s="23"/>
      <c r="K317" s="23"/>
    </row>
    <row r="318" spans="2:11" ht="15">
      <c r="B318" s="16"/>
      <c r="C318" s="23"/>
      <c r="D318" s="23"/>
      <c r="E318" s="23"/>
      <c r="F318" s="23"/>
      <c r="G318" s="23"/>
      <c r="H318" s="23"/>
      <c r="I318" s="23"/>
      <c r="J318" s="23"/>
      <c r="K318" s="23"/>
    </row>
    <row r="319" spans="2:11" ht="15">
      <c r="B319" s="16"/>
      <c r="C319" s="23"/>
      <c r="D319" s="23"/>
      <c r="E319" s="23"/>
      <c r="F319" s="23"/>
      <c r="G319" s="23"/>
      <c r="H319" s="23"/>
      <c r="I319" s="23"/>
      <c r="J319" s="23"/>
      <c r="K319" s="23"/>
    </row>
    <row r="320" spans="2:11" ht="15">
      <c r="B320" s="16"/>
      <c r="C320" s="23"/>
      <c r="D320" s="23"/>
      <c r="E320" s="23"/>
      <c r="F320" s="23"/>
      <c r="G320" s="23"/>
      <c r="H320" s="23"/>
      <c r="I320" s="23"/>
      <c r="J320" s="23"/>
      <c r="K320" s="23"/>
    </row>
    <row r="321" spans="2:11" ht="15">
      <c r="B321" s="17"/>
      <c r="C321" s="23"/>
      <c r="D321" s="23"/>
      <c r="E321" s="23"/>
      <c r="F321" s="23"/>
      <c r="G321" s="23"/>
      <c r="H321" s="23"/>
      <c r="I321" s="23"/>
      <c r="J321" s="23"/>
      <c r="K321" s="23"/>
    </row>
    <row r="322" spans="2:11" ht="15">
      <c r="B322" s="17"/>
      <c r="C322" s="23"/>
      <c r="D322" s="23"/>
      <c r="E322" s="23"/>
      <c r="F322" s="23"/>
      <c r="G322" s="23"/>
      <c r="H322" s="23"/>
      <c r="I322" s="23"/>
      <c r="J322" s="23"/>
      <c r="K322" s="23"/>
    </row>
    <row r="323" spans="2:11" ht="15">
      <c r="B323" s="18"/>
      <c r="C323" s="23"/>
      <c r="D323" s="23"/>
      <c r="E323" s="23"/>
      <c r="F323" s="23"/>
      <c r="G323" s="23"/>
      <c r="H323" s="23"/>
      <c r="I323" s="23"/>
      <c r="J323" s="23"/>
      <c r="K323" s="23"/>
    </row>
    <row r="324" spans="2:11" ht="15">
      <c r="B324" s="18"/>
      <c r="C324" s="23"/>
      <c r="D324" s="23"/>
      <c r="E324" s="23"/>
      <c r="F324" s="23"/>
      <c r="G324" s="23"/>
      <c r="H324" s="23"/>
      <c r="I324" s="23"/>
      <c r="J324" s="23"/>
      <c r="K324" s="23"/>
    </row>
    <row r="325" spans="2:11" ht="15">
      <c r="B325" s="38"/>
      <c r="C325" s="23"/>
      <c r="D325" s="23"/>
      <c r="E325" s="23"/>
      <c r="F325" s="23"/>
      <c r="G325" s="23"/>
      <c r="H325" s="23"/>
      <c r="I325" s="23"/>
      <c r="J325" s="23"/>
      <c r="K325" s="23"/>
    </row>
    <row r="326" spans="2:11" ht="15">
      <c r="B326" s="19"/>
      <c r="C326" s="23"/>
      <c r="D326" s="23"/>
      <c r="E326" s="23"/>
      <c r="F326" s="23"/>
      <c r="G326" s="23"/>
      <c r="H326" s="23"/>
      <c r="I326" s="23"/>
      <c r="J326" s="23"/>
      <c r="K326" s="23"/>
    </row>
    <row r="327" spans="2:11" ht="15">
      <c r="B327" s="19"/>
      <c r="C327" s="23"/>
      <c r="D327" s="23"/>
      <c r="E327" s="23"/>
      <c r="F327" s="23"/>
      <c r="G327" s="23"/>
      <c r="H327" s="23"/>
      <c r="I327" s="23"/>
      <c r="J327" s="23"/>
      <c r="K327" s="23"/>
    </row>
    <row r="328" spans="2:11" ht="15">
      <c r="B328" s="14"/>
      <c r="C328" s="23"/>
      <c r="D328" s="23"/>
      <c r="E328" s="23"/>
      <c r="F328" s="23"/>
      <c r="G328" s="23"/>
      <c r="H328" s="23"/>
      <c r="I328" s="23"/>
      <c r="J328" s="23"/>
      <c r="K328" s="23"/>
    </row>
    <row r="329" spans="2:11" ht="15">
      <c r="B329" s="14"/>
      <c r="C329" s="23"/>
      <c r="D329" s="23"/>
      <c r="E329" s="23"/>
      <c r="F329" s="23"/>
      <c r="G329" s="23"/>
      <c r="H329" s="23"/>
      <c r="I329" s="23"/>
      <c r="J329" s="23"/>
      <c r="K329" s="23"/>
    </row>
    <row r="330" spans="2:11" ht="15">
      <c r="B330" s="14"/>
      <c r="C330" s="23"/>
      <c r="D330" s="23"/>
      <c r="E330" s="23"/>
      <c r="F330" s="23"/>
      <c r="G330" s="23"/>
      <c r="H330" s="23"/>
      <c r="I330" s="23"/>
      <c r="J330" s="23"/>
      <c r="K330" s="23"/>
    </row>
    <row r="331" spans="2:11" ht="15">
      <c r="B331" s="14"/>
      <c r="C331" s="23"/>
      <c r="D331" s="23"/>
      <c r="E331" s="23"/>
      <c r="F331" s="23"/>
      <c r="G331" s="23"/>
      <c r="H331" s="23"/>
      <c r="I331" s="23"/>
      <c r="J331" s="23"/>
      <c r="K331" s="23"/>
    </row>
    <row r="332" spans="2:11" ht="15">
      <c r="B332" s="14"/>
      <c r="C332" s="23"/>
      <c r="D332" s="23"/>
      <c r="E332" s="23"/>
      <c r="F332" s="23"/>
      <c r="G332" s="23"/>
      <c r="H332" s="23"/>
      <c r="I332" s="23"/>
      <c r="J332" s="23"/>
      <c r="K332" s="23"/>
    </row>
    <row r="333" spans="2:11" ht="15">
      <c r="B333" s="14"/>
      <c r="C333" s="23"/>
      <c r="D333" s="23"/>
      <c r="E333" s="23"/>
      <c r="F333" s="23"/>
      <c r="G333" s="23"/>
      <c r="H333" s="23"/>
      <c r="I333" s="23"/>
      <c r="J333" s="23"/>
      <c r="K333" s="23"/>
    </row>
    <row r="334" spans="2:11" ht="15">
      <c r="B334" s="14"/>
      <c r="C334" s="23"/>
      <c r="D334" s="23"/>
      <c r="E334" s="23"/>
      <c r="F334" s="23"/>
      <c r="G334" s="23"/>
      <c r="H334" s="23"/>
      <c r="I334" s="23"/>
      <c r="J334" s="23"/>
      <c r="K334" s="23"/>
    </row>
    <row r="335" spans="2:11" ht="15">
      <c r="B335" s="14"/>
      <c r="C335" s="23"/>
      <c r="D335" s="23"/>
      <c r="E335" s="23"/>
      <c r="F335" s="23"/>
      <c r="G335" s="23"/>
      <c r="H335" s="23"/>
      <c r="I335" s="23"/>
      <c r="J335" s="23"/>
      <c r="K335" s="23"/>
    </row>
    <row r="336" spans="2:11" ht="15">
      <c r="B336" s="14"/>
      <c r="C336" s="23"/>
      <c r="D336" s="23"/>
      <c r="E336" s="23"/>
      <c r="F336" s="23"/>
      <c r="G336" s="23"/>
      <c r="H336" s="23"/>
      <c r="I336" s="23"/>
      <c r="J336" s="23"/>
      <c r="K336" s="23"/>
    </row>
    <row r="337" spans="2:11" ht="15">
      <c r="B337" s="14"/>
      <c r="C337" s="23"/>
      <c r="D337" s="23"/>
      <c r="E337" s="23"/>
      <c r="F337" s="23"/>
      <c r="G337" s="23"/>
      <c r="H337" s="23"/>
      <c r="I337" s="23"/>
      <c r="J337" s="23"/>
      <c r="K337" s="23"/>
    </row>
    <row r="340" spans="2:11" ht="18.75">
      <c r="B340" s="717"/>
      <c r="C340" s="717"/>
      <c r="D340" s="717"/>
      <c r="E340" s="717"/>
      <c r="F340" s="717"/>
      <c r="G340" s="717"/>
      <c r="H340" s="717"/>
      <c r="I340" s="717"/>
      <c r="J340" s="717"/>
      <c r="K340" s="31"/>
    </row>
    <row r="341" spans="2:11" ht="15">
      <c r="B341" s="32"/>
      <c r="C341" s="23"/>
      <c r="D341" s="23"/>
      <c r="E341" s="23"/>
      <c r="F341" s="23"/>
      <c r="G341" s="23"/>
      <c r="H341" s="23"/>
      <c r="I341" s="23"/>
      <c r="J341" s="23"/>
      <c r="K341" s="23"/>
    </row>
    <row r="342" spans="2:11">
      <c r="B342" s="719"/>
      <c r="C342" s="719"/>
      <c r="D342" s="719"/>
      <c r="E342" s="719"/>
      <c r="F342" s="719"/>
      <c r="G342" s="719"/>
      <c r="H342" s="719"/>
      <c r="I342" s="719"/>
      <c r="J342" s="719"/>
      <c r="K342" s="31"/>
    </row>
    <row r="343" spans="2:11" ht="20.25" customHeight="1">
      <c r="B343" s="719"/>
      <c r="C343" s="719"/>
      <c r="D343" s="719"/>
      <c r="E343" s="719"/>
      <c r="F343" s="719"/>
      <c r="G343" s="719"/>
      <c r="H343" s="719"/>
      <c r="I343" s="719"/>
      <c r="J343" s="719"/>
      <c r="K343" s="31"/>
    </row>
    <row r="344" spans="2:11" ht="15">
      <c r="B344" s="33"/>
      <c r="C344" s="34"/>
      <c r="D344" s="34"/>
      <c r="E344" s="34"/>
      <c r="F344" s="34"/>
      <c r="G344" s="34"/>
      <c r="H344" s="34"/>
      <c r="I344" s="34"/>
      <c r="J344" s="34"/>
      <c r="K344" s="34"/>
    </row>
    <row r="345" spans="2:11" ht="15">
      <c r="B345" s="35"/>
      <c r="C345" s="23"/>
      <c r="D345" s="26"/>
      <c r="E345" s="23"/>
      <c r="F345" s="26"/>
      <c r="G345" s="23"/>
      <c r="H345" s="23"/>
      <c r="I345" s="23"/>
      <c r="J345" s="23"/>
      <c r="K345" s="23"/>
    </row>
    <row r="346" spans="2:11" ht="15">
      <c r="B346" s="24"/>
      <c r="C346" s="26"/>
      <c r="D346" s="26"/>
      <c r="E346" s="26"/>
      <c r="F346" s="26"/>
      <c r="G346" s="26"/>
      <c r="H346" s="26"/>
      <c r="I346" s="26"/>
      <c r="J346" s="26"/>
      <c r="K346" s="26"/>
    </row>
    <row r="347" spans="2:11" ht="15">
      <c r="B347" s="14"/>
      <c r="C347" s="26"/>
      <c r="D347" s="26"/>
      <c r="E347" s="37"/>
      <c r="F347" s="37"/>
      <c r="G347" s="37"/>
      <c r="H347" s="37"/>
      <c r="I347" s="37"/>
      <c r="J347" s="37"/>
      <c r="K347" s="37"/>
    </row>
    <row r="348" spans="2:11" ht="15">
      <c r="B348" s="14"/>
      <c r="C348" s="26"/>
      <c r="D348" s="23"/>
      <c r="E348" s="23"/>
      <c r="F348" s="23"/>
      <c r="G348" s="23"/>
      <c r="H348" s="23"/>
      <c r="I348" s="23"/>
      <c r="J348" s="23"/>
      <c r="K348" s="23"/>
    </row>
    <row r="349" spans="2:11" ht="15">
      <c r="B349" s="38"/>
      <c r="C349" s="23"/>
      <c r="D349" s="23"/>
      <c r="E349" s="23"/>
      <c r="F349" s="23"/>
      <c r="G349" s="23"/>
      <c r="H349" s="23"/>
      <c r="I349" s="23"/>
      <c r="J349" s="23"/>
      <c r="K349" s="23"/>
    </row>
    <row r="350" spans="2:11" ht="15">
      <c r="B350" s="39"/>
      <c r="C350" s="23"/>
      <c r="D350" s="23"/>
      <c r="E350" s="23"/>
      <c r="F350" s="23"/>
      <c r="G350" s="23"/>
      <c r="H350" s="23"/>
      <c r="I350" s="23"/>
      <c r="J350" s="23"/>
      <c r="K350" s="23"/>
    </row>
    <row r="351" spans="2:11" ht="15">
      <c r="B351" s="39"/>
      <c r="C351" s="23"/>
      <c r="D351" s="23"/>
      <c r="E351" s="23"/>
      <c r="F351" s="23"/>
      <c r="G351" s="23"/>
      <c r="H351" s="23"/>
      <c r="I351" s="23"/>
      <c r="J351" s="23"/>
      <c r="K351" s="23"/>
    </row>
    <row r="352" spans="2:11" ht="15">
      <c r="B352" s="40"/>
      <c r="C352" s="23"/>
      <c r="D352" s="23"/>
      <c r="E352" s="23"/>
      <c r="F352" s="23"/>
      <c r="G352" s="23"/>
      <c r="H352" s="23"/>
      <c r="I352" s="23"/>
      <c r="J352" s="23"/>
      <c r="K352" s="23"/>
    </row>
    <row r="353" spans="2:11" ht="15">
      <c r="B353" s="40"/>
      <c r="C353" s="23"/>
      <c r="D353" s="23"/>
      <c r="E353" s="23"/>
      <c r="F353" s="23"/>
      <c r="G353" s="23"/>
      <c r="H353" s="23"/>
      <c r="I353" s="23"/>
      <c r="J353" s="23"/>
      <c r="K353" s="23"/>
    </row>
    <row r="354" spans="2:11" ht="15">
      <c r="B354" s="17"/>
      <c r="C354" s="23"/>
      <c r="D354" s="23"/>
      <c r="E354" s="23"/>
      <c r="F354" s="23"/>
      <c r="G354" s="23"/>
      <c r="H354" s="23"/>
      <c r="I354" s="23"/>
      <c r="J354" s="23"/>
      <c r="K354" s="23"/>
    </row>
    <row r="355" spans="2:11" ht="15">
      <c r="B355" s="14"/>
      <c r="C355" s="23"/>
      <c r="D355" s="23"/>
      <c r="E355" s="23"/>
      <c r="F355" s="23"/>
      <c r="G355" s="23"/>
      <c r="H355" s="23"/>
      <c r="I355" s="23"/>
      <c r="J355" s="23"/>
      <c r="K355" s="23"/>
    </row>
    <row r="356" spans="2:11" ht="15">
      <c r="B356" s="38"/>
      <c r="C356" s="23"/>
      <c r="D356" s="23"/>
      <c r="E356" s="23"/>
      <c r="F356" s="23"/>
      <c r="G356" s="23"/>
      <c r="H356" s="23"/>
      <c r="I356" s="23"/>
      <c r="J356" s="23"/>
      <c r="K356" s="23"/>
    </row>
    <row r="357" spans="2:11" ht="15">
      <c r="B357" s="16"/>
      <c r="C357" s="23"/>
      <c r="D357" s="23"/>
      <c r="E357" s="23"/>
      <c r="F357" s="23"/>
      <c r="G357" s="23"/>
      <c r="H357" s="23"/>
      <c r="I357" s="23"/>
      <c r="J357" s="23"/>
      <c r="K357" s="23"/>
    </row>
    <row r="358" spans="2:11" ht="15">
      <c r="B358" s="16"/>
      <c r="C358" s="23"/>
      <c r="D358" s="23"/>
      <c r="E358" s="23"/>
      <c r="F358" s="23"/>
      <c r="G358" s="23"/>
      <c r="H358" s="23"/>
      <c r="I358" s="23"/>
      <c r="J358" s="23"/>
      <c r="K358" s="23"/>
    </row>
    <row r="359" spans="2:11" ht="15">
      <c r="B359" s="17"/>
      <c r="C359" s="23"/>
      <c r="D359" s="23"/>
      <c r="E359" s="23"/>
      <c r="F359" s="23"/>
      <c r="G359" s="23"/>
      <c r="H359" s="23"/>
      <c r="I359" s="23"/>
      <c r="J359" s="23"/>
      <c r="K359" s="23"/>
    </row>
    <row r="360" spans="2:11" ht="15">
      <c r="B360" s="17"/>
      <c r="C360" s="23"/>
      <c r="D360" s="23"/>
      <c r="E360" s="23"/>
      <c r="F360" s="23"/>
      <c r="G360" s="23"/>
      <c r="H360" s="23"/>
      <c r="I360" s="23"/>
      <c r="J360" s="23"/>
      <c r="K360" s="23"/>
    </row>
    <row r="361" spans="2:11" ht="15">
      <c r="B361" s="18"/>
      <c r="C361" s="23"/>
      <c r="D361" s="23"/>
      <c r="E361" s="23"/>
      <c r="F361" s="23"/>
      <c r="G361" s="23"/>
      <c r="H361" s="23"/>
      <c r="I361" s="23"/>
      <c r="J361" s="23"/>
      <c r="K361" s="23"/>
    </row>
    <row r="362" spans="2:11" ht="15">
      <c r="B362" s="18"/>
      <c r="C362" s="23"/>
      <c r="D362" s="23"/>
      <c r="E362" s="23"/>
      <c r="F362" s="23"/>
      <c r="G362" s="23"/>
      <c r="H362" s="23"/>
      <c r="I362" s="23"/>
      <c r="J362" s="23"/>
      <c r="K362" s="23"/>
    </row>
    <row r="363" spans="2:11" ht="15">
      <c r="B363" s="38"/>
      <c r="C363" s="23"/>
      <c r="D363" s="23"/>
      <c r="E363" s="23"/>
      <c r="F363" s="23"/>
      <c r="G363" s="23"/>
      <c r="H363" s="23"/>
      <c r="I363" s="23"/>
      <c r="J363" s="23"/>
      <c r="K363" s="23"/>
    </row>
    <row r="364" spans="2:11" ht="15">
      <c r="B364" s="19"/>
      <c r="C364" s="23"/>
      <c r="D364" s="23"/>
      <c r="E364" s="23"/>
      <c r="F364" s="23"/>
      <c r="G364" s="23"/>
      <c r="H364" s="23"/>
      <c r="I364" s="23"/>
      <c r="J364" s="23"/>
      <c r="K364" s="23"/>
    </row>
    <row r="365" spans="2:11" ht="15">
      <c r="B365" s="19"/>
      <c r="C365" s="23"/>
      <c r="D365" s="23"/>
      <c r="E365" s="23"/>
      <c r="F365" s="23"/>
      <c r="G365" s="23"/>
      <c r="H365" s="23"/>
      <c r="I365" s="23"/>
      <c r="J365" s="23"/>
      <c r="K365" s="23"/>
    </row>
    <row r="366" spans="2:11" ht="15">
      <c r="B366" s="14"/>
      <c r="C366" s="23"/>
      <c r="D366" s="23"/>
      <c r="E366" s="23"/>
      <c r="F366" s="23"/>
      <c r="G366" s="23"/>
      <c r="H366" s="23"/>
      <c r="I366" s="23"/>
      <c r="J366" s="23"/>
      <c r="K366" s="23"/>
    </row>
    <row r="367" spans="2:11" ht="15">
      <c r="B367" s="14"/>
      <c r="C367" s="23"/>
      <c r="D367" s="23"/>
      <c r="E367" s="23"/>
      <c r="F367" s="23"/>
      <c r="G367" s="23"/>
      <c r="H367" s="23"/>
      <c r="I367" s="23"/>
      <c r="J367" s="23"/>
      <c r="K367" s="23"/>
    </row>
    <row r="368" spans="2:11" ht="15">
      <c r="B368" s="14"/>
      <c r="C368" s="23"/>
      <c r="D368" s="23"/>
      <c r="E368" s="23"/>
      <c r="F368" s="23"/>
      <c r="G368" s="23"/>
      <c r="H368" s="23"/>
      <c r="I368" s="23"/>
      <c r="J368" s="23"/>
      <c r="K368" s="23"/>
    </row>
    <row r="369" spans="2:11" ht="15">
      <c r="B369" s="14"/>
      <c r="C369" s="23"/>
      <c r="D369" s="23"/>
      <c r="E369" s="23"/>
      <c r="F369" s="23"/>
      <c r="G369" s="23"/>
      <c r="H369" s="23"/>
      <c r="I369" s="23"/>
      <c r="J369" s="23"/>
      <c r="K369" s="23"/>
    </row>
    <row r="370" spans="2:11" ht="15">
      <c r="B370" s="14"/>
      <c r="C370" s="23"/>
      <c r="D370" s="23"/>
      <c r="E370" s="23"/>
      <c r="F370" s="23"/>
      <c r="G370" s="23"/>
      <c r="H370" s="23"/>
      <c r="I370" s="23"/>
      <c r="J370" s="23"/>
      <c r="K370" s="23"/>
    </row>
    <row r="371" spans="2:11" ht="15">
      <c r="B371" s="14"/>
      <c r="C371" s="23"/>
      <c r="D371" s="23"/>
      <c r="E371" s="23"/>
      <c r="F371" s="23"/>
      <c r="G371" s="23"/>
      <c r="H371" s="23"/>
      <c r="I371" s="23"/>
      <c r="J371" s="23"/>
      <c r="K371" s="23"/>
    </row>
    <row r="372" spans="2:11" ht="15">
      <c r="B372" s="14"/>
      <c r="C372" s="23"/>
      <c r="D372" s="23"/>
      <c r="E372" s="23"/>
      <c r="F372" s="23"/>
      <c r="G372" s="23"/>
      <c r="H372" s="23"/>
      <c r="I372" s="23"/>
      <c r="J372" s="23"/>
      <c r="K372" s="23"/>
    </row>
    <row r="373" spans="2:11" ht="15">
      <c r="B373" s="14"/>
      <c r="C373" s="23"/>
      <c r="D373" s="23"/>
      <c r="E373" s="23"/>
      <c r="F373" s="23"/>
      <c r="G373" s="23"/>
      <c r="H373" s="23"/>
      <c r="I373" s="23"/>
      <c r="J373" s="23"/>
      <c r="K373" s="23"/>
    </row>
    <row r="374" spans="2:11" ht="15">
      <c r="B374" s="14"/>
      <c r="C374" s="23"/>
      <c r="D374" s="23"/>
      <c r="E374" s="23"/>
      <c r="F374" s="23"/>
      <c r="G374" s="23"/>
      <c r="H374" s="23"/>
      <c r="I374" s="23"/>
      <c r="J374" s="23"/>
      <c r="K374" s="23"/>
    </row>
    <row r="375" spans="2:11" ht="15">
      <c r="B375" s="14"/>
      <c r="C375" s="23"/>
      <c r="D375" s="23"/>
      <c r="E375" s="23"/>
      <c r="F375" s="23"/>
      <c r="G375" s="23"/>
      <c r="H375" s="23"/>
      <c r="I375" s="23"/>
      <c r="J375" s="23"/>
      <c r="K375" s="23"/>
    </row>
    <row r="378" spans="2:11" ht="18.75">
      <c r="B378" s="717"/>
      <c r="C378" s="717"/>
      <c r="D378" s="717"/>
      <c r="E378" s="717"/>
      <c r="F378" s="717"/>
      <c r="G378" s="717"/>
      <c r="H378" s="717"/>
      <c r="I378" s="717"/>
      <c r="J378" s="717"/>
      <c r="K378" s="31"/>
    </row>
    <row r="379" spans="2:11" ht="15">
      <c r="B379" s="32"/>
      <c r="C379" s="23"/>
      <c r="D379" s="23"/>
      <c r="E379" s="23"/>
      <c r="F379" s="23"/>
      <c r="G379" s="23"/>
      <c r="H379" s="23"/>
      <c r="I379" s="23"/>
      <c r="J379" s="23"/>
      <c r="K379" s="23"/>
    </row>
    <row r="380" spans="2:11">
      <c r="B380" s="719"/>
      <c r="C380" s="719"/>
      <c r="D380" s="719"/>
      <c r="E380" s="719"/>
      <c r="F380" s="719"/>
      <c r="G380" s="719"/>
      <c r="H380" s="719"/>
      <c r="I380" s="719"/>
      <c r="J380" s="719"/>
      <c r="K380" s="31"/>
    </row>
    <row r="381" spans="2:11" ht="18" customHeight="1">
      <c r="B381" s="719"/>
      <c r="C381" s="719"/>
      <c r="D381" s="719"/>
      <c r="E381" s="719"/>
      <c r="F381" s="719"/>
      <c r="G381" s="719"/>
      <c r="H381" s="719"/>
      <c r="I381" s="719"/>
      <c r="J381" s="719"/>
      <c r="K381" s="31"/>
    </row>
    <row r="382" spans="2:11" ht="15">
      <c r="B382" s="33"/>
      <c r="C382" s="34"/>
      <c r="D382" s="34"/>
      <c r="E382" s="34"/>
      <c r="F382" s="23"/>
      <c r="G382" s="23"/>
      <c r="H382" s="23"/>
      <c r="I382" s="23"/>
      <c r="J382" s="23"/>
      <c r="K382" s="23"/>
    </row>
    <row r="383" spans="2:11" ht="15">
      <c r="B383" s="35"/>
      <c r="C383" s="23"/>
      <c r="D383" s="36"/>
      <c r="E383" s="23"/>
      <c r="F383" s="26"/>
      <c r="G383" s="23"/>
      <c r="H383" s="23"/>
      <c r="I383" s="23"/>
      <c r="J383" s="23"/>
      <c r="K383" s="23"/>
    </row>
    <row r="384" spans="2:11" ht="15">
      <c r="B384" s="24"/>
      <c r="C384" s="26"/>
      <c r="D384" s="26"/>
      <c r="E384" s="26"/>
      <c r="F384" s="26"/>
      <c r="G384" s="26"/>
      <c r="H384" s="26"/>
      <c r="I384" s="26"/>
      <c r="J384" s="26"/>
      <c r="K384" s="26"/>
    </row>
    <row r="385" spans="2:11" ht="15">
      <c r="B385" s="14"/>
      <c r="C385" s="26"/>
      <c r="D385" s="26"/>
      <c r="E385" s="37"/>
      <c r="F385" s="37"/>
      <c r="G385" s="37"/>
      <c r="H385" s="37"/>
      <c r="I385" s="37"/>
      <c r="J385" s="37"/>
      <c r="K385" s="37"/>
    </row>
    <row r="386" spans="2:11" ht="15">
      <c r="B386" s="14"/>
      <c r="C386" s="26"/>
      <c r="D386" s="23"/>
      <c r="E386" s="23"/>
      <c r="F386" s="23"/>
      <c r="G386" s="23"/>
      <c r="H386" s="23"/>
      <c r="I386" s="23"/>
      <c r="J386" s="23"/>
      <c r="K386" s="23"/>
    </row>
    <row r="387" spans="2:11" ht="15">
      <c r="B387" s="38"/>
      <c r="C387" s="23"/>
      <c r="D387" s="23"/>
      <c r="E387" s="23"/>
      <c r="F387" s="23"/>
      <c r="G387" s="23"/>
      <c r="H387" s="23"/>
      <c r="I387" s="23"/>
      <c r="J387" s="23"/>
      <c r="K387" s="23"/>
    </row>
    <row r="388" spans="2:11" ht="15">
      <c r="B388" s="40"/>
      <c r="C388" s="23"/>
      <c r="D388" s="23"/>
      <c r="E388" s="23"/>
      <c r="F388" s="23"/>
      <c r="G388" s="23"/>
      <c r="H388" s="23"/>
      <c r="I388" s="23"/>
      <c r="J388" s="23"/>
      <c r="K388" s="23"/>
    </row>
    <row r="389" spans="2:11" ht="15">
      <c r="B389" s="40"/>
      <c r="C389" s="23"/>
      <c r="D389" s="23"/>
      <c r="E389" s="23"/>
      <c r="F389" s="23"/>
      <c r="G389" s="23"/>
      <c r="H389" s="23"/>
      <c r="I389" s="23"/>
      <c r="J389" s="23"/>
      <c r="K389" s="23"/>
    </row>
    <row r="390" spans="2:11" ht="15">
      <c r="B390" s="40"/>
      <c r="C390" s="23"/>
      <c r="D390" s="23"/>
      <c r="E390" s="23"/>
      <c r="F390" s="23"/>
      <c r="G390" s="23"/>
      <c r="H390" s="23"/>
      <c r="I390" s="23"/>
      <c r="J390" s="23"/>
      <c r="K390" s="23"/>
    </row>
    <row r="391" spans="2:11" ht="15">
      <c r="B391" s="40"/>
      <c r="C391" s="23"/>
      <c r="D391" s="23"/>
      <c r="E391" s="23"/>
      <c r="F391" s="23"/>
      <c r="G391" s="23"/>
      <c r="H391" s="23"/>
      <c r="I391" s="23"/>
      <c r="J391" s="23"/>
      <c r="K391" s="23"/>
    </row>
    <row r="392" spans="2:11" ht="15">
      <c r="B392" s="40"/>
      <c r="C392" s="23"/>
      <c r="D392" s="23"/>
      <c r="E392" s="23"/>
      <c r="F392" s="23"/>
      <c r="G392" s="23"/>
      <c r="H392" s="23"/>
      <c r="I392" s="23"/>
      <c r="J392" s="23"/>
      <c r="K392" s="23"/>
    </row>
    <row r="393" spans="2:11" ht="15">
      <c r="B393" s="40"/>
      <c r="C393" s="23"/>
      <c r="D393" s="23"/>
      <c r="E393" s="23"/>
      <c r="F393" s="23"/>
      <c r="G393" s="23"/>
      <c r="H393" s="23"/>
      <c r="I393" s="23"/>
      <c r="J393" s="23"/>
      <c r="K393" s="23"/>
    </row>
    <row r="394" spans="2:11" ht="15">
      <c r="B394" s="17"/>
      <c r="C394" s="23"/>
      <c r="D394" s="23"/>
      <c r="E394" s="23"/>
      <c r="F394" s="23"/>
      <c r="G394" s="23"/>
      <c r="H394" s="23"/>
      <c r="I394" s="23"/>
      <c r="J394" s="23"/>
      <c r="K394" s="23"/>
    </row>
    <row r="395" spans="2:11" ht="15">
      <c r="B395" s="14"/>
      <c r="C395" s="23"/>
      <c r="D395" s="23"/>
      <c r="E395" s="23"/>
      <c r="F395" s="23"/>
      <c r="G395" s="23"/>
      <c r="H395" s="23"/>
      <c r="I395" s="23"/>
      <c r="J395" s="23"/>
      <c r="K395" s="23"/>
    </row>
    <row r="396" spans="2:11" ht="15">
      <c r="B396" s="38"/>
      <c r="C396" s="23"/>
      <c r="D396" s="23"/>
      <c r="E396" s="23"/>
      <c r="F396" s="23"/>
      <c r="G396" s="23"/>
      <c r="H396" s="23"/>
      <c r="I396" s="23"/>
      <c r="J396" s="23"/>
      <c r="K396" s="23"/>
    </row>
    <row r="397" spans="2:11" ht="15">
      <c r="B397" s="16"/>
      <c r="C397" s="23"/>
      <c r="D397" s="23"/>
      <c r="E397" s="23"/>
      <c r="F397" s="23"/>
      <c r="G397" s="23"/>
      <c r="H397" s="23"/>
      <c r="I397" s="23"/>
      <c r="J397" s="23"/>
      <c r="K397" s="23"/>
    </row>
    <row r="398" spans="2:11" ht="15">
      <c r="B398" s="16"/>
      <c r="C398" s="23"/>
      <c r="D398" s="23"/>
      <c r="E398" s="23"/>
      <c r="F398" s="23"/>
      <c r="G398" s="23"/>
      <c r="H398" s="23"/>
      <c r="I398" s="23"/>
      <c r="J398" s="23"/>
      <c r="K398" s="23"/>
    </row>
    <row r="399" spans="2:11" ht="15">
      <c r="B399" s="16"/>
      <c r="C399" s="23"/>
      <c r="D399" s="23"/>
      <c r="E399" s="23"/>
      <c r="F399" s="23"/>
      <c r="G399" s="23"/>
      <c r="H399" s="23"/>
      <c r="I399" s="23"/>
      <c r="J399" s="23"/>
      <c r="K399" s="23"/>
    </row>
    <row r="400" spans="2:11" ht="15">
      <c r="B400" s="16"/>
      <c r="C400" s="23"/>
      <c r="D400" s="23"/>
      <c r="E400" s="23"/>
      <c r="F400" s="23"/>
      <c r="G400" s="23"/>
      <c r="H400" s="23"/>
      <c r="I400" s="23"/>
      <c r="J400" s="23"/>
      <c r="K400" s="23"/>
    </row>
    <row r="401" spans="2:11" ht="15">
      <c r="B401" s="16"/>
      <c r="C401" s="23"/>
      <c r="D401" s="23"/>
      <c r="E401" s="23"/>
      <c r="F401" s="23"/>
      <c r="G401" s="23"/>
      <c r="H401" s="23"/>
      <c r="I401" s="23"/>
      <c r="J401" s="23"/>
      <c r="K401" s="23"/>
    </row>
    <row r="402" spans="2:11" ht="15">
      <c r="B402" s="16"/>
      <c r="C402" s="23"/>
      <c r="D402" s="23"/>
      <c r="E402" s="23"/>
      <c r="F402" s="23"/>
      <c r="G402" s="23"/>
      <c r="H402" s="23"/>
      <c r="I402" s="23"/>
      <c r="J402" s="23"/>
      <c r="K402" s="23"/>
    </row>
    <row r="403" spans="2:11" ht="15">
      <c r="B403" s="16"/>
      <c r="C403" s="23"/>
      <c r="D403" s="23"/>
      <c r="E403" s="23"/>
      <c r="F403" s="23"/>
      <c r="G403" s="23"/>
      <c r="H403" s="23"/>
      <c r="I403" s="23"/>
      <c r="J403" s="23"/>
      <c r="K403" s="23"/>
    </row>
    <row r="404" spans="2:11" ht="15">
      <c r="B404" s="16"/>
      <c r="C404" s="23"/>
      <c r="D404" s="23"/>
      <c r="E404" s="23"/>
      <c r="F404" s="23"/>
      <c r="G404" s="23"/>
      <c r="H404" s="23"/>
      <c r="I404" s="23"/>
      <c r="J404" s="23"/>
      <c r="K404" s="23"/>
    </row>
    <row r="405" spans="2:11" ht="15">
      <c r="B405" s="16"/>
      <c r="C405" s="23"/>
      <c r="D405" s="23"/>
      <c r="E405" s="23"/>
      <c r="F405" s="23"/>
      <c r="G405" s="23"/>
      <c r="H405" s="23"/>
      <c r="I405" s="23"/>
      <c r="J405" s="23"/>
      <c r="K405" s="23"/>
    </row>
    <row r="406" spans="2:11" ht="15">
      <c r="B406" s="17"/>
      <c r="C406" s="23"/>
      <c r="D406" s="23"/>
      <c r="E406" s="23"/>
      <c r="F406" s="23"/>
      <c r="G406" s="23"/>
      <c r="H406" s="23"/>
      <c r="I406" s="23"/>
      <c r="J406" s="23"/>
      <c r="K406" s="23"/>
    </row>
    <row r="407" spans="2:11" ht="15">
      <c r="B407" s="17"/>
      <c r="C407" s="23"/>
      <c r="D407" s="23"/>
      <c r="E407" s="23"/>
      <c r="F407" s="23"/>
      <c r="G407" s="23"/>
      <c r="H407" s="23"/>
      <c r="I407" s="23"/>
      <c r="J407" s="23"/>
      <c r="K407" s="23"/>
    </row>
    <row r="408" spans="2:11" ht="15">
      <c r="B408" s="18"/>
      <c r="C408" s="23"/>
      <c r="D408" s="23"/>
      <c r="E408" s="23"/>
      <c r="F408" s="23"/>
      <c r="G408" s="23"/>
      <c r="H408" s="23"/>
      <c r="I408" s="23"/>
      <c r="J408" s="23"/>
      <c r="K408" s="23"/>
    </row>
    <row r="409" spans="2:11" ht="15">
      <c r="B409" s="18"/>
      <c r="C409" s="23"/>
      <c r="D409" s="23"/>
      <c r="E409" s="23"/>
      <c r="F409" s="23"/>
      <c r="G409" s="23"/>
      <c r="H409" s="23"/>
      <c r="I409" s="23"/>
      <c r="J409" s="23"/>
      <c r="K409" s="23"/>
    </row>
    <row r="410" spans="2:11" ht="15">
      <c r="B410" s="38"/>
      <c r="C410" s="3"/>
      <c r="D410" s="3"/>
      <c r="E410" s="3"/>
      <c r="F410" s="3"/>
      <c r="G410" s="3"/>
      <c r="H410" s="3"/>
      <c r="I410" s="3"/>
      <c r="J410" s="3"/>
      <c r="K410" s="3"/>
    </row>
    <row r="411" spans="2:11" ht="15">
      <c r="B411" s="19"/>
      <c r="C411" s="23"/>
      <c r="D411" s="23"/>
      <c r="E411" s="23"/>
      <c r="F411" s="23"/>
      <c r="G411" s="23"/>
      <c r="H411" s="23"/>
      <c r="I411" s="23"/>
      <c r="J411" s="23"/>
      <c r="K411" s="23"/>
    </row>
    <row r="412" spans="2:11" ht="15">
      <c r="B412" s="19"/>
      <c r="C412" s="23"/>
      <c r="D412" s="23"/>
      <c r="E412" s="23"/>
      <c r="F412" s="23"/>
      <c r="G412" s="23"/>
      <c r="H412" s="23"/>
      <c r="I412" s="23"/>
      <c r="J412" s="23"/>
      <c r="K412" s="23"/>
    </row>
    <row r="413" spans="2:11" ht="15">
      <c r="B413" s="14"/>
      <c r="C413" s="23"/>
      <c r="D413" s="23"/>
      <c r="E413" s="23"/>
      <c r="F413" s="23"/>
      <c r="G413" s="23"/>
      <c r="H413" s="23"/>
      <c r="I413" s="23"/>
      <c r="J413" s="23"/>
      <c r="K413" s="23"/>
    </row>
    <row r="414" spans="2:11" ht="15">
      <c r="B414" s="14"/>
      <c r="C414" s="23"/>
      <c r="D414" s="23"/>
      <c r="E414" s="23"/>
      <c r="F414" s="23"/>
      <c r="G414" s="23"/>
      <c r="H414" s="23"/>
      <c r="I414" s="23"/>
      <c r="J414" s="23"/>
      <c r="K414" s="23"/>
    </row>
    <row r="415" spans="2:11" ht="15">
      <c r="B415" s="14"/>
      <c r="C415" s="23"/>
      <c r="D415" s="23"/>
      <c r="E415" s="23"/>
      <c r="F415" s="23"/>
      <c r="G415" s="23"/>
      <c r="H415" s="23"/>
      <c r="I415" s="23"/>
      <c r="J415" s="23"/>
      <c r="K415" s="23"/>
    </row>
    <row r="416" spans="2:11" ht="15">
      <c r="B416" s="14"/>
      <c r="C416" s="23"/>
      <c r="D416" s="23"/>
      <c r="E416" s="23"/>
      <c r="F416" s="23"/>
      <c r="G416" s="23"/>
      <c r="H416" s="23"/>
      <c r="I416" s="23"/>
      <c r="J416" s="23"/>
      <c r="K416" s="23"/>
    </row>
    <row r="417" spans="2:11" ht="15">
      <c r="B417" s="14"/>
      <c r="C417" s="23"/>
      <c r="D417" s="23"/>
      <c r="E417" s="23"/>
      <c r="F417" s="23"/>
      <c r="G417" s="23"/>
      <c r="H417" s="23"/>
      <c r="I417" s="23"/>
      <c r="J417" s="23"/>
      <c r="K417" s="23"/>
    </row>
    <row r="418" spans="2:11" ht="15">
      <c r="B418" s="14"/>
      <c r="C418" s="23"/>
      <c r="D418" s="23"/>
      <c r="E418" s="23"/>
      <c r="F418" s="23"/>
      <c r="G418" s="23"/>
      <c r="H418" s="23"/>
      <c r="I418" s="23"/>
      <c r="J418" s="23"/>
      <c r="K418" s="23"/>
    </row>
    <row r="419" spans="2:11" ht="15">
      <c r="B419" s="14"/>
      <c r="C419" s="23"/>
      <c r="D419" s="23"/>
      <c r="E419" s="23"/>
      <c r="F419" s="23"/>
      <c r="G419" s="23"/>
      <c r="H419" s="23"/>
      <c r="I419" s="23"/>
      <c r="J419" s="23"/>
      <c r="K419" s="23"/>
    </row>
    <row r="420" spans="2:11" ht="15">
      <c r="B420" s="14"/>
      <c r="C420" s="23"/>
      <c r="D420" s="23"/>
      <c r="E420" s="23"/>
      <c r="F420" s="23"/>
      <c r="G420" s="23"/>
      <c r="H420" s="23"/>
      <c r="I420" s="23"/>
      <c r="J420" s="23"/>
      <c r="K420" s="23"/>
    </row>
    <row r="421" spans="2:11" ht="15">
      <c r="B421" s="14"/>
      <c r="C421" s="23"/>
      <c r="D421" s="23"/>
      <c r="E421" s="23"/>
      <c r="F421" s="23"/>
      <c r="G421" s="23"/>
      <c r="H421" s="23"/>
      <c r="I421" s="23"/>
      <c r="J421" s="23"/>
      <c r="K421" s="23"/>
    </row>
    <row r="422" spans="2:11" ht="15">
      <c r="B422" s="14"/>
      <c r="C422" s="23"/>
      <c r="D422" s="23"/>
      <c r="E422" s="23"/>
      <c r="F422" s="23"/>
      <c r="G422" s="23"/>
      <c r="H422" s="23"/>
      <c r="I422" s="23"/>
      <c r="J422" s="23"/>
      <c r="K422" s="23"/>
    </row>
    <row r="423" spans="2:11" ht="15">
      <c r="B423" s="14"/>
      <c r="C423" s="23"/>
      <c r="D423" s="23"/>
      <c r="E423" s="23"/>
      <c r="F423" s="23"/>
      <c r="G423" s="23"/>
      <c r="H423" s="23"/>
      <c r="I423" s="23"/>
      <c r="J423" s="23"/>
      <c r="K423" s="23"/>
    </row>
    <row r="426" spans="2:11" ht="18.75">
      <c r="B426" s="717"/>
      <c r="C426" s="717"/>
      <c r="D426" s="717"/>
      <c r="E426" s="717"/>
      <c r="F426" s="717"/>
      <c r="G426" s="717"/>
      <c r="H426" s="717"/>
      <c r="I426" s="717"/>
      <c r="J426" s="717"/>
      <c r="K426" s="31"/>
    </row>
    <row r="427" spans="2:11" ht="15">
      <c r="B427" s="32"/>
      <c r="C427" s="23"/>
      <c r="D427" s="23"/>
      <c r="E427" s="23"/>
      <c r="F427" s="23"/>
      <c r="G427" s="23"/>
      <c r="H427" s="23"/>
      <c r="I427" s="23"/>
      <c r="J427" s="23"/>
      <c r="K427" s="23"/>
    </row>
    <row r="428" spans="2:11">
      <c r="B428" s="719"/>
      <c r="C428" s="719"/>
      <c r="D428" s="719"/>
      <c r="E428" s="719"/>
      <c r="F428" s="719"/>
      <c r="G428" s="719"/>
      <c r="H428" s="719"/>
      <c r="I428" s="719"/>
      <c r="J428" s="719"/>
      <c r="K428" s="31"/>
    </row>
    <row r="429" spans="2:11" ht="18" customHeight="1">
      <c r="B429" s="719"/>
      <c r="C429" s="719"/>
      <c r="D429" s="719"/>
      <c r="E429" s="719"/>
      <c r="F429" s="719"/>
      <c r="G429" s="719"/>
      <c r="H429" s="719"/>
      <c r="I429" s="719"/>
      <c r="J429" s="719"/>
      <c r="K429" s="31"/>
    </row>
    <row r="430" spans="2:11" ht="15">
      <c r="B430" s="33"/>
      <c r="C430" s="34"/>
      <c r="D430" s="34"/>
      <c r="E430" s="34"/>
      <c r="F430" s="23"/>
      <c r="G430" s="23"/>
      <c r="H430" s="23"/>
      <c r="I430" s="23"/>
      <c r="J430" s="23"/>
      <c r="K430" s="23"/>
    </row>
    <row r="431" spans="2:11" ht="15">
      <c r="B431" s="35"/>
      <c r="C431" s="23"/>
      <c r="D431" s="26"/>
      <c r="E431" s="26"/>
      <c r="F431" s="26"/>
      <c r="G431" s="23"/>
      <c r="H431" s="23"/>
      <c r="I431" s="23"/>
      <c r="J431" s="23"/>
      <c r="K431" s="23"/>
    </row>
    <row r="432" spans="2:11" ht="15">
      <c r="B432" s="24"/>
      <c r="C432" s="26"/>
      <c r="D432" s="26"/>
      <c r="E432" s="26"/>
      <c r="F432" s="26"/>
      <c r="G432" s="26"/>
      <c r="H432" s="26"/>
      <c r="I432" s="26"/>
      <c r="J432" s="26"/>
      <c r="K432" s="26"/>
    </row>
    <row r="433" spans="2:11" ht="15">
      <c r="B433" s="14"/>
      <c r="C433" s="26"/>
      <c r="D433" s="26"/>
      <c r="E433" s="37"/>
      <c r="F433" s="37"/>
      <c r="G433" s="37"/>
      <c r="H433" s="37"/>
      <c r="I433" s="37"/>
      <c r="J433" s="37"/>
      <c r="K433" s="37"/>
    </row>
    <row r="434" spans="2:11" ht="15">
      <c r="B434" s="14"/>
      <c r="C434" s="26"/>
      <c r="D434" s="23"/>
      <c r="E434" s="23"/>
      <c r="F434" s="23"/>
      <c r="G434" s="23"/>
      <c r="H434" s="23"/>
      <c r="I434" s="23"/>
      <c r="J434" s="23"/>
      <c r="K434" s="23"/>
    </row>
    <row r="435" spans="2:11" ht="15">
      <c r="B435" s="38"/>
      <c r="C435" s="23"/>
      <c r="D435" s="23"/>
      <c r="E435" s="23"/>
      <c r="F435" s="23"/>
      <c r="G435" s="23"/>
      <c r="H435" s="23"/>
      <c r="I435" s="23"/>
      <c r="J435" s="23"/>
      <c r="K435" s="23"/>
    </row>
    <row r="436" spans="2:11" ht="15">
      <c r="B436" s="40"/>
      <c r="C436" s="23"/>
      <c r="D436" s="23"/>
      <c r="E436" s="23"/>
      <c r="F436" s="23"/>
      <c r="G436" s="23"/>
      <c r="H436" s="23"/>
      <c r="I436" s="23"/>
      <c r="J436" s="23"/>
      <c r="K436" s="23"/>
    </row>
    <row r="437" spans="2:11" ht="15">
      <c r="B437" s="40"/>
      <c r="C437" s="23"/>
      <c r="D437" s="23"/>
      <c r="E437" s="23"/>
      <c r="F437" s="23"/>
      <c r="G437" s="23"/>
      <c r="H437" s="23"/>
      <c r="I437" s="23"/>
      <c r="J437" s="23"/>
      <c r="K437" s="23"/>
    </row>
    <row r="438" spans="2:11" ht="15">
      <c r="B438" s="40"/>
      <c r="C438" s="23"/>
      <c r="D438" s="23"/>
      <c r="E438" s="23"/>
      <c r="F438" s="23"/>
      <c r="G438" s="23"/>
      <c r="H438" s="23"/>
      <c r="I438" s="23"/>
      <c r="J438" s="23"/>
      <c r="K438" s="23"/>
    </row>
    <row r="439" spans="2:11" ht="15">
      <c r="B439" s="40"/>
      <c r="C439" s="23"/>
      <c r="D439" s="23"/>
      <c r="E439" s="23"/>
      <c r="F439" s="23"/>
      <c r="G439" s="23"/>
      <c r="H439" s="23"/>
      <c r="I439" s="23"/>
      <c r="J439" s="23"/>
      <c r="K439" s="23"/>
    </row>
    <row r="440" spans="2:11" ht="15">
      <c r="B440" s="40"/>
      <c r="C440" s="23"/>
      <c r="D440" s="23"/>
      <c r="E440" s="23"/>
      <c r="F440" s="23"/>
      <c r="G440" s="23"/>
      <c r="H440" s="23"/>
      <c r="I440" s="23"/>
      <c r="J440" s="23"/>
      <c r="K440" s="23"/>
    </row>
    <row r="441" spans="2:11" ht="15">
      <c r="B441" s="17"/>
      <c r="C441" s="23"/>
      <c r="D441" s="23"/>
      <c r="E441" s="23"/>
      <c r="F441" s="23"/>
      <c r="G441" s="23"/>
      <c r="H441" s="23"/>
      <c r="I441" s="23"/>
      <c r="J441" s="23"/>
      <c r="K441" s="23"/>
    </row>
    <row r="442" spans="2:11" ht="15">
      <c r="B442" s="14"/>
      <c r="C442" s="23"/>
      <c r="D442" s="23"/>
      <c r="E442" s="23"/>
      <c r="F442" s="23"/>
      <c r="G442" s="23"/>
      <c r="H442" s="23"/>
      <c r="I442" s="23"/>
      <c r="J442" s="23"/>
      <c r="K442" s="23"/>
    </row>
    <row r="443" spans="2:11" ht="15">
      <c r="B443" s="38"/>
      <c r="C443" s="23"/>
      <c r="D443" s="23"/>
      <c r="E443" s="23"/>
      <c r="F443" s="23"/>
      <c r="G443" s="23"/>
      <c r="H443" s="23"/>
      <c r="I443" s="23"/>
      <c r="J443" s="23"/>
      <c r="K443" s="23"/>
    </row>
    <row r="444" spans="2:11" ht="15">
      <c r="B444" s="16"/>
      <c r="C444" s="23"/>
      <c r="D444" s="23"/>
      <c r="E444" s="23"/>
      <c r="F444" s="23"/>
      <c r="G444" s="23"/>
      <c r="H444" s="23"/>
      <c r="I444" s="23"/>
      <c r="J444" s="23"/>
      <c r="K444" s="23"/>
    </row>
    <row r="445" spans="2:11" ht="15">
      <c r="B445" s="16"/>
      <c r="C445" s="23"/>
      <c r="D445" s="23"/>
      <c r="E445" s="23"/>
      <c r="F445" s="23"/>
      <c r="G445" s="23"/>
      <c r="H445" s="23"/>
      <c r="I445" s="23"/>
      <c r="J445" s="23"/>
      <c r="K445" s="23"/>
    </row>
    <row r="446" spans="2:11" ht="15">
      <c r="B446" s="16"/>
      <c r="C446" s="23"/>
      <c r="D446" s="23"/>
      <c r="E446" s="23"/>
      <c r="F446" s="23"/>
      <c r="G446" s="23"/>
      <c r="H446" s="23"/>
      <c r="I446" s="23"/>
      <c r="J446" s="23"/>
      <c r="K446" s="23"/>
    </row>
    <row r="447" spans="2:11" ht="15">
      <c r="B447" s="16"/>
      <c r="C447" s="23"/>
      <c r="D447" s="23"/>
      <c r="E447" s="23"/>
      <c r="F447" s="23"/>
      <c r="G447" s="23"/>
      <c r="H447" s="23"/>
      <c r="I447" s="23"/>
      <c r="J447" s="23"/>
      <c r="K447" s="23"/>
    </row>
    <row r="448" spans="2:11" ht="15">
      <c r="B448" s="16"/>
      <c r="C448" s="23"/>
      <c r="D448" s="23"/>
      <c r="E448" s="23"/>
      <c r="F448" s="23"/>
      <c r="G448" s="23"/>
      <c r="H448" s="23"/>
      <c r="I448" s="23"/>
      <c r="J448" s="23"/>
      <c r="K448" s="23"/>
    </row>
    <row r="449" spans="2:11" ht="15">
      <c r="B449" s="16"/>
      <c r="C449" s="23"/>
      <c r="D449" s="23"/>
      <c r="E449" s="23"/>
      <c r="F449" s="23"/>
      <c r="G449" s="23"/>
      <c r="H449" s="23"/>
      <c r="I449" s="23"/>
      <c r="J449" s="23"/>
      <c r="K449" s="23"/>
    </row>
    <row r="450" spans="2:11" ht="15">
      <c r="B450" s="16"/>
      <c r="C450" s="23"/>
      <c r="D450" s="23"/>
      <c r="E450" s="23"/>
      <c r="F450" s="23"/>
      <c r="G450" s="23"/>
      <c r="H450" s="23"/>
      <c r="I450" s="23"/>
      <c r="J450" s="23"/>
      <c r="K450" s="23"/>
    </row>
    <row r="451" spans="2:11" ht="15">
      <c r="B451" s="16"/>
      <c r="C451" s="23"/>
      <c r="D451" s="23"/>
      <c r="E451" s="23"/>
      <c r="F451" s="23"/>
      <c r="G451" s="23"/>
      <c r="H451" s="23"/>
      <c r="I451" s="23"/>
      <c r="J451" s="23"/>
      <c r="K451" s="23"/>
    </row>
    <row r="452" spans="2:11" ht="15">
      <c r="B452" s="16"/>
      <c r="C452" s="23"/>
      <c r="D452" s="23"/>
      <c r="E452" s="23"/>
      <c r="F452" s="23"/>
      <c r="G452" s="23"/>
      <c r="H452" s="23"/>
      <c r="I452" s="23"/>
      <c r="J452" s="23"/>
      <c r="K452" s="23"/>
    </row>
    <row r="453" spans="2:11" ht="15">
      <c r="B453" s="17"/>
      <c r="C453" s="23"/>
      <c r="D453" s="23"/>
      <c r="E453" s="23"/>
      <c r="F453" s="23"/>
      <c r="G453" s="23"/>
      <c r="H453" s="23"/>
      <c r="I453" s="23"/>
      <c r="J453" s="23"/>
      <c r="K453" s="23"/>
    </row>
    <row r="454" spans="2:11" ht="15">
      <c r="B454" s="17"/>
      <c r="C454" s="23"/>
      <c r="D454" s="23"/>
      <c r="E454" s="23"/>
      <c r="F454" s="23"/>
      <c r="G454" s="23"/>
      <c r="H454" s="23"/>
      <c r="I454" s="23"/>
      <c r="J454" s="23"/>
      <c r="K454" s="23"/>
    </row>
    <row r="455" spans="2:11" ht="15">
      <c r="B455" s="18"/>
      <c r="C455" s="23"/>
      <c r="D455" s="23"/>
      <c r="E455" s="23"/>
      <c r="F455" s="23"/>
      <c r="G455" s="23"/>
      <c r="H455" s="23"/>
      <c r="I455" s="23"/>
      <c r="J455" s="23"/>
      <c r="K455" s="23"/>
    </row>
    <row r="456" spans="2:11" ht="15">
      <c r="B456" s="18"/>
      <c r="C456" s="23"/>
      <c r="D456" s="23"/>
      <c r="E456" s="23"/>
      <c r="F456" s="23"/>
      <c r="G456" s="23"/>
      <c r="H456" s="23"/>
      <c r="I456" s="23"/>
      <c r="J456" s="23"/>
      <c r="K456" s="23"/>
    </row>
    <row r="457" spans="2:11" ht="15">
      <c r="B457" s="38"/>
      <c r="C457" s="23"/>
      <c r="D457" s="23"/>
      <c r="E457" s="23"/>
      <c r="F457" s="23"/>
      <c r="G457" s="23"/>
      <c r="H457" s="23"/>
      <c r="I457" s="23"/>
      <c r="J457" s="23"/>
      <c r="K457" s="23"/>
    </row>
    <row r="458" spans="2:11" ht="15">
      <c r="B458" s="19"/>
      <c r="C458" s="23"/>
      <c r="D458" s="23"/>
      <c r="E458" s="23"/>
      <c r="F458" s="23"/>
      <c r="G458" s="23"/>
      <c r="H458" s="23"/>
      <c r="I458" s="23"/>
      <c r="J458" s="23"/>
      <c r="K458" s="23"/>
    </row>
    <row r="459" spans="2:11" ht="15">
      <c r="B459" s="19"/>
      <c r="C459" s="23"/>
      <c r="D459" s="23"/>
      <c r="E459" s="23"/>
      <c r="F459" s="23"/>
      <c r="G459" s="23"/>
      <c r="H459" s="23"/>
      <c r="I459" s="23"/>
      <c r="J459" s="23"/>
      <c r="K459" s="23"/>
    </row>
    <row r="460" spans="2:11" ht="15">
      <c r="B460" s="14"/>
      <c r="C460" s="23"/>
      <c r="D460" s="23"/>
      <c r="E460" s="23"/>
      <c r="F460" s="23"/>
      <c r="G460" s="23"/>
      <c r="H460" s="23"/>
      <c r="I460" s="23"/>
      <c r="J460" s="23"/>
      <c r="K460" s="23"/>
    </row>
    <row r="461" spans="2:11" ht="15">
      <c r="B461" s="14"/>
      <c r="C461" s="23"/>
      <c r="D461" s="23"/>
      <c r="E461" s="23"/>
      <c r="F461" s="23"/>
      <c r="G461" s="23"/>
      <c r="H461" s="23"/>
      <c r="I461" s="23"/>
      <c r="J461" s="23"/>
      <c r="K461" s="23"/>
    </row>
    <row r="462" spans="2:11" ht="15">
      <c r="B462" s="14"/>
      <c r="C462" s="23"/>
      <c r="D462" s="23"/>
      <c r="E462" s="23"/>
      <c r="F462" s="23"/>
      <c r="G462" s="23"/>
      <c r="H462" s="23"/>
      <c r="I462" s="23"/>
      <c r="J462" s="23"/>
      <c r="K462" s="23"/>
    </row>
    <row r="463" spans="2:11" ht="15">
      <c r="B463" s="14"/>
      <c r="C463" s="23"/>
      <c r="D463" s="23"/>
      <c r="E463" s="23"/>
      <c r="F463" s="23"/>
      <c r="G463" s="23"/>
      <c r="H463" s="23"/>
      <c r="I463" s="23"/>
      <c r="J463" s="23"/>
      <c r="K463" s="23"/>
    </row>
    <row r="464" spans="2:11" ht="15">
      <c r="B464" s="14"/>
      <c r="C464" s="23"/>
      <c r="D464" s="23"/>
      <c r="E464" s="23"/>
      <c r="F464" s="23"/>
      <c r="G464" s="23"/>
      <c r="H464" s="23"/>
      <c r="I464" s="23"/>
      <c r="J464" s="23"/>
      <c r="K464" s="23"/>
    </row>
    <row r="465" spans="2:11" ht="15">
      <c r="B465" s="14"/>
      <c r="C465" s="23"/>
      <c r="D465" s="23"/>
      <c r="E465" s="23"/>
      <c r="F465" s="23"/>
      <c r="G465" s="23"/>
      <c r="H465" s="23"/>
      <c r="I465" s="23"/>
      <c r="J465" s="23"/>
      <c r="K465" s="23"/>
    </row>
    <row r="466" spans="2:11" ht="15">
      <c r="B466" s="14"/>
      <c r="C466" s="23"/>
      <c r="D466" s="23"/>
      <c r="E466" s="23"/>
      <c r="F466" s="23"/>
      <c r="G466" s="23"/>
      <c r="H466" s="23"/>
      <c r="I466" s="23"/>
      <c r="J466" s="23"/>
      <c r="K466" s="23"/>
    </row>
    <row r="467" spans="2:11" ht="15">
      <c r="B467" s="14"/>
      <c r="C467" s="23"/>
      <c r="D467" s="23"/>
      <c r="E467" s="23"/>
      <c r="F467" s="23"/>
      <c r="G467" s="23"/>
      <c r="H467" s="23"/>
      <c r="I467" s="23"/>
      <c r="J467" s="23"/>
      <c r="K467" s="23"/>
    </row>
    <row r="468" spans="2:11" ht="15">
      <c r="B468" s="14"/>
      <c r="C468" s="23"/>
      <c r="D468" s="23"/>
      <c r="E468" s="23"/>
      <c r="F468" s="23"/>
      <c r="G468" s="23"/>
      <c r="H468" s="23"/>
      <c r="I468" s="23"/>
      <c r="J468" s="23"/>
      <c r="K468" s="23"/>
    </row>
    <row r="469" spans="2:11" ht="15">
      <c r="B469" s="14"/>
      <c r="C469" s="23"/>
      <c r="D469" s="23"/>
      <c r="E469" s="23"/>
      <c r="F469" s="23"/>
      <c r="G469" s="23"/>
      <c r="H469" s="23"/>
      <c r="I469" s="23"/>
      <c r="J469" s="23"/>
      <c r="K469" s="23"/>
    </row>
    <row r="472" spans="2:11" ht="18.75">
      <c r="B472" s="717"/>
      <c r="C472" s="717"/>
      <c r="D472" s="717"/>
      <c r="E472" s="717"/>
      <c r="F472" s="717"/>
      <c r="G472" s="717"/>
      <c r="H472" s="717"/>
      <c r="I472" s="717"/>
      <c r="J472" s="717"/>
      <c r="K472" s="31"/>
    </row>
    <row r="473" spans="2:11" ht="15">
      <c r="B473" s="32"/>
      <c r="C473" s="23"/>
      <c r="D473" s="23"/>
      <c r="E473" s="23"/>
      <c r="F473" s="23"/>
      <c r="G473" s="23"/>
      <c r="H473" s="23"/>
      <c r="I473" s="23"/>
      <c r="J473" s="23"/>
      <c r="K473" s="23"/>
    </row>
    <row r="474" spans="2:11">
      <c r="B474" s="724"/>
      <c r="C474" s="724"/>
      <c r="D474" s="724"/>
      <c r="E474" s="724"/>
      <c r="F474" s="724"/>
      <c r="G474" s="724"/>
      <c r="H474" s="724"/>
      <c r="I474" s="724"/>
      <c r="J474" s="724"/>
      <c r="K474" s="31"/>
    </row>
    <row r="475" spans="2:11">
      <c r="B475" s="724"/>
      <c r="C475" s="724"/>
      <c r="D475" s="724"/>
      <c r="E475" s="724"/>
      <c r="F475" s="724"/>
      <c r="G475" s="724"/>
      <c r="H475" s="724"/>
      <c r="I475" s="724"/>
      <c r="J475" s="724"/>
      <c r="K475" s="31"/>
    </row>
    <row r="476" spans="2:11" ht="18.75" customHeight="1">
      <c r="B476" s="724"/>
      <c r="C476" s="724"/>
      <c r="D476" s="724"/>
      <c r="E476" s="724"/>
      <c r="F476" s="724"/>
      <c r="G476" s="724"/>
      <c r="H476" s="724"/>
      <c r="I476" s="724"/>
      <c r="J476" s="724"/>
      <c r="K476" s="31"/>
    </row>
    <row r="477" spans="2:11" ht="15">
      <c r="B477" s="35"/>
      <c r="C477" s="23"/>
      <c r="D477" s="26"/>
      <c r="E477" s="26"/>
      <c r="F477" s="26"/>
      <c r="G477" s="23"/>
      <c r="H477" s="23"/>
      <c r="I477" s="23"/>
      <c r="J477" s="23"/>
      <c r="K477" s="23"/>
    </row>
    <row r="478" spans="2:11" ht="15">
      <c r="B478" s="24"/>
      <c r="C478" s="26"/>
      <c r="D478" s="26"/>
      <c r="E478" s="26"/>
      <c r="F478" s="26"/>
      <c r="G478" s="26"/>
      <c r="H478" s="26"/>
      <c r="I478" s="26"/>
      <c r="J478" s="26"/>
      <c r="K478" s="26"/>
    </row>
    <row r="479" spans="2:11" ht="15">
      <c r="B479" s="14"/>
      <c r="C479" s="26"/>
      <c r="D479" s="26"/>
      <c r="E479" s="37"/>
      <c r="F479" s="37"/>
      <c r="G479" s="37"/>
      <c r="H479" s="37"/>
      <c r="I479" s="37"/>
      <c r="J479" s="37"/>
      <c r="K479" s="37"/>
    </row>
    <row r="480" spans="2:11" ht="15">
      <c r="B480" s="14"/>
      <c r="C480" s="26"/>
      <c r="D480" s="23"/>
      <c r="E480" s="23"/>
      <c r="F480" s="23"/>
      <c r="G480" s="23"/>
      <c r="H480" s="23"/>
      <c r="I480" s="23"/>
      <c r="J480" s="23"/>
      <c r="K480" s="23"/>
    </row>
    <row r="481" spans="2:11" ht="15">
      <c r="B481" s="38"/>
      <c r="C481" s="23"/>
      <c r="D481" s="23"/>
      <c r="E481" s="23"/>
      <c r="F481" s="23"/>
      <c r="G481" s="23"/>
      <c r="H481" s="23"/>
      <c r="I481" s="23"/>
      <c r="J481" s="23"/>
      <c r="K481" s="23"/>
    </row>
    <row r="482" spans="2:11" ht="15">
      <c r="B482" s="40"/>
      <c r="C482" s="23"/>
      <c r="D482" s="23"/>
      <c r="E482" s="23"/>
      <c r="F482" s="23"/>
      <c r="G482" s="23"/>
      <c r="H482" s="23"/>
      <c r="I482" s="23"/>
      <c r="J482" s="23"/>
      <c r="K482" s="23"/>
    </row>
    <row r="483" spans="2:11" ht="15">
      <c r="B483" s="40"/>
      <c r="C483" s="23"/>
      <c r="D483" s="23"/>
      <c r="E483" s="23"/>
      <c r="F483" s="23"/>
      <c r="G483" s="23"/>
      <c r="H483" s="23"/>
      <c r="I483" s="23"/>
      <c r="J483" s="23"/>
      <c r="K483" s="23"/>
    </row>
    <row r="484" spans="2:11" ht="15">
      <c r="B484" s="17"/>
      <c r="C484" s="23"/>
      <c r="D484" s="23"/>
      <c r="E484" s="23"/>
      <c r="F484" s="23"/>
      <c r="G484" s="23"/>
      <c r="H484" s="23"/>
      <c r="I484" s="23"/>
      <c r="J484" s="23"/>
      <c r="K484" s="23"/>
    </row>
    <row r="485" spans="2:11" ht="15">
      <c r="B485" s="14"/>
      <c r="C485" s="23"/>
      <c r="D485" s="23"/>
      <c r="E485" s="23"/>
      <c r="F485" s="23"/>
      <c r="G485" s="23"/>
      <c r="H485" s="23"/>
      <c r="I485" s="23"/>
      <c r="J485" s="23"/>
      <c r="K485" s="23"/>
    </row>
    <row r="486" spans="2:11" ht="15">
      <c r="B486" s="38"/>
      <c r="C486" s="23"/>
      <c r="D486" s="23"/>
      <c r="E486" s="23"/>
      <c r="F486" s="23"/>
      <c r="G486" s="23"/>
      <c r="H486" s="23"/>
      <c r="I486" s="23"/>
      <c r="J486" s="23"/>
      <c r="K486" s="23"/>
    </row>
    <row r="487" spans="2:11" ht="15">
      <c r="B487" s="16"/>
      <c r="C487" s="23"/>
      <c r="D487" s="23"/>
      <c r="E487" s="23"/>
      <c r="F487" s="23"/>
      <c r="G487" s="23"/>
      <c r="H487" s="23"/>
      <c r="I487" s="23"/>
      <c r="J487" s="23"/>
      <c r="K487" s="23"/>
    </row>
    <row r="488" spans="2:11" ht="15">
      <c r="B488" s="16"/>
      <c r="C488" s="23"/>
      <c r="D488" s="23"/>
      <c r="E488" s="23"/>
      <c r="F488" s="23"/>
      <c r="G488" s="23"/>
      <c r="H488" s="23"/>
      <c r="I488" s="23"/>
      <c r="J488" s="23"/>
      <c r="K488" s="23"/>
    </row>
    <row r="489" spans="2:11" ht="15">
      <c r="B489" s="17"/>
      <c r="C489" s="23"/>
      <c r="D489" s="23"/>
      <c r="E489" s="23"/>
      <c r="F489" s="23"/>
      <c r="G489" s="23"/>
      <c r="H489" s="23"/>
      <c r="I489" s="23"/>
      <c r="J489" s="23"/>
      <c r="K489" s="23"/>
    </row>
    <row r="490" spans="2:11" ht="15">
      <c r="B490" s="17"/>
      <c r="C490" s="23"/>
      <c r="D490" s="23"/>
      <c r="E490" s="23"/>
      <c r="F490" s="23"/>
      <c r="G490" s="23"/>
      <c r="H490" s="23"/>
      <c r="I490" s="23"/>
      <c r="J490" s="23"/>
      <c r="K490" s="23"/>
    </row>
    <row r="491" spans="2:11" ht="15">
      <c r="B491" s="18"/>
      <c r="C491" s="23"/>
      <c r="D491" s="23"/>
      <c r="E491" s="23"/>
      <c r="F491" s="23"/>
      <c r="G491" s="23"/>
      <c r="H491" s="23"/>
      <c r="I491" s="23"/>
      <c r="J491" s="23"/>
      <c r="K491" s="23"/>
    </row>
    <row r="492" spans="2:11" ht="15">
      <c r="B492" s="18"/>
      <c r="C492" s="23"/>
      <c r="D492" s="23"/>
      <c r="E492" s="23"/>
      <c r="F492" s="23"/>
      <c r="G492" s="23"/>
      <c r="H492" s="23"/>
      <c r="I492" s="23"/>
      <c r="J492" s="23"/>
      <c r="K492" s="23"/>
    </row>
    <row r="493" spans="2:11" ht="15">
      <c r="B493" s="38"/>
      <c r="C493" s="23"/>
      <c r="D493" s="23"/>
      <c r="E493" s="23"/>
      <c r="F493" s="23"/>
      <c r="G493" s="23"/>
      <c r="H493" s="23"/>
      <c r="I493" s="23"/>
      <c r="J493" s="23"/>
      <c r="K493" s="23"/>
    </row>
    <row r="494" spans="2:11" ht="15">
      <c r="B494" s="19"/>
      <c r="C494" s="23"/>
      <c r="D494" s="23"/>
      <c r="E494" s="23"/>
      <c r="F494" s="23"/>
      <c r="G494" s="23"/>
      <c r="H494" s="23"/>
      <c r="I494" s="23"/>
      <c r="J494" s="23"/>
      <c r="K494" s="23"/>
    </row>
    <row r="495" spans="2:11" ht="15">
      <c r="B495" s="19"/>
      <c r="C495" s="23"/>
      <c r="D495" s="23"/>
      <c r="E495" s="23"/>
      <c r="F495" s="23"/>
      <c r="G495" s="23"/>
      <c r="H495" s="23"/>
      <c r="I495" s="23"/>
      <c r="J495" s="23"/>
      <c r="K495" s="23"/>
    </row>
    <row r="496" spans="2:11" ht="15">
      <c r="B496" s="14"/>
      <c r="C496" s="23"/>
      <c r="D496" s="23"/>
      <c r="E496" s="23"/>
      <c r="F496" s="23"/>
      <c r="G496" s="23"/>
      <c r="H496" s="23"/>
      <c r="I496" s="23"/>
      <c r="J496" s="23"/>
      <c r="K496" s="23"/>
    </row>
    <row r="497" spans="2:11" ht="15">
      <c r="B497" s="14"/>
      <c r="C497" s="23"/>
      <c r="D497" s="23"/>
      <c r="E497" s="23"/>
      <c r="F497" s="23"/>
      <c r="G497" s="23"/>
      <c r="H497" s="23"/>
      <c r="I497" s="23"/>
      <c r="J497" s="23"/>
      <c r="K497" s="23"/>
    </row>
    <row r="498" spans="2:11" ht="15">
      <c r="B498" s="14"/>
      <c r="C498" s="23"/>
      <c r="D498" s="23"/>
      <c r="E498" s="23"/>
      <c r="F498" s="23"/>
      <c r="G498" s="23"/>
      <c r="H498" s="23"/>
      <c r="I498" s="23"/>
      <c r="J498" s="23"/>
      <c r="K498" s="23"/>
    </row>
    <row r="499" spans="2:11" ht="15">
      <c r="B499" s="14"/>
      <c r="C499" s="23"/>
      <c r="D499" s="23"/>
      <c r="E499" s="23"/>
      <c r="F499" s="23"/>
      <c r="G499" s="23"/>
      <c r="H499" s="23"/>
      <c r="I499" s="23"/>
      <c r="J499" s="23"/>
      <c r="K499" s="23"/>
    </row>
    <row r="500" spans="2:11" ht="15">
      <c r="B500" s="14"/>
      <c r="C500" s="23"/>
      <c r="D500" s="23"/>
      <c r="E500" s="23"/>
      <c r="F500" s="23"/>
      <c r="G500" s="23"/>
      <c r="H500" s="23"/>
      <c r="I500" s="23"/>
      <c r="J500" s="23"/>
      <c r="K500" s="23"/>
    </row>
    <row r="501" spans="2:11" ht="15">
      <c r="B501" s="14"/>
      <c r="C501" s="23"/>
      <c r="D501" s="23"/>
      <c r="E501" s="23"/>
      <c r="F501" s="23"/>
      <c r="G501" s="23"/>
      <c r="H501" s="23"/>
      <c r="I501" s="23"/>
      <c r="J501" s="23"/>
      <c r="K501" s="23"/>
    </row>
    <row r="502" spans="2:11" ht="15">
      <c r="B502" s="14"/>
      <c r="C502" s="23"/>
      <c r="D502" s="23"/>
      <c r="E502" s="23"/>
      <c r="F502" s="23"/>
      <c r="G502" s="23"/>
      <c r="H502" s="23"/>
      <c r="I502" s="23"/>
      <c r="J502" s="23"/>
      <c r="K502" s="23"/>
    </row>
    <row r="503" spans="2:11" ht="15">
      <c r="B503" s="14"/>
      <c r="C503" s="23"/>
      <c r="D503" s="23"/>
      <c r="E503" s="23"/>
      <c r="F503" s="23"/>
      <c r="G503" s="23"/>
      <c r="H503" s="23"/>
      <c r="I503" s="23"/>
      <c r="J503" s="23"/>
      <c r="K503" s="23"/>
    </row>
    <row r="504" spans="2:11" ht="15">
      <c r="B504" s="14"/>
      <c r="C504" s="23"/>
      <c r="D504" s="23"/>
      <c r="E504" s="23"/>
      <c r="F504" s="23"/>
      <c r="G504" s="23"/>
      <c r="H504" s="23"/>
      <c r="I504" s="23"/>
      <c r="J504" s="23"/>
      <c r="K504" s="23"/>
    </row>
    <row r="505" spans="2:11" ht="15">
      <c r="B505" s="14"/>
      <c r="C505" s="23"/>
      <c r="D505" s="23"/>
      <c r="E505" s="23"/>
      <c r="F505" s="23"/>
      <c r="G505" s="23"/>
      <c r="H505" s="23"/>
      <c r="I505" s="23"/>
      <c r="J505" s="23"/>
      <c r="K505" s="23"/>
    </row>
    <row r="508" spans="2:11" ht="18.75">
      <c r="B508" s="717"/>
      <c r="C508" s="717"/>
      <c r="D508" s="717"/>
      <c r="E508" s="717"/>
      <c r="F508" s="717"/>
      <c r="G508" s="717"/>
      <c r="H508" s="717"/>
      <c r="I508" s="717"/>
      <c r="J508" s="717"/>
      <c r="K508" s="31"/>
    </row>
    <row r="509" spans="2:11" ht="15">
      <c r="B509" s="32"/>
      <c r="C509" s="23"/>
      <c r="D509" s="23"/>
      <c r="E509" s="23"/>
      <c r="F509" s="23"/>
      <c r="G509" s="23"/>
      <c r="H509" s="23"/>
      <c r="I509" s="23"/>
      <c r="J509" s="23"/>
      <c r="K509" s="23"/>
    </row>
    <row r="510" spans="2:11">
      <c r="B510" s="719"/>
      <c r="C510" s="719"/>
      <c r="D510" s="719"/>
      <c r="E510" s="719"/>
      <c r="F510" s="719"/>
      <c r="G510" s="719"/>
      <c r="H510" s="719"/>
      <c r="I510" s="719"/>
      <c r="J510" s="719"/>
      <c r="K510" s="31"/>
    </row>
    <row r="511" spans="2:11">
      <c r="B511" s="719"/>
      <c r="C511" s="719"/>
      <c r="D511" s="719"/>
      <c r="E511" s="719"/>
      <c r="F511" s="719"/>
      <c r="G511" s="719"/>
      <c r="H511" s="719"/>
      <c r="I511" s="719"/>
      <c r="J511" s="719"/>
      <c r="K511" s="31"/>
    </row>
    <row r="512" spans="2:11">
      <c r="B512" s="719"/>
      <c r="C512" s="719"/>
      <c r="D512" s="719"/>
      <c r="E512" s="719"/>
      <c r="F512" s="719"/>
      <c r="G512" s="719"/>
      <c r="H512" s="719"/>
      <c r="I512" s="719"/>
      <c r="J512" s="719"/>
      <c r="K512" s="31"/>
    </row>
    <row r="513" spans="2:11" ht="23.25" customHeight="1">
      <c r="B513" s="719"/>
      <c r="C513" s="719"/>
      <c r="D513" s="719"/>
      <c r="E513" s="719"/>
      <c r="F513" s="719"/>
      <c r="G513" s="719"/>
      <c r="H513" s="719"/>
      <c r="I513" s="719"/>
      <c r="J513" s="719"/>
      <c r="K513" s="31"/>
    </row>
    <row r="514" spans="2:11" ht="15">
      <c r="B514" s="35"/>
      <c r="C514" s="23"/>
      <c r="D514" s="26"/>
      <c r="E514" s="26"/>
      <c r="F514" s="26"/>
      <c r="G514" s="23"/>
      <c r="H514" s="23"/>
      <c r="I514" s="23"/>
      <c r="J514" s="23"/>
      <c r="K514" s="23"/>
    </row>
    <row r="515" spans="2:11" ht="15">
      <c r="B515" s="24"/>
      <c r="C515" s="26"/>
      <c r="D515" s="26"/>
      <c r="E515" s="26"/>
      <c r="F515" s="26"/>
      <c r="G515" s="26"/>
      <c r="H515" s="26"/>
      <c r="I515" s="26"/>
      <c r="J515" s="26"/>
      <c r="K515" s="26"/>
    </row>
    <row r="516" spans="2:11" ht="15">
      <c r="B516" s="14"/>
      <c r="C516" s="26"/>
      <c r="D516" s="26"/>
      <c r="E516" s="37"/>
      <c r="F516" s="37"/>
      <c r="G516" s="37"/>
      <c r="H516" s="37"/>
      <c r="I516" s="37"/>
      <c r="J516" s="37"/>
      <c r="K516" s="37"/>
    </row>
    <row r="517" spans="2:11" ht="15">
      <c r="B517" s="14"/>
      <c r="C517" s="26"/>
      <c r="D517" s="23"/>
      <c r="E517" s="23"/>
      <c r="F517" s="23"/>
      <c r="G517" s="23"/>
      <c r="H517" s="23"/>
      <c r="I517" s="23"/>
      <c r="J517" s="23"/>
      <c r="K517" s="23"/>
    </row>
    <row r="518" spans="2:11" ht="15">
      <c r="B518" s="38"/>
      <c r="C518" s="23"/>
      <c r="D518" s="23"/>
      <c r="E518" s="23"/>
      <c r="F518" s="23"/>
      <c r="G518" s="23"/>
      <c r="H518" s="23"/>
      <c r="I518" s="23"/>
      <c r="J518" s="23"/>
      <c r="K518" s="23"/>
    </row>
    <row r="519" spans="2:11" ht="15">
      <c r="B519" s="39"/>
      <c r="C519" s="23"/>
      <c r="D519" s="23"/>
      <c r="E519" s="23"/>
      <c r="F519" s="23"/>
      <c r="G519" s="23"/>
      <c r="H519" s="23"/>
      <c r="I519" s="23"/>
      <c r="J519" s="23"/>
      <c r="K519" s="23"/>
    </row>
    <row r="520" spans="2:11" ht="15">
      <c r="B520" s="40"/>
      <c r="C520" s="23"/>
      <c r="D520" s="23"/>
      <c r="E520" s="23"/>
      <c r="F520" s="23"/>
      <c r="G520" s="23"/>
      <c r="H520" s="23"/>
      <c r="I520" s="23"/>
      <c r="J520" s="23"/>
      <c r="K520" s="23"/>
    </row>
    <row r="521" spans="2:11" ht="15">
      <c r="B521" s="40"/>
      <c r="C521" s="23"/>
      <c r="D521" s="23"/>
      <c r="E521" s="23"/>
      <c r="F521" s="23"/>
      <c r="G521" s="23"/>
      <c r="H521" s="23"/>
      <c r="I521" s="23"/>
      <c r="J521" s="23"/>
      <c r="K521" s="23"/>
    </row>
    <row r="522" spans="2:11" ht="15">
      <c r="B522" s="40"/>
      <c r="C522" s="23"/>
      <c r="D522" s="23"/>
      <c r="E522" s="23"/>
      <c r="F522" s="23"/>
      <c r="G522" s="23"/>
      <c r="H522" s="23"/>
      <c r="I522" s="23"/>
      <c r="J522" s="23"/>
      <c r="K522" s="23"/>
    </row>
    <row r="523" spans="2:11" ht="15">
      <c r="B523" s="40"/>
      <c r="C523" s="23"/>
      <c r="D523" s="23"/>
      <c r="E523" s="23"/>
      <c r="F523" s="23"/>
      <c r="G523" s="23"/>
      <c r="H523" s="23"/>
      <c r="I523" s="23"/>
      <c r="J523" s="23"/>
      <c r="K523" s="23"/>
    </row>
    <row r="524" spans="2:11" ht="15">
      <c r="B524" s="40"/>
      <c r="C524" s="23"/>
      <c r="D524" s="23"/>
      <c r="E524" s="23"/>
      <c r="F524" s="23"/>
      <c r="G524" s="23"/>
      <c r="H524" s="23"/>
      <c r="I524" s="23"/>
      <c r="J524" s="23"/>
      <c r="K524" s="23"/>
    </row>
    <row r="525" spans="2:11" ht="15">
      <c r="B525" s="17"/>
      <c r="C525" s="23"/>
      <c r="D525" s="23"/>
      <c r="E525" s="23"/>
      <c r="F525" s="23"/>
      <c r="G525" s="23"/>
      <c r="H525" s="23"/>
      <c r="I525" s="23"/>
      <c r="J525" s="23"/>
      <c r="K525" s="23"/>
    </row>
    <row r="526" spans="2:11" ht="15">
      <c r="B526" s="14"/>
      <c r="C526" s="23"/>
      <c r="D526" s="23"/>
      <c r="E526" s="23"/>
      <c r="F526" s="23"/>
      <c r="G526" s="23"/>
      <c r="H526" s="23"/>
      <c r="I526" s="23"/>
      <c r="J526" s="23"/>
      <c r="K526" s="23"/>
    </row>
    <row r="527" spans="2:11" ht="15">
      <c r="B527" s="38"/>
      <c r="C527" s="23"/>
      <c r="D527" s="23"/>
      <c r="E527" s="23"/>
      <c r="F527" s="23"/>
      <c r="G527" s="23"/>
      <c r="H527" s="23"/>
      <c r="I527" s="23"/>
      <c r="J527" s="23"/>
      <c r="K527" s="23"/>
    </row>
    <row r="528" spans="2:11" ht="15">
      <c r="B528" s="16"/>
      <c r="C528" s="23"/>
      <c r="D528" s="23"/>
      <c r="E528" s="23"/>
      <c r="F528" s="23"/>
      <c r="G528" s="23"/>
      <c r="H528" s="23"/>
      <c r="I528" s="23"/>
      <c r="J528" s="23"/>
      <c r="K528" s="23"/>
    </row>
    <row r="529" spans="2:11" ht="15">
      <c r="B529" s="16"/>
      <c r="C529" s="23"/>
      <c r="D529" s="23"/>
      <c r="E529" s="23"/>
      <c r="F529" s="23"/>
      <c r="G529" s="23"/>
      <c r="H529" s="23"/>
      <c r="I529" s="23"/>
      <c r="J529" s="23"/>
      <c r="K529" s="23"/>
    </row>
    <row r="530" spans="2:11" ht="15">
      <c r="B530" s="16"/>
      <c r="C530" s="23"/>
      <c r="D530" s="23"/>
      <c r="E530" s="23"/>
      <c r="F530" s="23"/>
      <c r="G530" s="23"/>
      <c r="H530" s="23"/>
      <c r="I530" s="23"/>
      <c r="J530" s="23"/>
      <c r="K530" s="23"/>
    </row>
    <row r="531" spans="2:11" ht="15">
      <c r="B531" s="16"/>
      <c r="C531" s="23"/>
      <c r="D531" s="23"/>
      <c r="E531" s="23"/>
      <c r="F531" s="23"/>
      <c r="G531" s="23"/>
      <c r="H531" s="23"/>
      <c r="I531" s="23"/>
      <c r="J531" s="23"/>
      <c r="K531" s="23"/>
    </row>
    <row r="532" spans="2:11" ht="15">
      <c r="B532" s="16"/>
      <c r="C532" s="23"/>
      <c r="D532" s="23"/>
      <c r="E532" s="23"/>
      <c r="F532" s="23"/>
      <c r="G532" s="23"/>
      <c r="H532" s="23"/>
      <c r="I532" s="23"/>
      <c r="J532" s="23"/>
      <c r="K532" s="23"/>
    </row>
    <row r="533" spans="2:11" ht="15">
      <c r="B533" s="17"/>
      <c r="C533" s="23"/>
      <c r="D533" s="23"/>
      <c r="E533" s="23"/>
      <c r="F533" s="23"/>
      <c r="G533" s="23"/>
      <c r="H533" s="23"/>
      <c r="I533" s="23"/>
      <c r="J533" s="23"/>
      <c r="K533" s="23"/>
    </row>
    <row r="534" spans="2:11" ht="15">
      <c r="B534" s="17"/>
      <c r="C534" s="23"/>
      <c r="D534" s="23"/>
      <c r="E534" s="23"/>
      <c r="F534" s="23"/>
      <c r="G534" s="23"/>
      <c r="H534" s="23"/>
      <c r="I534" s="23"/>
      <c r="J534" s="23"/>
      <c r="K534" s="23"/>
    </row>
    <row r="535" spans="2:11" ht="15">
      <c r="B535" s="18"/>
      <c r="C535" s="23"/>
      <c r="D535" s="23"/>
      <c r="E535" s="23"/>
      <c r="F535" s="23"/>
      <c r="G535" s="23"/>
      <c r="H535" s="23"/>
      <c r="I535" s="23"/>
      <c r="J535" s="23"/>
      <c r="K535" s="23"/>
    </row>
    <row r="536" spans="2:11" ht="15">
      <c r="B536" s="18"/>
      <c r="C536" s="23"/>
      <c r="D536" s="23"/>
      <c r="E536" s="23"/>
      <c r="F536" s="23"/>
      <c r="G536" s="23"/>
      <c r="H536" s="23"/>
      <c r="I536" s="23"/>
      <c r="J536" s="23"/>
      <c r="K536" s="23"/>
    </row>
    <row r="537" spans="2:11" ht="15">
      <c r="B537" s="38"/>
      <c r="C537" s="23"/>
      <c r="D537" s="23"/>
      <c r="E537" s="23"/>
      <c r="F537" s="23"/>
      <c r="G537" s="23"/>
      <c r="H537" s="23"/>
      <c r="I537" s="23"/>
      <c r="J537" s="23"/>
      <c r="K537" s="23"/>
    </row>
    <row r="538" spans="2:11" ht="15">
      <c r="B538" s="19"/>
      <c r="C538" s="23"/>
      <c r="D538" s="23"/>
      <c r="E538" s="23"/>
      <c r="F538" s="23"/>
      <c r="G538" s="23"/>
      <c r="H538" s="23"/>
      <c r="I538" s="23"/>
      <c r="J538" s="23"/>
      <c r="K538" s="23"/>
    </row>
    <row r="539" spans="2:11" ht="15">
      <c r="B539" s="19"/>
      <c r="C539" s="23"/>
      <c r="D539" s="23"/>
      <c r="E539" s="23"/>
      <c r="F539" s="23"/>
      <c r="G539" s="23"/>
      <c r="H539" s="23"/>
      <c r="I539" s="23"/>
      <c r="J539" s="23"/>
      <c r="K539" s="23"/>
    </row>
    <row r="540" spans="2:11" ht="15">
      <c r="B540" s="14"/>
      <c r="C540" s="23"/>
      <c r="D540" s="23"/>
      <c r="E540" s="23"/>
      <c r="F540" s="23"/>
      <c r="G540" s="23"/>
      <c r="H540" s="23"/>
      <c r="I540" s="23"/>
      <c r="J540" s="23"/>
      <c r="K540" s="23"/>
    </row>
    <row r="541" spans="2:11" ht="15">
      <c r="B541" s="14"/>
      <c r="C541" s="23"/>
      <c r="D541" s="23"/>
      <c r="E541" s="23"/>
      <c r="F541" s="23"/>
      <c r="G541" s="23"/>
      <c r="H541" s="23"/>
      <c r="I541" s="23"/>
      <c r="J541" s="23"/>
      <c r="K541" s="23"/>
    </row>
    <row r="542" spans="2:11" ht="15">
      <c r="B542" s="14"/>
      <c r="C542" s="23"/>
      <c r="D542" s="23"/>
      <c r="E542" s="23"/>
      <c r="F542" s="23"/>
      <c r="G542" s="23"/>
      <c r="H542" s="23"/>
      <c r="I542" s="23"/>
      <c r="J542" s="23"/>
      <c r="K542" s="23"/>
    </row>
    <row r="543" spans="2:11" ht="15">
      <c r="B543" s="14"/>
      <c r="C543" s="23"/>
      <c r="D543" s="23"/>
      <c r="E543" s="23"/>
      <c r="F543" s="23"/>
      <c r="G543" s="23"/>
      <c r="H543" s="23"/>
      <c r="I543" s="23"/>
      <c r="J543" s="23"/>
      <c r="K543" s="23"/>
    </row>
    <row r="544" spans="2:11" ht="15">
      <c r="B544" s="14"/>
      <c r="C544" s="23"/>
      <c r="D544" s="23"/>
      <c r="E544" s="23"/>
      <c r="F544" s="23"/>
      <c r="G544" s="23"/>
      <c r="H544" s="23"/>
      <c r="I544" s="23"/>
      <c r="J544" s="23"/>
      <c r="K544" s="23"/>
    </row>
    <row r="545" spans="2:11" ht="15">
      <c r="B545" s="14"/>
      <c r="C545" s="23"/>
      <c r="D545" s="23"/>
      <c r="E545" s="23"/>
      <c r="F545" s="23"/>
      <c r="G545" s="23"/>
      <c r="H545" s="23"/>
      <c r="I545" s="23"/>
      <c r="J545" s="23"/>
      <c r="K545" s="23"/>
    </row>
    <row r="546" spans="2:11" ht="15">
      <c r="B546" s="14"/>
      <c r="C546" s="23"/>
      <c r="D546" s="23"/>
      <c r="E546" s="23"/>
      <c r="F546" s="23"/>
      <c r="G546" s="23"/>
      <c r="H546" s="23"/>
      <c r="I546" s="23"/>
      <c r="J546" s="23"/>
      <c r="K546" s="23"/>
    </row>
    <row r="547" spans="2:11" ht="15">
      <c r="B547" s="14"/>
      <c r="C547" s="23"/>
      <c r="D547" s="23"/>
      <c r="E547" s="23"/>
      <c r="F547" s="23"/>
      <c r="G547" s="23"/>
      <c r="H547" s="23"/>
      <c r="I547" s="23"/>
      <c r="J547" s="23"/>
      <c r="K547" s="23"/>
    </row>
    <row r="548" spans="2:11" ht="15">
      <c r="B548" s="14"/>
      <c r="C548" s="23"/>
      <c r="D548" s="23"/>
      <c r="E548" s="23"/>
      <c r="F548" s="23"/>
      <c r="G548" s="23"/>
      <c r="H548" s="23"/>
      <c r="I548" s="23"/>
      <c r="J548" s="23"/>
      <c r="K548" s="23"/>
    </row>
    <row r="549" spans="2:11" ht="15">
      <c r="B549" s="14"/>
      <c r="C549" s="23"/>
      <c r="D549" s="23"/>
      <c r="E549" s="23"/>
      <c r="F549" s="23"/>
      <c r="G549" s="23"/>
      <c r="H549" s="23"/>
      <c r="I549" s="23"/>
      <c r="J549" s="23"/>
      <c r="K549" s="23"/>
    </row>
    <row r="550" spans="2:11" ht="15">
      <c r="B550" s="14"/>
      <c r="C550" s="23"/>
      <c r="D550" s="23"/>
      <c r="E550" s="23"/>
      <c r="F550" s="23"/>
      <c r="G550" s="23"/>
      <c r="H550" s="23"/>
      <c r="I550" s="23"/>
      <c r="J550" s="23"/>
      <c r="K550" s="23"/>
    </row>
    <row r="553" spans="2:11" ht="18.75">
      <c r="B553" s="717"/>
      <c r="C553" s="717"/>
      <c r="D553" s="717"/>
      <c r="E553" s="717"/>
      <c r="F553" s="717"/>
      <c r="G553" s="717"/>
      <c r="H553" s="717"/>
      <c r="I553" s="717"/>
      <c r="J553" s="717"/>
      <c r="K553" s="31"/>
    </row>
    <row r="554" spans="2:11" ht="15">
      <c r="B554" s="32"/>
      <c r="C554" s="23"/>
      <c r="D554" s="23"/>
      <c r="E554" s="23"/>
      <c r="F554" s="23"/>
      <c r="G554" s="23"/>
      <c r="H554" s="23"/>
      <c r="I554" s="23"/>
      <c r="J554" s="23"/>
      <c r="K554" s="23"/>
    </row>
    <row r="555" spans="2:11">
      <c r="B555" s="719"/>
      <c r="C555" s="719"/>
      <c r="D555" s="719"/>
      <c r="E555" s="719"/>
      <c r="F555" s="719"/>
      <c r="G555" s="719"/>
      <c r="H555" s="719"/>
      <c r="I555" s="719"/>
      <c r="J555" s="719"/>
      <c r="K555" s="31"/>
    </row>
    <row r="556" spans="2:11">
      <c r="B556" s="719"/>
      <c r="C556" s="719"/>
      <c r="D556" s="719"/>
      <c r="E556" s="719"/>
      <c r="F556" s="719"/>
      <c r="G556" s="719"/>
      <c r="H556" s="719"/>
      <c r="I556" s="719"/>
      <c r="J556" s="719"/>
      <c r="K556" s="31"/>
    </row>
    <row r="557" spans="2:11">
      <c r="B557" s="719"/>
      <c r="C557" s="719"/>
      <c r="D557" s="719"/>
      <c r="E557" s="719"/>
      <c r="F557" s="719"/>
      <c r="G557" s="719"/>
      <c r="H557" s="719"/>
      <c r="I557" s="719"/>
      <c r="J557" s="719"/>
      <c r="K557" s="31"/>
    </row>
    <row r="558" spans="2:11">
      <c r="B558" s="719"/>
      <c r="C558" s="719"/>
      <c r="D558" s="719"/>
      <c r="E558" s="719"/>
      <c r="F558" s="719"/>
      <c r="G558" s="719"/>
      <c r="H558" s="719"/>
      <c r="I558" s="719"/>
      <c r="J558" s="719"/>
      <c r="K558" s="31"/>
    </row>
    <row r="559" spans="2:11" ht="15">
      <c r="B559" s="33"/>
      <c r="C559" s="34"/>
      <c r="D559" s="34"/>
      <c r="E559" s="34"/>
      <c r="F559" s="34"/>
      <c r="G559" s="34"/>
      <c r="H559" s="23"/>
      <c r="I559" s="23"/>
      <c r="J559" s="23"/>
      <c r="K559" s="23"/>
    </row>
    <row r="560" spans="2:11" ht="15">
      <c r="B560" s="35"/>
      <c r="C560" s="23"/>
      <c r="D560" s="26"/>
      <c r="E560" s="26"/>
      <c r="F560" s="26"/>
      <c r="G560" s="23"/>
      <c r="H560" s="23"/>
      <c r="I560" s="23"/>
      <c r="J560" s="23"/>
      <c r="K560" s="23"/>
    </row>
    <row r="561" spans="2:11" ht="15">
      <c r="B561" s="24"/>
      <c r="C561" s="26"/>
      <c r="D561" s="26"/>
      <c r="E561" s="26"/>
      <c r="F561" s="26"/>
      <c r="G561" s="26"/>
      <c r="H561" s="26"/>
      <c r="I561" s="26"/>
      <c r="J561" s="26"/>
      <c r="K561" s="26"/>
    </row>
    <row r="562" spans="2:11" ht="15">
      <c r="B562" s="14"/>
      <c r="C562" s="26"/>
      <c r="D562" s="26"/>
      <c r="E562" s="37"/>
      <c r="F562" s="37"/>
      <c r="G562" s="37"/>
      <c r="H562" s="37"/>
      <c r="I562" s="37"/>
      <c r="J562" s="37"/>
      <c r="K562" s="37"/>
    </row>
    <row r="563" spans="2:11" ht="15">
      <c r="B563" s="14"/>
      <c r="C563" s="26"/>
      <c r="D563" s="23"/>
      <c r="E563" s="23"/>
      <c r="F563" s="23"/>
      <c r="G563" s="23"/>
      <c r="H563" s="23"/>
      <c r="I563" s="23"/>
      <c r="J563" s="23"/>
      <c r="K563" s="23"/>
    </row>
    <row r="564" spans="2:11" ht="15">
      <c r="B564" s="38"/>
      <c r="C564" s="23"/>
      <c r="D564" s="23"/>
      <c r="E564" s="23"/>
      <c r="F564" s="23"/>
      <c r="G564" s="23"/>
      <c r="H564" s="23"/>
      <c r="I564" s="23"/>
      <c r="J564" s="23"/>
      <c r="K564" s="23"/>
    </row>
    <row r="565" spans="2:11" ht="15">
      <c r="B565" s="40"/>
      <c r="C565" s="23"/>
      <c r="D565" s="23"/>
      <c r="E565" s="23"/>
      <c r="F565" s="23"/>
      <c r="G565" s="23"/>
      <c r="H565" s="23"/>
      <c r="I565" s="23"/>
      <c r="J565" s="23"/>
      <c r="K565" s="23"/>
    </row>
    <row r="566" spans="2:11" ht="15">
      <c r="B566" s="40"/>
      <c r="C566" s="23"/>
      <c r="D566" s="23"/>
      <c r="E566" s="23"/>
      <c r="F566" s="23"/>
      <c r="G566" s="23"/>
      <c r="H566" s="23"/>
      <c r="I566" s="23"/>
      <c r="J566" s="23"/>
      <c r="K566" s="23"/>
    </row>
    <row r="567" spans="2:11" ht="15">
      <c r="B567" s="17"/>
      <c r="C567" s="23"/>
      <c r="D567" s="23"/>
      <c r="E567" s="23"/>
      <c r="F567" s="23"/>
      <c r="G567" s="23"/>
      <c r="H567" s="23"/>
      <c r="I567" s="23"/>
      <c r="J567" s="23"/>
      <c r="K567" s="23"/>
    </row>
    <row r="568" spans="2:11" ht="15">
      <c r="B568" s="14"/>
      <c r="C568" s="23"/>
      <c r="D568" s="23"/>
      <c r="E568" s="23"/>
      <c r="F568" s="23"/>
      <c r="G568" s="23"/>
      <c r="H568" s="23"/>
      <c r="I568" s="23"/>
      <c r="J568" s="23"/>
      <c r="K568" s="23"/>
    </row>
    <row r="569" spans="2:11" ht="15">
      <c r="B569" s="38"/>
      <c r="C569" s="23"/>
      <c r="D569" s="23"/>
      <c r="E569" s="23"/>
      <c r="F569" s="23"/>
      <c r="G569" s="23"/>
      <c r="H569" s="23"/>
      <c r="I569" s="23"/>
      <c r="J569" s="23"/>
      <c r="K569" s="23"/>
    </row>
    <row r="570" spans="2:11" ht="15">
      <c r="B570" s="16"/>
      <c r="C570" s="23"/>
      <c r="D570" s="23"/>
      <c r="E570" s="23"/>
      <c r="F570" s="23"/>
      <c r="G570" s="23"/>
      <c r="H570" s="23"/>
      <c r="I570" s="23"/>
      <c r="J570" s="23"/>
      <c r="K570" s="23"/>
    </row>
    <row r="571" spans="2:11" ht="15">
      <c r="B571" s="16"/>
      <c r="C571" s="23"/>
      <c r="D571" s="23"/>
      <c r="E571" s="23"/>
      <c r="F571" s="23"/>
      <c r="G571" s="23"/>
      <c r="H571" s="23"/>
      <c r="I571" s="23"/>
      <c r="J571" s="23"/>
      <c r="K571" s="23"/>
    </row>
    <row r="572" spans="2:11" ht="15">
      <c r="B572" s="16"/>
      <c r="C572" s="23"/>
      <c r="D572" s="23"/>
      <c r="E572" s="23"/>
      <c r="F572" s="23"/>
      <c r="G572" s="23"/>
      <c r="H572" s="23"/>
      <c r="I572" s="23"/>
      <c r="J572" s="23"/>
      <c r="K572" s="23"/>
    </row>
    <row r="573" spans="2:11" ht="15">
      <c r="B573" s="16"/>
      <c r="C573" s="23"/>
      <c r="D573" s="23"/>
      <c r="E573" s="23"/>
      <c r="F573" s="23"/>
      <c r="G573" s="23"/>
      <c r="H573" s="23"/>
      <c r="I573" s="23"/>
      <c r="J573" s="23"/>
      <c r="K573" s="23"/>
    </row>
    <row r="574" spans="2:11" ht="15">
      <c r="B574" s="17"/>
      <c r="C574" s="23"/>
      <c r="D574" s="23"/>
      <c r="E574" s="23"/>
      <c r="F574" s="23"/>
      <c r="G574" s="23"/>
      <c r="H574" s="23"/>
      <c r="I574" s="23"/>
      <c r="J574" s="23"/>
      <c r="K574" s="23"/>
    </row>
    <row r="575" spans="2:11" ht="15">
      <c r="B575" s="17"/>
      <c r="C575" s="23"/>
      <c r="D575" s="23"/>
      <c r="E575" s="23"/>
      <c r="F575" s="23"/>
      <c r="G575" s="23"/>
      <c r="H575" s="23"/>
      <c r="I575" s="23"/>
      <c r="J575" s="23"/>
      <c r="K575" s="23"/>
    </row>
    <row r="576" spans="2:11" ht="15">
      <c r="B576" s="18"/>
      <c r="C576" s="23"/>
      <c r="D576" s="23"/>
      <c r="E576" s="23"/>
      <c r="F576" s="23"/>
      <c r="G576" s="23"/>
      <c r="H576" s="23"/>
      <c r="I576" s="23"/>
      <c r="J576" s="23"/>
      <c r="K576" s="23"/>
    </row>
    <row r="577" spans="2:11" ht="15">
      <c r="B577" s="18"/>
      <c r="C577" s="23"/>
      <c r="D577" s="23"/>
      <c r="E577" s="23"/>
      <c r="F577" s="23"/>
      <c r="G577" s="23"/>
      <c r="H577" s="23"/>
      <c r="I577" s="23"/>
      <c r="J577" s="23"/>
      <c r="K577" s="23"/>
    </row>
    <row r="578" spans="2:11" ht="15">
      <c r="B578" s="38"/>
      <c r="C578" s="23"/>
      <c r="D578" s="23"/>
      <c r="E578" s="23"/>
      <c r="F578" s="23"/>
      <c r="G578" s="23"/>
      <c r="H578" s="23"/>
      <c r="I578" s="23"/>
      <c r="J578" s="23"/>
      <c r="K578" s="23"/>
    </row>
    <row r="579" spans="2:11" ht="15">
      <c r="B579" s="19"/>
      <c r="C579" s="23"/>
      <c r="D579" s="23"/>
      <c r="E579" s="23"/>
      <c r="F579" s="23"/>
      <c r="G579" s="23"/>
      <c r="H579" s="23"/>
      <c r="I579" s="23"/>
      <c r="J579" s="23"/>
      <c r="K579" s="23"/>
    </row>
    <row r="580" spans="2:11" ht="15">
      <c r="B580" s="19"/>
      <c r="C580" s="23"/>
      <c r="D580" s="23"/>
      <c r="E580" s="23"/>
      <c r="F580" s="23"/>
      <c r="G580" s="23"/>
      <c r="H580" s="23"/>
      <c r="I580" s="23"/>
      <c r="J580" s="23"/>
      <c r="K580" s="23"/>
    </row>
    <row r="581" spans="2:11" ht="15">
      <c r="B581" s="14"/>
      <c r="C581" s="23"/>
      <c r="D581" s="23"/>
      <c r="E581" s="23"/>
      <c r="F581" s="23"/>
      <c r="G581" s="23"/>
      <c r="H581" s="23"/>
      <c r="I581" s="23"/>
      <c r="J581" s="23"/>
      <c r="K581" s="23"/>
    </row>
    <row r="582" spans="2:11" ht="15">
      <c r="B582" s="14"/>
      <c r="C582" s="23"/>
      <c r="D582" s="23"/>
      <c r="E582" s="23"/>
      <c r="F582" s="23"/>
      <c r="G582" s="23"/>
      <c r="H582" s="23"/>
      <c r="I582" s="23"/>
      <c r="J582" s="23"/>
      <c r="K582" s="23"/>
    </row>
    <row r="583" spans="2:11" ht="15">
      <c r="B583" s="14"/>
      <c r="C583" s="23"/>
      <c r="D583" s="23"/>
      <c r="E583" s="23"/>
      <c r="F583" s="23"/>
      <c r="G583" s="23"/>
      <c r="H583" s="23"/>
      <c r="I583" s="23"/>
      <c r="J583" s="23"/>
      <c r="K583" s="23"/>
    </row>
    <row r="584" spans="2:11" ht="15">
      <c r="B584" s="14"/>
      <c r="C584" s="23"/>
      <c r="D584" s="23"/>
      <c r="E584" s="23"/>
      <c r="F584" s="23"/>
      <c r="G584" s="23"/>
      <c r="H584" s="23"/>
      <c r="I584" s="23"/>
      <c r="J584" s="23"/>
      <c r="K584" s="23"/>
    </row>
    <row r="585" spans="2:11" ht="15">
      <c r="B585" s="14"/>
      <c r="C585" s="23"/>
      <c r="D585" s="23"/>
      <c r="E585" s="23"/>
      <c r="F585" s="23"/>
      <c r="G585" s="23"/>
      <c r="H585" s="23"/>
      <c r="I585" s="23"/>
      <c r="J585" s="23"/>
      <c r="K585" s="23"/>
    </row>
    <row r="586" spans="2:11" ht="15">
      <c r="B586" s="14"/>
      <c r="C586" s="23"/>
      <c r="D586" s="23"/>
      <c r="E586" s="23"/>
      <c r="F586" s="23"/>
      <c r="G586" s="23"/>
      <c r="H586" s="23"/>
      <c r="I586" s="23"/>
      <c r="J586" s="23"/>
      <c r="K586" s="23"/>
    </row>
    <row r="587" spans="2:11" ht="15">
      <c r="B587" s="14"/>
      <c r="C587" s="23"/>
      <c r="D587" s="23"/>
      <c r="E587" s="23"/>
      <c r="F587" s="23"/>
      <c r="G587" s="23"/>
      <c r="H587" s="23"/>
      <c r="I587" s="23"/>
      <c r="J587" s="23"/>
      <c r="K587" s="23"/>
    </row>
    <row r="588" spans="2:11" ht="15">
      <c r="B588" s="14"/>
      <c r="C588" s="23"/>
      <c r="D588" s="23"/>
      <c r="E588" s="23"/>
      <c r="F588" s="23"/>
      <c r="G588" s="23"/>
      <c r="H588" s="23"/>
      <c r="I588" s="23"/>
      <c r="J588" s="23"/>
      <c r="K588" s="23"/>
    </row>
    <row r="589" spans="2:11" ht="15">
      <c r="B589" s="14"/>
      <c r="C589" s="23"/>
      <c r="D589" s="23"/>
      <c r="E589" s="23"/>
      <c r="F589" s="23"/>
      <c r="G589" s="23"/>
      <c r="H589" s="23"/>
      <c r="I589" s="23"/>
      <c r="J589" s="23"/>
      <c r="K589" s="23"/>
    </row>
    <row r="590" spans="2:11" ht="15">
      <c r="B590" s="14"/>
      <c r="C590" s="23"/>
      <c r="D590" s="23"/>
      <c r="E590" s="23"/>
      <c r="F590" s="23"/>
      <c r="G590" s="23"/>
      <c r="H590" s="23"/>
      <c r="I590" s="23"/>
      <c r="J590" s="23"/>
      <c r="K590" s="23"/>
    </row>
    <row r="593" spans="2:11" ht="18.75">
      <c r="B593" s="717"/>
      <c r="C593" s="717"/>
      <c r="D593" s="717"/>
      <c r="E593" s="717"/>
      <c r="F593" s="717"/>
      <c r="G593" s="717"/>
      <c r="H593" s="717"/>
      <c r="I593" s="717"/>
      <c r="J593" s="717"/>
      <c r="K593" s="31"/>
    </row>
    <row r="594" spans="2:11" ht="15">
      <c r="B594" s="32"/>
      <c r="C594" s="23"/>
      <c r="D594" s="23"/>
      <c r="E594" s="23"/>
      <c r="F594" s="23"/>
      <c r="G594" s="23"/>
      <c r="H594" s="23"/>
      <c r="I594" s="23"/>
      <c r="J594" s="23"/>
      <c r="K594" s="23"/>
    </row>
    <row r="595" spans="2:11">
      <c r="B595" s="719"/>
      <c r="C595" s="719"/>
      <c r="D595" s="719"/>
      <c r="E595" s="719"/>
      <c r="F595" s="719"/>
      <c r="G595" s="719"/>
      <c r="H595" s="719"/>
      <c r="I595" s="719"/>
      <c r="J595" s="719"/>
      <c r="K595" s="31"/>
    </row>
    <row r="596" spans="2:11">
      <c r="B596" s="719"/>
      <c r="C596" s="719"/>
      <c r="D596" s="719"/>
      <c r="E596" s="719"/>
      <c r="F596" s="719"/>
      <c r="G596" s="719"/>
      <c r="H596" s="719"/>
      <c r="I596" s="719"/>
      <c r="J596" s="719"/>
      <c r="K596" s="31"/>
    </row>
    <row r="597" spans="2:11">
      <c r="B597" s="719"/>
      <c r="C597" s="719"/>
      <c r="D597" s="719"/>
      <c r="E597" s="719"/>
      <c r="F597" s="719"/>
      <c r="G597" s="719"/>
      <c r="H597" s="719"/>
      <c r="I597" s="719"/>
      <c r="J597" s="719"/>
      <c r="K597" s="31"/>
    </row>
    <row r="598" spans="2:11" ht="15">
      <c r="B598" s="35"/>
      <c r="C598" s="23"/>
      <c r="D598" s="26"/>
      <c r="E598" s="23"/>
      <c r="F598" s="26"/>
      <c r="G598" s="23"/>
      <c r="H598" s="23"/>
      <c r="I598" s="23"/>
      <c r="J598" s="23"/>
      <c r="K598" s="23"/>
    </row>
    <row r="599" spans="2:11" ht="15">
      <c r="B599" s="24"/>
      <c r="C599" s="26"/>
      <c r="D599" s="26"/>
      <c r="E599" s="26"/>
      <c r="F599" s="26"/>
      <c r="G599" s="26"/>
      <c r="H599" s="26"/>
      <c r="I599" s="26"/>
      <c r="J599" s="26"/>
      <c r="K599" s="26"/>
    </row>
    <row r="600" spans="2:11" ht="15">
      <c r="B600" s="14"/>
      <c r="C600" s="26"/>
      <c r="D600" s="26"/>
      <c r="E600" s="37"/>
      <c r="F600" s="37"/>
      <c r="G600" s="37"/>
      <c r="H600" s="37"/>
      <c r="I600" s="37"/>
      <c r="J600" s="37"/>
      <c r="K600" s="37"/>
    </row>
    <row r="601" spans="2:11" ht="15">
      <c r="B601" s="14"/>
      <c r="C601" s="26"/>
      <c r="D601" s="23"/>
      <c r="E601" s="23"/>
      <c r="F601" s="23"/>
      <c r="G601" s="23"/>
      <c r="H601" s="23"/>
      <c r="I601" s="23"/>
      <c r="J601" s="23"/>
      <c r="K601" s="23"/>
    </row>
    <row r="602" spans="2:11" ht="15">
      <c r="B602" s="38"/>
      <c r="C602" s="23"/>
      <c r="D602" s="23"/>
      <c r="E602" s="23"/>
      <c r="F602" s="23"/>
      <c r="G602" s="23"/>
      <c r="H602" s="23"/>
      <c r="I602" s="23"/>
      <c r="J602" s="23"/>
      <c r="K602" s="23"/>
    </row>
    <row r="603" spans="2:11" ht="15">
      <c r="B603" s="39"/>
      <c r="C603" s="23"/>
      <c r="D603" s="23"/>
      <c r="E603" s="23"/>
      <c r="F603" s="23"/>
      <c r="G603" s="23"/>
      <c r="H603" s="23"/>
      <c r="I603" s="23"/>
      <c r="J603" s="23"/>
      <c r="K603" s="23"/>
    </row>
    <row r="604" spans="2:11" ht="15">
      <c r="B604" s="39"/>
      <c r="C604" s="23"/>
      <c r="D604" s="23"/>
      <c r="E604" s="23"/>
      <c r="F604" s="23"/>
      <c r="G604" s="23"/>
      <c r="H604" s="23"/>
      <c r="I604" s="23"/>
      <c r="J604" s="23"/>
      <c r="K604" s="23"/>
    </row>
    <row r="605" spans="2:11" ht="15">
      <c r="B605" s="40"/>
      <c r="C605" s="23"/>
      <c r="D605" s="23"/>
      <c r="E605" s="23"/>
      <c r="F605" s="23"/>
      <c r="G605" s="23"/>
      <c r="H605" s="23"/>
      <c r="I605" s="23"/>
      <c r="J605" s="23"/>
      <c r="K605" s="23"/>
    </row>
    <row r="606" spans="2:11" ht="15">
      <c r="B606" s="40"/>
      <c r="C606" s="23"/>
      <c r="D606" s="23"/>
      <c r="E606" s="23"/>
      <c r="F606" s="23"/>
      <c r="G606" s="23"/>
      <c r="H606" s="23"/>
      <c r="I606" s="23"/>
      <c r="J606" s="23"/>
      <c r="K606" s="23"/>
    </row>
    <row r="607" spans="2:11" ht="15">
      <c r="B607" s="40"/>
      <c r="C607" s="23"/>
      <c r="D607" s="23"/>
      <c r="E607" s="23"/>
      <c r="F607" s="23"/>
      <c r="G607" s="23"/>
      <c r="H607" s="23"/>
      <c r="I607" s="23"/>
      <c r="J607" s="23"/>
      <c r="K607" s="23"/>
    </row>
    <row r="608" spans="2:11" ht="15">
      <c r="B608" s="40"/>
      <c r="C608" s="23"/>
      <c r="D608" s="23"/>
      <c r="E608" s="23"/>
      <c r="F608" s="23"/>
      <c r="G608" s="23"/>
      <c r="H608" s="23"/>
      <c r="I608" s="23"/>
      <c r="J608" s="23"/>
      <c r="K608" s="23"/>
    </row>
    <row r="609" spans="2:11" ht="15">
      <c r="B609" s="40"/>
      <c r="C609" s="23"/>
      <c r="D609" s="23"/>
      <c r="E609" s="23"/>
      <c r="F609" s="23"/>
      <c r="G609" s="23"/>
      <c r="H609" s="23"/>
      <c r="I609" s="23"/>
      <c r="J609" s="23"/>
      <c r="K609" s="23"/>
    </row>
    <row r="610" spans="2:11" ht="15">
      <c r="B610" s="40"/>
      <c r="C610" s="23"/>
      <c r="D610" s="23"/>
      <c r="E610" s="23"/>
      <c r="F610" s="23"/>
      <c r="G610" s="23"/>
      <c r="H610" s="23"/>
      <c r="I610" s="23"/>
      <c r="J610" s="23"/>
      <c r="K610" s="23"/>
    </row>
    <row r="611" spans="2:11" ht="15">
      <c r="B611" s="16"/>
      <c r="C611" s="23"/>
      <c r="D611" s="23"/>
      <c r="E611" s="23"/>
      <c r="F611" s="23"/>
      <c r="G611" s="23"/>
      <c r="H611" s="23"/>
      <c r="I611" s="23"/>
      <c r="J611" s="23"/>
      <c r="K611" s="23"/>
    </row>
    <row r="612" spans="2:11" ht="15">
      <c r="B612" s="17"/>
      <c r="C612" s="23"/>
      <c r="D612" s="23"/>
      <c r="E612" s="23"/>
      <c r="F612" s="23"/>
      <c r="G612" s="23"/>
      <c r="H612" s="23"/>
      <c r="I612" s="23"/>
      <c r="J612" s="23"/>
      <c r="K612" s="23"/>
    </row>
    <row r="613" spans="2:11" ht="15">
      <c r="B613" s="14"/>
      <c r="C613" s="23"/>
      <c r="D613" s="23"/>
      <c r="E613" s="23"/>
      <c r="F613" s="23"/>
      <c r="G613" s="23"/>
      <c r="H613" s="23"/>
      <c r="I613" s="23"/>
      <c r="J613" s="23"/>
      <c r="K613" s="23"/>
    </row>
    <row r="614" spans="2:11" ht="15">
      <c r="B614" s="38"/>
      <c r="C614" s="23"/>
      <c r="D614" s="23"/>
      <c r="E614" s="23"/>
      <c r="F614" s="23"/>
      <c r="G614" s="23"/>
      <c r="H614" s="23"/>
      <c r="I614" s="23"/>
      <c r="J614" s="23"/>
      <c r="K614" s="23"/>
    </row>
    <row r="615" spans="2:11" ht="15">
      <c r="B615" s="16"/>
      <c r="C615" s="23"/>
      <c r="D615" s="23"/>
      <c r="E615" s="23"/>
      <c r="F615" s="23"/>
      <c r="G615" s="23"/>
      <c r="H615" s="23"/>
      <c r="I615" s="23"/>
      <c r="J615" s="23"/>
      <c r="K615" s="23"/>
    </row>
    <row r="616" spans="2:11" ht="15">
      <c r="B616" s="16"/>
      <c r="C616" s="23"/>
      <c r="D616" s="23"/>
      <c r="E616" s="23"/>
      <c r="F616" s="23"/>
      <c r="G616" s="23"/>
      <c r="H616" s="23"/>
      <c r="I616" s="23"/>
      <c r="J616" s="23"/>
      <c r="K616" s="23"/>
    </row>
    <row r="617" spans="2:11" ht="15">
      <c r="B617" s="16"/>
      <c r="C617" s="23"/>
      <c r="D617" s="23"/>
      <c r="E617" s="23"/>
      <c r="F617" s="23"/>
      <c r="G617" s="23"/>
      <c r="H617" s="23"/>
      <c r="I617" s="23"/>
      <c r="J617" s="23"/>
      <c r="K617" s="23"/>
    </row>
    <row r="618" spans="2:11" ht="15">
      <c r="B618" s="16"/>
      <c r="C618" s="23"/>
      <c r="D618" s="23"/>
      <c r="E618" s="23"/>
      <c r="F618" s="23"/>
      <c r="G618" s="23"/>
      <c r="H618" s="23"/>
      <c r="I618" s="23"/>
      <c r="J618" s="23"/>
      <c r="K618" s="23"/>
    </row>
    <row r="619" spans="2:11" ht="15">
      <c r="B619" s="16"/>
      <c r="C619" s="23"/>
      <c r="D619" s="23"/>
      <c r="E619" s="23"/>
      <c r="F619" s="23"/>
      <c r="G619" s="23"/>
      <c r="H619" s="23"/>
      <c r="I619" s="23"/>
      <c r="J619" s="23"/>
      <c r="K619" s="23"/>
    </row>
    <row r="620" spans="2:11" ht="15">
      <c r="B620" s="16"/>
      <c r="C620" s="23"/>
      <c r="D620" s="23"/>
      <c r="E620" s="23"/>
      <c r="F620" s="23"/>
      <c r="G620" s="23"/>
      <c r="H620" s="23"/>
      <c r="I620" s="23"/>
      <c r="J620" s="23"/>
      <c r="K620" s="23"/>
    </row>
    <row r="621" spans="2:11" ht="15">
      <c r="B621" s="16"/>
      <c r="C621" s="23"/>
      <c r="D621" s="23"/>
      <c r="E621" s="23"/>
      <c r="F621" s="23"/>
      <c r="G621" s="23"/>
      <c r="H621" s="23"/>
      <c r="I621" s="23"/>
      <c r="J621" s="23"/>
      <c r="K621" s="23"/>
    </row>
    <row r="622" spans="2:11" ht="15">
      <c r="B622" s="17"/>
      <c r="C622" s="23"/>
      <c r="D622" s="23"/>
      <c r="E622" s="23"/>
      <c r="F622" s="23"/>
      <c r="G622" s="23"/>
      <c r="H622" s="23"/>
      <c r="I622" s="23"/>
      <c r="J622" s="23"/>
      <c r="K622" s="23"/>
    </row>
    <row r="623" spans="2:11" ht="15">
      <c r="B623" s="17"/>
      <c r="C623" s="23"/>
      <c r="D623" s="23"/>
      <c r="E623" s="23"/>
      <c r="F623" s="23"/>
      <c r="G623" s="23"/>
      <c r="H623" s="23"/>
      <c r="I623" s="23"/>
      <c r="J623" s="23"/>
      <c r="K623" s="23"/>
    </row>
    <row r="624" spans="2:11" ht="15">
      <c r="B624" s="18"/>
      <c r="C624" s="23"/>
      <c r="D624" s="23"/>
      <c r="E624" s="23"/>
      <c r="F624" s="23"/>
      <c r="G624" s="23"/>
      <c r="H624" s="23"/>
      <c r="I624" s="23"/>
      <c r="J624" s="23"/>
      <c r="K624" s="23"/>
    </row>
    <row r="625" spans="2:11" ht="15">
      <c r="B625" s="18"/>
      <c r="C625" s="23"/>
      <c r="D625" s="23"/>
      <c r="E625" s="23"/>
      <c r="F625" s="23"/>
      <c r="G625" s="23"/>
      <c r="H625" s="23"/>
      <c r="I625" s="23"/>
      <c r="J625" s="23"/>
      <c r="K625" s="23"/>
    </row>
    <row r="626" spans="2:11" ht="15">
      <c r="B626" s="38"/>
      <c r="C626" s="23"/>
      <c r="D626" s="23"/>
      <c r="E626" s="23"/>
      <c r="F626" s="23"/>
      <c r="G626" s="23"/>
      <c r="H626" s="23"/>
      <c r="I626" s="23"/>
      <c r="J626" s="23"/>
      <c r="K626" s="23"/>
    </row>
    <row r="627" spans="2:11" ht="15">
      <c r="B627" s="19"/>
      <c r="C627" s="23"/>
      <c r="D627" s="23"/>
      <c r="E627" s="23"/>
      <c r="F627" s="23"/>
      <c r="G627" s="23"/>
      <c r="H627" s="23"/>
      <c r="I627" s="23"/>
      <c r="J627" s="23"/>
      <c r="K627" s="23"/>
    </row>
    <row r="628" spans="2:11" ht="15">
      <c r="B628" s="19"/>
      <c r="C628" s="23"/>
      <c r="D628" s="23"/>
      <c r="E628" s="23"/>
      <c r="F628" s="23"/>
      <c r="G628" s="23"/>
      <c r="H628" s="23"/>
      <c r="I628" s="23"/>
      <c r="J628" s="23"/>
      <c r="K628" s="23"/>
    </row>
    <row r="629" spans="2:11" ht="15">
      <c r="B629" s="14"/>
      <c r="C629" s="23"/>
      <c r="D629" s="23"/>
      <c r="E629" s="23"/>
      <c r="F629" s="23"/>
      <c r="G629" s="23"/>
      <c r="H629" s="23"/>
      <c r="I629" s="23"/>
      <c r="J629" s="23"/>
      <c r="K629" s="23"/>
    </row>
    <row r="630" spans="2:11" ht="15">
      <c r="B630" s="14"/>
      <c r="C630" s="23"/>
      <c r="D630" s="23"/>
      <c r="E630" s="23"/>
      <c r="F630" s="23"/>
      <c r="G630" s="23"/>
      <c r="H630" s="23"/>
      <c r="I630" s="23"/>
      <c r="J630" s="23"/>
      <c r="K630" s="23"/>
    </row>
    <row r="631" spans="2:11" ht="15">
      <c r="B631" s="14"/>
      <c r="C631" s="23"/>
      <c r="D631" s="23"/>
      <c r="E631" s="23"/>
      <c r="F631" s="23"/>
      <c r="G631" s="23"/>
      <c r="H631" s="23"/>
      <c r="I631" s="23"/>
      <c r="J631" s="23"/>
      <c r="K631" s="23"/>
    </row>
    <row r="632" spans="2:11" ht="15">
      <c r="B632" s="14"/>
      <c r="C632" s="23"/>
      <c r="D632" s="23"/>
      <c r="E632" s="23"/>
      <c r="F632" s="23"/>
      <c r="G632" s="23"/>
      <c r="H632" s="23"/>
      <c r="I632" s="23"/>
      <c r="J632" s="23"/>
      <c r="K632" s="23"/>
    </row>
    <row r="633" spans="2:11" ht="15">
      <c r="B633" s="14"/>
      <c r="C633" s="23"/>
      <c r="D633" s="23"/>
      <c r="E633" s="23"/>
      <c r="F633" s="23"/>
      <c r="G633" s="23"/>
      <c r="H633" s="23"/>
      <c r="I633" s="23"/>
      <c r="J633" s="23"/>
      <c r="K633" s="23"/>
    </row>
    <row r="634" spans="2:11" ht="15">
      <c r="B634" s="14"/>
      <c r="C634" s="23"/>
      <c r="D634" s="23"/>
      <c r="E634" s="23"/>
      <c r="F634" s="23"/>
      <c r="G634" s="23"/>
      <c r="H634" s="23"/>
      <c r="I634" s="23"/>
      <c r="J634" s="23"/>
      <c r="K634" s="23"/>
    </row>
    <row r="635" spans="2:11" ht="15">
      <c r="B635" s="14"/>
      <c r="C635" s="23"/>
      <c r="D635" s="23"/>
      <c r="E635" s="23"/>
      <c r="F635" s="23"/>
      <c r="G635" s="23"/>
      <c r="H635" s="23"/>
      <c r="I635" s="23"/>
      <c r="J635" s="23"/>
      <c r="K635" s="23"/>
    </row>
    <row r="636" spans="2:11" ht="15">
      <c r="B636" s="14"/>
      <c r="C636" s="23"/>
      <c r="D636" s="23"/>
      <c r="E636" s="23"/>
      <c r="F636" s="23"/>
      <c r="G636" s="23"/>
      <c r="H636" s="23"/>
      <c r="I636" s="23"/>
      <c r="J636" s="23"/>
      <c r="K636" s="23"/>
    </row>
    <row r="637" spans="2:11" ht="15">
      <c r="B637" s="14"/>
      <c r="C637" s="23"/>
      <c r="D637" s="23"/>
      <c r="E637" s="23"/>
      <c r="F637" s="23"/>
      <c r="G637" s="23"/>
      <c r="H637" s="23"/>
      <c r="I637" s="23"/>
      <c r="J637" s="23"/>
      <c r="K637" s="23"/>
    </row>
    <row r="638" spans="2:11" ht="15">
      <c r="B638" s="14"/>
      <c r="C638" s="23"/>
      <c r="D638" s="23"/>
      <c r="E638" s="23"/>
      <c r="F638" s="23"/>
      <c r="G638" s="23"/>
      <c r="H638" s="23"/>
      <c r="I638" s="23"/>
      <c r="J638" s="23"/>
      <c r="K638" s="23"/>
    </row>
    <row r="639" spans="2:11" ht="15">
      <c r="B639" s="14"/>
      <c r="C639" s="23"/>
      <c r="D639" s="23"/>
      <c r="E639" s="23"/>
      <c r="F639" s="23"/>
      <c r="G639" s="23"/>
      <c r="H639" s="23"/>
      <c r="I639" s="23"/>
      <c r="J639" s="23"/>
      <c r="K639" s="23"/>
    </row>
    <row r="640" spans="2:11" ht="15">
      <c r="B640" s="14"/>
      <c r="C640" s="23"/>
      <c r="D640" s="23"/>
      <c r="E640" s="23"/>
      <c r="F640" s="23"/>
      <c r="G640" s="23"/>
      <c r="H640" s="23"/>
      <c r="I640" s="23"/>
      <c r="J640" s="23"/>
      <c r="K640" s="23"/>
    </row>
    <row r="642" spans="2:11" ht="18.75">
      <c r="B642" s="717"/>
      <c r="C642" s="717"/>
      <c r="D642" s="717"/>
      <c r="E642" s="717"/>
      <c r="F642" s="717"/>
      <c r="G642" s="717"/>
      <c r="H642" s="717"/>
      <c r="I642" s="717"/>
      <c r="J642" s="717"/>
      <c r="K642" s="31"/>
    </row>
    <row r="643" spans="2:11" ht="15">
      <c r="B643" s="32"/>
      <c r="C643" s="23"/>
      <c r="D643" s="23"/>
      <c r="E643" s="23"/>
      <c r="F643" s="23"/>
      <c r="G643" s="23"/>
      <c r="H643" s="23"/>
      <c r="I643" s="23"/>
      <c r="J643" s="23"/>
      <c r="K643" s="23"/>
    </row>
    <row r="644" spans="2:11">
      <c r="B644" s="719"/>
      <c r="C644" s="719"/>
      <c r="D644" s="719"/>
      <c r="E644" s="719"/>
      <c r="F644" s="719"/>
      <c r="G644" s="719"/>
      <c r="H644" s="719"/>
      <c r="I644" s="719"/>
      <c r="J644" s="719"/>
      <c r="K644" s="31"/>
    </row>
    <row r="645" spans="2:11">
      <c r="B645" s="719"/>
      <c r="C645" s="719"/>
      <c r="D645" s="719"/>
      <c r="E645" s="719"/>
      <c r="F645" s="719"/>
      <c r="G645" s="719"/>
      <c r="H645" s="719"/>
      <c r="I645" s="719"/>
      <c r="J645" s="719"/>
      <c r="K645" s="31"/>
    </row>
    <row r="646" spans="2:11" ht="15">
      <c r="B646" s="33"/>
      <c r="C646" s="34"/>
      <c r="D646" s="34"/>
      <c r="E646" s="34"/>
      <c r="F646" s="34"/>
      <c r="G646" s="34"/>
      <c r="H646" s="23"/>
      <c r="I646" s="23"/>
      <c r="J646" s="23"/>
      <c r="K646" s="23"/>
    </row>
    <row r="647" spans="2:11" ht="15">
      <c r="B647" s="35"/>
      <c r="C647" s="23"/>
      <c r="D647" s="26"/>
      <c r="E647" s="23"/>
      <c r="F647" s="26"/>
      <c r="G647" s="23"/>
      <c r="H647" s="23"/>
      <c r="I647" s="23"/>
      <c r="J647" s="23"/>
      <c r="K647" s="23"/>
    </row>
    <row r="648" spans="2:11" ht="15">
      <c r="B648" s="24"/>
      <c r="C648" s="26"/>
      <c r="D648" s="36"/>
      <c r="E648" s="26"/>
      <c r="F648" s="26"/>
      <c r="G648" s="26"/>
      <c r="H648" s="26"/>
      <c r="I648" s="26"/>
      <c r="J648" s="26"/>
      <c r="K648" s="26"/>
    </row>
    <row r="649" spans="2:11" ht="15">
      <c r="B649" s="14"/>
      <c r="C649" s="26"/>
      <c r="D649" s="26"/>
      <c r="E649" s="37"/>
      <c r="F649" s="37"/>
      <c r="G649" s="37"/>
      <c r="H649" s="37"/>
      <c r="I649" s="37"/>
      <c r="J649" s="37"/>
      <c r="K649" s="37"/>
    </row>
    <row r="650" spans="2:11" ht="15">
      <c r="B650" s="14"/>
      <c r="C650" s="26"/>
      <c r="D650" s="23"/>
      <c r="E650" s="23"/>
      <c r="F650" s="23"/>
      <c r="G650" s="23"/>
      <c r="H650" s="23"/>
      <c r="I650" s="23"/>
      <c r="J650" s="23"/>
      <c r="K650" s="23"/>
    </row>
    <row r="651" spans="2:11" ht="15">
      <c r="B651" s="38"/>
      <c r="C651" s="23"/>
      <c r="D651" s="23"/>
      <c r="E651" s="23"/>
      <c r="F651" s="23"/>
      <c r="G651" s="23"/>
      <c r="H651" s="23"/>
      <c r="I651" s="23"/>
      <c r="J651" s="23"/>
      <c r="K651" s="23"/>
    </row>
    <row r="652" spans="2:11" ht="15">
      <c r="B652" s="39"/>
      <c r="C652" s="23"/>
      <c r="D652" s="23"/>
      <c r="E652" s="23"/>
      <c r="F652" s="23"/>
      <c r="G652" s="23"/>
      <c r="H652" s="23"/>
      <c r="I652" s="23"/>
      <c r="J652" s="23"/>
      <c r="K652" s="23"/>
    </row>
    <row r="653" spans="2:11" ht="15">
      <c r="B653" s="40"/>
      <c r="C653" s="23"/>
      <c r="D653" s="23"/>
      <c r="E653" s="23"/>
      <c r="F653" s="23"/>
      <c r="G653" s="23"/>
      <c r="H653" s="23"/>
      <c r="I653" s="23"/>
      <c r="J653" s="23"/>
      <c r="K653" s="23"/>
    </row>
    <row r="654" spans="2:11" ht="15">
      <c r="B654" s="16"/>
      <c r="C654" s="23"/>
      <c r="D654" s="23"/>
      <c r="E654" s="23"/>
      <c r="F654" s="23"/>
      <c r="G654" s="23"/>
      <c r="H654" s="23"/>
      <c r="I654" s="23"/>
      <c r="J654" s="23"/>
      <c r="K654" s="23"/>
    </row>
    <row r="655" spans="2:11" ht="15">
      <c r="B655" s="17"/>
      <c r="C655" s="23"/>
      <c r="D655" s="23"/>
      <c r="E655" s="23"/>
      <c r="F655" s="23"/>
      <c r="G655" s="23"/>
      <c r="H655" s="23"/>
      <c r="I655" s="23"/>
      <c r="J655" s="23"/>
      <c r="K655" s="23"/>
    </row>
    <row r="656" spans="2:11" ht="15">
      <c r="B656" s="14"/>
      <c r="C656" s="23"/>
      <c r="D656" s="23"/>
      <c r="E656" s="23"/>
      <c r="F656" s="23"/>
      <c r="G656" s="23"/>
      <c r="H656" s="23"/>
      <c r="I656" s="23"/>
      <c r="J656" s="23"/>
      <c r="K656" s="23"/>
    </row>
    <row r="657" spans="2:11" ht="15">
      <c r="B657" s="38"/>
      <c r="C657" s="23"/>
      <c r="D657" s="23"/>
      <c r="E657" s="23"/>
      <c r="F657" s="23"/>
      <c r="G657" s="23"/>
      <c r="H657" s="23"/>
      <c r="I657" s="23"/>
      <c r="J657" s="23"/>
      <c r="K657" s="23"/>
    </row>
    <row r="658" spans="2:11" ht="15">
      <c r="B658" s="16"/>
      <c r="C658" s="23"/>
      <c r="D658" s="23"/>
      <c r="E658" s="23"/>
      <c r="F658" s="23"/>
      <c r="G658" s="23"/>
      <c r="H658" s="23"/>
      <c r="I658" s="23"/>
      <c r="J658" s="23"/>
      <c r="K658" s="23"/>
    </row>
    <row r="659" spans="2:11" ht="15">
      <c r="B659" s="17"/>
      <c r="C659" s="23"/>
      <c r="D659" s="23"/>
      <c r="E659" s="23"/>
      <c r="F659" s="23"/>
      <c r="G659" s="23"/>
      <c r="H659" s="23"/>
      <c r="I659" s="23"/>
      <c r="J659" s="23"/>
      <c r="K659" s="23"/>
    </row>
    <row r="660" spans="2:11" ht="15">
      <c r="B660" s="17"/>
      <c r="C660" s="23"/>
      <c r="D660" s="23"/>
      <c r="E660" s="23"/>
      <c r="F660" s="23"/>
      <c r="G660" s="23"/>
      <c r="H660" s="23"/>
      <c r="I660" s="23"/>
      <c r="J660" s="23"/>
      <c r="K660" s="23"/>
    </row>
    <row r="661" spans="2:11" ht="15">
      <c r="B661" s="18"/>
      <c r="C661" s="23"/>
      <c r="D661" s="23"/>
      <c r="E661" s="23"/>
      <c r="F661" s="23"/>
      <c r="G661" s="23"/>
      <c r="H661" s="23"/>
      <c r="I661" s="23"/>
      <c r="J661" s="23"/>
      <c r="K661" s="23"/>
    </row>
    <row r="662" spans="2:11" ht="15">
      <c r="B662" s="18"/>
      <c r="C662" s="23"/>
      <c r="D662" s="23"/>
      <c r="E662" s="23"/>
      <c r="F662" s="23"/>
      <c r="G662" s="23"/>
      <c r="H662" s="23"/>
      <c r="I662" s="23"/>
      <c r="J662" s="23"/>
      <c r="K662" s="23"/>
    </row>
    <row r="663" spans="2:11" ht="15">
      <c r="B663" s="38"/>
      <c r="C663" s="23"/>
      <c r="D663" s="23"/>
      <c r="E663" s="23"/>
      <c r="F663" s="23"/>
      <c r="G663" s="23"/>
      <c r="H663" s="23"/>
      <c r="I663" s="23"/>
      <c r="J663" s="23"/>
      <c r="K663" s="23"/>
    </row>
    <row r="664" spans="2:11" ht="15">
      <c r="B664" s="19"/>
      <c r="C664" s="23"/>
      <c r="D664" s="23"/>
      <c r="E664" s="23"/>
      <c r="F664" s="23"/>
      <c r="G664" s="23"/>
      <c r="H664" s="23"/>
      <c r="I664" s="23"/>
      <c r="J664" s="23"/>
      <c r="K664" s="23"/>
    </row>
    <row r="665" spans="2:11" ht="15">
      <c r="B665" s="19"/>
      <c r="C665" s="23"/>
      <c r="D665" s="23"/>
      <c r="E665" s="23"/>
      <c r="F665" s="23"/>
      <c r="G665" s="23"/>
      <c r="H665" s="23"/>
      <c r="I665" s="23"/>
      <c r="J665" s="23"/>
      <c r="K665" s="23"/>
    </row>
    <row r="666" spans="2:11" ht="15">
      <c r="B666" s="14"/>
      <c r="C666" s="23"/>
      <c r="D666" s="23"/>
      <c r="E666" s="23"/>
      <c r="F666" s="23"/>
      <c r="G666" s="23"/>
      <c r="H666" s="23"/>
      <c r="I666" s="23"/>
      <c r="J666" s="23"/>
      <c r="K666" s="23"/>
    </row>
    <row r="667" spans="2:11" ht="15">
      <c r="B667" s="14"/>
      <c r="C667" s="23"/>
      <c r="D667" s="23"/>
      <c r="E667" s="23"/>
      <c r="F667" s="23"/>
      <c r="G667" s="23"/>
      <c r="H667" s="23"/>
      <c r="I667" s="23"/>
      <c r="J667" s="23"/>
      <c r="K667" s="23"/>
    </row>
    <row r="668" spans="2:11" ht="15">
      <c r="B668" s="14"/>
      <c r="C668" s="23"/>
      <c r="D668" s="23"/>
      <c r="E668" s="23"/>
      <c r="F668" s="23"/>
      <c r="G668" s="23"/>
      <c r="H668" s="23"/>
      <c r="I668" s="23"/>
      <c r="J668" s="23"/>
      <c r="K668" s="23"/>
    </row>
    <row r="669" spans="2:11" ht="15">
      <c r="B669" s="14"/>
      <c r="C669" s="23"/>
      <c r="D669" s="23"/>
      <c r="E669" s="23"/>
      <c r="F669" s="23"/>
      <c r="G669" s="23"/>
      <c r="H669" s="23"/>
      <c r="I669" s="23"/>
      <c r="J669" s="23"/>
      <c r="K669" s="23"/>
    </row>
    <row r="670" spans="2:11" ht="15">
      <c r="B670" s="14"/>
      <c r="C670" s="23"/>
      <c r="D670" s="23"/>
      <c r="E670" s="23"/>
      <c r="F670" s="23"/>
      <c r="G670" s="23"/>
      <c r="H670" s="23"/>
      <c r="I670" s="23"/>
      <c r="J670" s="23"/>
      <c r="K670" s="23"/>
    </row>
    <row r="671" spans="2:11" ht="15">
      <c r="B671" s="14"/>
      <c r="C671" s="23"/>
      <c r="D671" s="23"/>
      <c r="E671" s="23"/>
      <c r="F671" s="23"/>
      <c r="G671" s="23"/>
      <c r="H671" s="23"/>
      <c r="I671" s="23"/>
      <c r="J671" s="23"/>
      <c r="K671" s="23"/>
    </row>
    <row r="672" spans="2:11" ht="15">
      <c r="B672" s="14"/>
      <c r="C672" s="23"/>
      <c r="D672" s="23"/>
      <c r="E672" s="23"/>
      <c r="F672" s="23"/>
      <c r="G672" s="23"/>
      <c r="H672" s="23"/>
      <c r="I672" s="23"/>
      <c r="J672" s="23"/>
      <c r="K672" s="23"/>
    </row>
    <row r="673" spans="2:11" ht="15">
      <c r="B673" s="14"/>
      <c r="C673" s="23"/>
      <c r="D673" s="23"/>
      <c r="E673" s="23"/>
      <c r="F673" s="23"/>
      <c r="G673" s="23"/>
      <c r="H673" s="23"/>
      <c r="I673" s="23"/>
      <c r="J673" s="23"/>
      <c r="K673" s="23"/>
    </row>
    <row r="674" spans="2:11" ht="15">
      <c r="B674" s="14"/>
      <c r="C674" s="23"/>
      <c r="D674" s="23"/>
      <c r="E674" s="23"/>
      <c r="F674" s="23"/>
      <c r="G674" s="23"/>
      <c r="H674" s="23"/>
      <c r="I674" s="23"/>
      <c r="J674" s="23"/>
      <c r="K674" s="23"/>
    </row>
    <row r="675" spans="2:11" ht="15">
      <c r="B675" s="14"/>
      <c r="C675" s="23"/>
      <c r="D675" s="23"/>
      <c r="E675" s="23"/>
      <c r="F675" s="23"/>
      <c r="G675" s="23"/>
      <c r="H675" s="23"/>
      <c r="I675" s="23"/>
      <c r="J675" s="23"/>
      <c r="K675" s="23"/>
    </row>
    <row r="676" spans="2:11" ht="15">
      <c r="B676" s="14"/>
      <c r="C676" s="23"/>
      <c r="D676" s="23"/>
      <c r="E676" s="23"/>
      <c r="F676" s="23"/>
      <c r="G676" s="23"/>
      <c r="H676" s="23"/>
      <c r="I676" s="23"/>
      <c r="J676" s="23"/>
      <c r="K676" s="23"/>
    </row>
    <row r="679" spans="2:11" ht="18.75">
      <c r="B679" s="717"/>
      <c r="C679" s="717"/>
      <c r="D679" s="717"/>
      <c r="E679" s="717"/>
      <c r="F679" s="717"/>
      <c r="G679" s="717"/>
      <c r="H679" s="717"/>
      <c r="I679" s="717"/>
      <c r="J679" s="717"/>
      <c r="K679" s="31"/>
    </row>
    <row r="680" spans="2:11" ht="15">
      <c r="B680" s="32"/>
      <c r="C680" s="23"/>
      <c r="D680" s="23"/>
      <c r="E680" s="23"/>
      <c r="F680" s="23"/>
      <c r="G680" s="23"/>
      <c r="H680" s="23"/>
      <c r="I680" s="23"/>
      <c r="J680" s="23"/>
      <c r="K680" s="23"/>
    </row>
    <row r="681" spans="2:11">
      <c r="B681" s="719"/>
      <c r="C681" s="719"/>
      <c r="D681" s="719"/>
      <c r="E681" s="719"/>
      <c r="F681" s="719"/>
      <c r="G681" s="719"/>
      <c r="H681" s="719"/>
      <c r="I681" s="719"/>
      <c r="J681" s="719"/>
      <c r="K681" s="31"/>
    </row>
    <row r="682" spans="2:11">
      <c r="B682" s="719"/>
      <c r="C682" s="719"/>
      <c r="D682" s="719"/>
      <c r="E682" s="719"/>
      <c r="F682" s="719"/>
      <c r="G682" s="719"/>
      <c r="H682" s="719"/>
      <c r="I682" s="719"/>
      <c r="J682" s="719"/>
      <c r="K682" s="31"/>
    </row>
    <row r="683" spans="2:11" ht="15">
      <c r="B683" s="33"/>
      <c r="C683" s="34"/>
      <c r="D683" s="34"/>
      <c r="E683" s="34"/>
      <c r="F683" s="34"/>
      <c r="G683" s="34"/>
      <c r="H683" s="23"/>
      <c r="I683" s="23"/>
      <c r="J683" s="23"/>
      <c r="K683" s="23"/>
    </row>
    <row r="684" spans="2:11" ht="15">
      <c r="B684" s="35"/>
      <c r="C684" s="23"/>
      <c r="D684" s="26"/>
      <c r="E684" s="23"/>
      <c r="F684" s="26"/>
      <c r="G684" s="23"/>
      <c r="H684" s="23"/>
      <c r="I684" s="23"/>
      <c r="J684" s="23"/>
      <c r="K684" s="23"/>
    </row>
    <row r="685" spans="2:11" ht="15">
      <c r="B685" s="24"/>
      <c r="C685" s="26"/>
      <c r="D685" s="26"/>
      <c r="E685" s="26"/>
      <c r="F685" s="26"/>
      <c r="G685" s="26"/>
      <c r="H685" s="26"/>
      <c r="I685" s="26"/>
      <c r="J685" s="26"/>
      <c r="K685" s="26"/>
    </row>
    <row r="686" spans="2:11" ht="15">
      <c r="B686" s="14"/>
      <c r="C686" s="26"/>
      <c r="D686" s="26"/>
      <c r="E686" s="37"/>
      <c r="F686" s="37"/>
      <c r="G686" s="37"/>
      <c r="H686" s="37"/>
      <c r="I686" s="37"/>
      <c r="J686" s="37"/>
      <c r="K686" s="37"/>
    </row>
    <row r="687" spans="2:11" ht="15">
      <c r="B687" s="14"/>
      <c r="C687" s="26"/>
      <c r="D687" s="23"/>
      <c r="E687" s="23"/>
      <c r="F687" s="23"/>
      <c r="G687" s="23"/>
      <c r="H687" s="23"/>
      <c r="I687" s="23"/>
      <c r="J687" s="23"/>
      <c r="K687" s="23"/>
    </row>
    <row r="688" spans="2:11" ht="15">
      <c r="B688" s="38"/>
      <c r="C688" s="23"/>
      <c r="D688" s="23"/>
      <c r="E688" s="23"/>
      <c r="F688" s="23"/>
      <c r="G688" s="23"/>
      <c r="H688" s="23"/>
      <c r="I688" s="23"/>
      <c r="J688" s="23"/>
      <c r="K688" s="23"/>
    </row>
    <row r="689" spans="2:11" ht="15">
      <c r="B689" s="40"/>
      <c r="C689" s="23"/>
      <c r="D689" s="23"/>
      <c r="E689" s="23"/>
      <c r="F689" s="23"/>
      <c r="G689" s="23"/>
      <c r="H689" s="23"/>
      <c r="I689" s="23"/>
      <c r="J689" s="23"/>
      <c r="K689" s="23"/>
    </row>
    <row r="690" spans="2:11" ht="15">
      <c r="B690" s="40"/>
      <c r="C690" s="23"/>
      <c r="D690" s="23"/>
      <c r="E690" s="23"/>
      <c r="F690" s="23"/>
      <c r="G690" s="23"/>
      <c r="H690" s="23"/>
      <c r="I690" s="23"/>
      <c r="J690" s="23"/>
      <c r="K690" s="23"/>
    </row>
    <row r="691" spans="2:11" ht="15">
      <c r="B691" s="40"/>
      <c r="C691" s="23"/>
      <c r="D691" s="23"/>
      <c r="E691" s="23"/>
      <c r="F691" s="23"/>
      <c r="G691" s="23"/>
      <c r="H691" s="23"/>
      <c r="I691" s="23"/>
      <c r="J691" s="23"/>
      <c r="K691" s="23"/>
    </row>
    <row r="692" spans="2:11" ht="15">
      <c r="B692" s="17"/>
      <c r="C692" s="23"/>
      <c r="D692" s="23"/>
      <c r="E692" s="23"/>
      <c r="F692" s="23"/>
      <c r="G692" s="23"/>
      <c r="H692" s="23"/>
      <c r="I692" s="23"/>
      <c r="J692" s="23"/>
      <c r="K692" s="23"/>
    </row>
    <row r="693" spans="2:11" ht="15">
      <c r="B693" s="14"/>
      <c r="C693" s="23"/>
      <c r="D693" s="23"/>
      <c r="E693" s="23"/>
      <c r="F693" s="23"/>
      <c r="G693" s="23"/>
      <c r="H693" s="23"/>
      <c r="I693" s="23"/>
      <c r="J693" s="23"/>
      <c r="K693" s="23"/>
    </row>
    <row r="694" spans="2:11" ht="15">
      <c r="B694" s="38"/>
      <c r="C694" s="23"/>
      <c r="D694" s="23"/>
      <c r="E694" s="23"/>
      <c r="F694" s="23"/>
      <c r="G694" s="23"/>
      <c r="H694" s="23"/>
      <c r="I694" s="23"/>
      <c r="J694" s="23"/>
      <c r="K694" s="23"/>
    </row>
    <row r="695" spans="2:11" ht="15">
      <c r="B695" s="16"/>
      <c r="C695" s="23"/>
      <c r="D695" s="23"/>
      <c r="E695" s="23"/>
      <c r="F695" s="23"/>
      <c r="G695" s="23"/>
      <c r="H695" s="23"/>
      <c r="I695" s="23"/>
      <c r="J695" s="23"/>
      <c r="K695" s="23"/>
    </row>
    <row r="696" spans="2:11" ht="15">
      <c r="B696" s="40"/>
      <c r="C696" s="23"/>
      <c r="D696" s="23"/>
      <c r="E696" s="23"/>
      <c r="F696" s="23"/>
      <c r="G696" s="23"/>
      <c r="H696" s="23"/>
      <c r="I696" s="23"/>
      <c r="J696" s="23"/>
      <c r="K696" s="23"/>
    </row>
    <row r="697" spans="2:11" ht="15">
      <c r="B697" s="17"/>
      <c r="C697" s="23"/>
      <c r="D697" s="23"/>
      <c r="E697" s="23"/>
      <c r="F697" s="23"/>
      <c r="G697" s="23"/>
      <c r="H697" s="23"/>
      <c r="I697" s="23"/>
      <c r="J697" s="23"/>
      <c r="K697" s="23"/>
    </row>
    <row r="698" spans="2:11" ht="15">
      <c r="B698" s="17"/>
      <c r="C698" s="23"/>
      <c r="D698" s="23"/>
      <c r="E698" s="23"/>
      <c r="F698" s="23"/>
      <c r="G698" s="23"/>
      <c r="H698" s="23"/>
      <c r="I698" s="23"/>
      <c r="J698" s="23"/>
      <c r="K698" s="23"/>
    </row>
    <row r="699" spans="2:11" ht="15">
      <c r="B699" s="18"/>
      <c r="C699" s="23"/>
      <c r="D699" s="23"/>
      <c r="E699" s="23"/>
      <c r="F699" s="23"/>
      <c r="G699" s="23"/>
      <c r="H699" s="23"/>
      <c r="I699" s="23"/>
      <c r="J699" s="23"/>
      <c r="K699" s="23"/>
    </row>
    <row r="700" spans="2:11" ht="15">
      <c r="B700" s="18"/>
      <c r="C700" s="23"/>
      <c r="D700" s="23"/>
      <c r="E700" s="23"/>
      <c r="F700" s="23"/>
      <c r="G700" s="23"/>
      <c r="H700" s="23"/>
      <c r="I700" s="23"/>
      <c r="J700" s="23"/>
      <c r="K700" s="23"/>
    </row>
    <row r="701" spans="2:11" ht="15">
      <c r="B701" s="38"/>
      <c r="C701" s="23"/>
      <c r="D701" s="23"/>
      <c r="E701" s="23"/>
      <c r="F701" s="23"/>
      <c r="G701" s="23"/>
      <c r="H701" s="23"/>
      <c r="I701" s="23"/>
      <c r="J701" s="23"/>
      <c r="K701" s="23"/>
    </row>
    <row r="702" spans="2:11" ht="15">
      <c r="B702" s="19"/>
      <c r="C702" s="23"/>
      <c r="D702" s="23"/>
      <c r="E702" s="23"/>
      <c r="F702" s="23"/>
      <c r="G702" s="23"/>
      <c r="H702" s="23"/>
      <c r="I702" s="23"/>
      <c r="J702" s="23"/>
      <c r="K702" s="23"/>
    </row>
    <row r="703" spans="2:11" ht="15">
      <c r="B703" s="19"/>
      <c r="C703" s="23"/>
      <c r="D703" s="23"/>
      <c r="E703" s="23"/>
      <c r="F703" s="23"/>
      <c r="G703" s="23"/>
      <c r="H703" s="23"/>
      <c r="I703" s="23"/>
      <c r="J703" s="23"/>
      <c r="K703" s="23"/>
    </row>
    <row r="704" spans="2:11" ht="15">
      <c r="B704" s="14"/>
      <c r="C704" s="23"/>
      <c r="D704" s="23"/>
      <c r="E704" s="23"/>
      <c r="F704" s="23"/>
      <c r="G704" s="23"/>
      <c r="H704" s="23"/>
      <c r="I704" s="23"/>
      <c r="J704" s="23"/>
      <c r="K704" s="23"/>
    </row>
    <row r="705" spans="2:11" ht="15">
      <c r="B705" s="14"/>
      <c r="C705" s="23"/>
      <c r="D705" s="23"/>
      <c r="E705" s="23"/>
      <c r="F705" s="23"/>
      <c r="G705" s="23"/>
      <c r="H705" s="23"/>
      <c r="I705" s="23"/>
      <c r="J705" s="23"/>
      <c r="K705" s="23"/>
    </row>
    <row r="706" spans="2:11" ht="15">
      <c r="B706" s="14"/>
      <c r="C706" s="23"/>
      <c r="D706" s="23"/>
      <c r="E706" s="23"/>
      <c r="F706" s="23"/>
      <c r="G706" s="23"/>
      <c r="H706" s="23"/>
      <c r="I706" s="23"/>
      <c r="J706" s="23"/>
      <c r="K706" s="23"/>
    </row>
    <row r="707" spans="2:11" ht="15">
      <c r="B707" s="14"/>
      <c r="C707" s="23"/>
      <c r="D707" s="23"/>
      <c r="E707" s="23"/>
      <c r="F707" s="23"/>
      <c r="G707" s="23"/>
      <c r="H707" s="23"/>
      <c r="I707" s="23"/>
      <c r="J707" s="23"/>
      <c r="K707" s="23"/>
    </row>
    <row r="708" spans="2:11" ht="15">
      <c r="B708" s="14"/>
      <c r="C708" s="23"/>
      <c r="D708" s="23"/>
      <c r="E708" s="23"/>
      <c r="F708" s="23"/>
      <c r="G708" s="23"/>
      <c r="H708" s="23"/>
      <c r="I708" s="23"/>
      <c r="J708" s="23"/>
      <c r="K708" s="23"/>
    </row>
    <row r="709" spans="2:11" ht="15">
      <c r="B709" s="14"/>
      <c r="C709" s="23"/>
      <c r="D709" s="23"/>
      <c r="E709" s="23"/>
      <c r="F709" s="23"/>
      <c r="G709" s="23"/>
      <c r="H709" s="23"/>
      <c r="I709" s="23"/>
      <c r="J709" s="23"/>
      <c r="K709" s="23"/>
    </row>
    <row r="710" spans="2:11" ht="15">
      <c r="B710" s="14"/>
      <c r="C710" s="23"/>
      <c r="D710" s="23"/>
      <c r="E710" s="23"/>
      <c r="F710" s="23"/>
      <c r="G710" s="23"/>
      <c r="H710" s="23"/>
      <c r="I710" s="23"/>
      <c r="J710" s="23"/>
      <c r="K710" s="23"/>
    </row>
    <row r="711" spans="2:11" ht="15">
      <c r="B711" s="14"/>
      <c r="C711" s="23"/>
      <c r="D711" s="23"/>
      <c r="E711" s="23"/>
      <c r="F711" s="23"/>
      <c r="G711" s="23"/>
      <c r="H711" s="23"/>
      <c r="I711" s="23"/>
      <c r="J711" s="23"/>
      <c r="K711" s="23"/>
    </row>
    <row r="712" spans="2:11" ht="15">
      <c r="B712" s="14"/>
      <c r="C712" s="23"/>
      <c r="D712" s="23"/>
      <c r="E712" s="23"/>
      <c r="F712" s="23"/>
      <c r="G712" s="23"/>
      <c r="H712" s="23"/>
      <c r="I712" s="23"/>
      <c r="J712" s="23"/>
      <c r="K712" s="23"/>
    </row>
    <row r="713" spans="2:11" ht="15">
      <c r="B713" s="14"/>
      <c r="C713" s="23"/>
      <c r="D713" s="23"/>
      <c r="E713" s="23"/>
      <c r="F713" s="23"/>
      <c r="G713" s="23"/>
      <c r="H713" s="23"/>
      <c r="I713" s="23"/>
      <c r="J713" s="23"/>
      <c r="K713" s="23"/>
    </row>
    <row r="714" spans="2:11" ht="15">
      <c r="B714" s="14"/>
      <c r="C714" s="23"/>
      <c r="D714" s="23"/>
      <c r="E714" s="23"/>
      <c r="F714" s="23"/>
      <c r="G714" s="23"/>
      <c r="H714" s="23"/>
      <c r="I714" s="23"/>
      <c r="J714" s="23"/>
      <c r="K714" s="23"/>
    </row>
    <row r="715" spans="2:11" ht="15">
      <c r="B715" s="14"/>
      <c r="C715" s="23"/>
      <c r="D715" s="23"/>
      <c r="E715" s="23"/>
      <c r="F715" s="23"/>
      <c r="G715" s="23"/>
      <c r="H715" s="23"/>
      <c r="I715" s="23"/>
      <c r="J715" s="23"/>
      <c r="K715" s="23"/>
    </row>
    <row r="717" spans="2:11" ht="18.75">
      <c r="B717" s="717"/>
      <c r="C717" s="717"/>
      <c r="D717" s="717"/>
      <c r="E717" s="717"/>
      <c r="F717" s="717"/>
      <c r="G717" s="717"/>
      <c r="H717" s="717"/>
      <c r="I717" s="717"/>
      <c r="J717" s="717"/>
      <c r="K717" s="31"/>
    </row>
    <row r="718" spans="2:11" ht="15">
      <c r="B718" s="32"/>
      <c r="C718" s="23"/>
      <c r="D718" s="23"/>
      <c r="E718" s="23"/>
      <c r="F718" s="23"/>
      <c r="G718" s="23"/>
      <c r="H718" s="23"/>
      <c r="I718" s="23"/>
      <c r="J718" s="23"/>
      <c r="K718" s="23"/>
    </row>
    <row r="719" spans="2:11">
      <c r="B719" s="719"/>
      <c r="C719" s="719"/>
      <c r="D719" s="719"/>
      <c r="E719" s="719"/>
      <c r="F719" s="719"/>
      <c r="G719" s="719"/>
      <c r="H719" s="719"/>
      <c r="I719" s="719"/>
      <c r="J719" s="719"/>
      <c r="K719" s="31"/>
    </row>
    <row r="720" spans="2:11" ht="18" customHeight="1">
      <c r="B720" s="719"/>
      <c r="C720" s="719"/>
      <c r="D720" s="719"/>
      <c r="E720" s="719"/>
      <c r="F720" s="719"/>
      <c r="G720" s="719"/>
      <c r="H720" s="719"/>
      <c r="I720" s="719"/>
      <c r="J720" s="719"/>
      <c r="K720" s="31"/>
    </row>
    <row r="721" spans="2:11" ht="15">
      <c r="B721" s="35"/>
      <c r="C721" s="23"/>
      <c r="D721" s="36"/>
      <c r="E721" s="23"/>
      <c r="F721" s="26"/>
      <c r="G721" s="23"/>
      <c r="H721" s="23"/>
      <c r="I721" s="23"/>
      <c r="J721" s="23"/>
      <c r="K721" s="23"/>
    </row>
    <row r="722" spans="2:11" ht="15">
      <c r="B722" s="24"/>
      <c r="C722" s="26"/>
      <c r="D722" s="26"/>
      <c r="E722" s="26"/>
      <c r="F722" s="26"/>
      <c r="G722" s="26"/>
      <c r="H722" s="26"/>
      <c r="I722" s="26"/>
      <c r="J722" s="26"/>
      <c r="K722" s="26"/>
    </row>
    <row r="723" spans="2:11" ht="15">
      <c r="B723" s="14"/>
      <c r="C723" s="26"/>
      <c r="D723" s="26"/>
      <c r="E723" s="37"/>
      <c r="F723" s="37"/>
      <c r="G723" s="37"/>
      <c r="H723" s="37"/>
      <c r="I723" s="37"/>
      <c r="J723" s="37"/>
      <c r="K723" s="37"/>
    </row>
    <row r="724" spans="2:11" ht="15">
      <c r="B724" s="14"/>
      <c r="C724" s="26"/>
      <c r="D724" s="23"/>
      <c r="E724" s="23"/>
      <c r="F724" s="23"/>
      <c r="G724" s="23"/>
      <c r="H724" s="23"/>
      <c r="I724" s="23"/>
      <c r="J724" s="23"/>
      <c r="K724" s="23"/>
    </row>
    <row r="725" spans="2:11" ht="15">
      <c r="B725" s="38"/>
      <c r="C725" s="23"/>
      <c r="D725" s="23"/>
      <c r="E725" s="23"/>
      <c r="F725" s="23"/>
      <c r="G725" s="23"/>
      <c r="H725" s="23"/>
      <c r="I725" s="23"/>
      <c r="J725" s="23"/>
      <c r="K725" s="23"/>
    </row>
    <row r="726" spans="2:11" ht="15">
      <c r="B726" s="39"/>
      <c r="C726" s="23"/>
      <c r="D726" s="23"/>
      <c r="E726" s="23"/>
      <c r="F726" s="23"/>
      <c r="G726" s="23"/>
      <c r="H726" s="23"/>
      <c r="I726" s="23"/>
      <c r="J726" s="23"/>
      <c r="K726" s="23"/>
    </row>
    <row r="727" spans="2:11" ht="15">
      <c r="B727" s="40"/>
      <c r="C727" s="23"/>
      <c r="D727" s="23"/>
      <c r="E727" s="23"/>
      <c r="F727" s="23"/>
      <c r="G727" s="23"/>
      <c r="H727" s="23"/>
      <c r="I727" s="23"/>
      <c r="J727" s="23"/>
      <c r="K727" s="23"/>
    </row>
    <row r="728" spans="2:11" ht="15">
      <c r="B728" s="17"/>
      <c r="C728" s="23"/>
      <c r="D728" s="23"/>
      <c r="E728" s="23"/>
      <c r="F728" s="23"/>
      <c r="G728" s="23"/>
      <c r="H728" s="23"/>
      <c r="I728" s="23"/>
      <c r="J728" s="23"/>
      <c r="K728" s="23"/>
    </row>
    <row r="729" spans="2:11" ht="15">
      <c r="B729" s="14"/>
      <c r="C729" s="23"/>
      <c r="D729" s="23"/>
      <c r="E729" s="23"/>
      <c r="F729" s="23"/>
      <c r="G729" s="23"/>
      <c r="H729" s="23"/>
      <c r="I729" s="23"/>
      <c r="J729" s="23"/>
      <c r="K729" s="23"/>
    </row>
    <row r="730" spans="2:11" ht="15">
      <c r="B730" s="38"/>
      <c r="C730" s="23"/>
      <c r="D730" s="23"/>
      <c r="E730" s="23"/>
      <c r="F730" s="23"/>
      <c r="G730" s="23"/>
      <c r="H730" s="23"/>
      <c r="I730" s="23"/>
      <c r="J730" s="23"/>
      <c r="K730" s="23"/>
    </row>
    <row r="731" spans="2:11" ht="15">
      <c r="B731" s="16"/>
      <c r="C731" s="23"/>
      <c r="D731" s="23"/>
      <c r="E731" s="23"/>
      <c r="F731" s="23"/>
      <c r="G731" s="23"/>
      <c r="H731" s="23"/>
      <c r="I731" s="23"/>
      <c r="J731" s="23"/>
      <c r="K731" s="23"/>
    </row>
    <row r="732" spans="2:11" ht="15">
      <c r="B732" s="16"/>
      <c r="C732" s="23"/>
      <c r="D732" s="23"/>
      <c r="E732" s="23"/>
      <c r="F732" s="23"/>
      <c r="G732" s="23"/>
      <c r="H732" s="23"/>
      <c r="I732" s="23"/>
      <c r="J732" s="23"/>
      <c r="K732" s="23"/>
    </row>
    <row r="733" spans="2:11" ht="15">
      <c r="B733" s="16"/>
      <c r="C733" s="23"/>
      <c r="D733" s="23"/>
      <c r="E733" s="23"/>
      <c r="F733" s="23"/>
      <c r="G733" s="23"/>
      <c r="H733" s="23"/>
      <c r="I733" s="23"/>
      <c r="J733" s="23"/>
      <c r="K733" s="23"/>
    </row>
    <row r="734" spans="2:11" ht="15">
      <c r="B734" s="16"/>
      <c r="C734" s="23"/>
      <c r="D734" s="23"/>
      <c r="E734" s="23"/>
      <c r="F734" s="23"/>
      <c r="G734" s="23"/>
      <c r="H734" s="23"/>
      <c r="I734" s="23"/>
      <c r="J734" s="23"/>
      <c r="K734" s="23"/>
    </row>
    <row r="735" spans="2:11" ht="15">
      <c r="B735" s="17"/>
      <c r="C735" s="23"/>
      <c r="D735" s="23"/>
      <c r="E735" s="23"/>
      <c r="F735" s="23"/>
      <c r="G735" s="23"/>
      <c r="H735" s="23"/>
      <c r="I735" s="23"/>
      <c r="J735" s="23"/>
      <c r="K735" s="23"/>
    </row>
    <row r="736" spans="2:11" ht="15">
      <c r="B736" s="17"/>
      <c r="C736" s="23"/>
      <c r="D736" s="23"/>
      <c r="E736" s="23"/>
      <c r="F736" s="23"/>
      <c r="G736" s="23"/>
      <c r="H736" s="23"/>
      <c r="I736" s="23"/>
      <c r="J736" s="23"/>
      <c r="K736" s="23"/>
    </row>
    <row r="737" spans="2:11" ht="15">
      <c r="B737" s="18"/>
      <c r="C737" s="23"/>
      <c r="D737" s="23"/>
      <c r="E737" s="23"/>
      <c r="F737" s="23"/>
      <c r="G737" s="23"/>
      <c r="H737" s="23"/>
      <c r="I737" s="23"/>
      <c r="J737" s="23"/>
      <c r="K737" s="23"/>
    </row>
    <row r="738" spans="2:11" ht="15">
      <c r="B738" s="18"/>
      <c r="C738" s="23"/>
      <c r="D738" s="23"/>
      <c r="E738" s="23"/>
      <c r="F738" s="23"/>
      <c r="G738" s="23"/>
      <c r="H738" s="23"/>
      <c r="I738" s="23"/>
      <c r="J738" s="23"/>
      <c r="K738" s="23"/>
    </row>
    <row r="739" spans="2:11" ht="15">
      <c r="B739" s="38"/>
      <c r="C739" s="23"/>
      <c r="D739" s="23"/>
      <c r="E739" s="23"/>
      <c r="F739" s="23"/>
      <c r="G739" s="23"/>
      <c r="H739" s="23"/>
      <c r="I739" s="23"/>
      <c r="J739" s="23"/>
      <c r="K739" s="23"/>
    </row>
    <row r="740" spans="2:11" ht="15">
      <c r="B740" s="19"/>
      <c r="C740" s="23"/>
      <c r="D740" s="23"/>
      <c r="E740" s="23"/>
      <c r="F740" s="23"/>
      <c r="G740" s="23"/>
      <c r="H740" s="23"/>
      <c r="I740" s="23"/>
      <c r="J740" s="23"/>
      <c r="K740" s="23"/>
    </row>
    <row r="741" spans="2:11" ht="15">
      <c r="B741" s="19"/>
      <c r="C741" s="23"/>
      <c r="D741" s="23"/>
      <c r="E741" s="23"/>
      <c r="F741" s="23"/>
      <c r="G741" s="23"/>
      <c r="H741" s="23"/>
      <c r="I741" s="23"/>
      <c r="J741" s="23"/>
      <c r="K741" s="23"/>
    </row>
    <row r="742" spans="2:11" ht="15">
      <c r="B742" s="14"/>
      <c r="C742" s="23"/>
      <c r="D742" s="23"/>
      <c r="E742" s="23"/>
      <c r="F742" s="23"/>
      <c r="G742" s="23"/>
      <c r="H742" s="23"/>
      <c r="I742" s="23"/>
      <c r="J742" s="23"/>
      <c r="K742" s="23"/>
    </row>
    <row r="743" spans="2:11" ht="15">
      <c r="B743" s="14"/>
      <c r="C743" s="23"/>
      <c r="D743" s="23"/>
      <c r="E743" s="23"/>
      <c r="F743" s="23"/>
      <c r="G743" s="23"/>
      <c r="H743" s="23"/>
      <c r="I743" s="23"/>
      <c r="J743" s="23"/>
      <c r="K743" s="23"/>
    </row>
    <row r="744" spans="2:11" ht="15">
      <c r="B744" s="14"/>
      <c r="C744" s="23"/>
      <c r="D744" s="23"/>
      <c r="E744" s="23"/>
      <c r="F744" s="23"/>
      <c r="G744" s="23"/>
      <c r="H744" s="23"/>
      <c r="I744" s="23"/>
      <c r="J744" s="23"/>
      <c r="K744" s="23"/>
    </row>
    <row r="745" spans="2:11" ht="15">
      <c r="B745" s="14"/>
      <c r="C745" s="23"/>
      <c r="D745" s="23"/>
      <c r="E745" s="23"/>
      <c r="F745" s="23"/>
      <c r="G745" s="23"/>
      <c r="H745" s="23"/>
      <c r="I745" s="23"/>
      <c r="J745" s="23"/>
      <c r="K745" s="23"/>
    </row>
    <row r="746" spans="2:11" ht="15">
      <c r="B746" s="14"/>
      <c r="C746" s="23"/>
      <c r="D746" s="23"/>
      <c r="E746" s="23"/>
      <c r="F746" s="23"/>
      <c r="G746" s="23"/>
      <c r="H746" s="23"/>
      <c r="I746" s="23"/>
      <c r="J746" s="23"/>
      <c r="K746" s="23"/>
    </row>
    <row r="747" spans="2:11" ht="15">
      <c r="B747" s="14"/>
      <c r="C747" s="23"/>
      <c r="D747" s="23"/>
      <c r="E747" s="23"/>
      <c r="F747" s="23"/>
      <c r="G747" s="23"/>
      <c r="H747" s="23"/>
      <c r="I747" s="23"/>
      <c r="J747" s="23"/>
      <c r="K747" s="23"/>
    </row>
    <row r="748" spans="2:11" ht="15">
      <c r="B748" s="14"/>
      <c r="C748" s="23"/>
      <c r="D748" s="23"/>
      <c r="E748" s="23"/>
      <c r="F748" s="23"/>
      <c r="G748" s="23"/>
      <c r="H748" s="23"/>
      <c r="I748" s="23"/>
      <c r="J748" s="23"/>
      <c r="K748" s="23"/>
    </row>
    <row r="749" spans="2:11" ht="15">
      <c r="B749" s="14"/>
      <c r="C749" s="23"/>
      <c r="D749" s="23"/>
      <c r="E749" s="23"/>
      <c r="F749" s="23"/>
      <c r="G749" s="23"/>
      <c r="H749" s="23"/>
      <c r="I749" s="23"/>
      <c r="J749" s="23"/>
      <c r="K749" s="23"/>
    </row>
    <row r="750" spans="2:11" ht="15">
      <c r="B750" s="14"/>
      <c r="C750" s="23"/>
      <c r="D750" s="23"/>
      <c r="E750" s="23"/>
      <c r="F750" s="23"/>
      <c r="G750" s="23"/>
      <c r="H750" s="23"/>
      <c r="I750" s="23"/>
      <c r="J750" s="23"/>
      <c r="K750" s="23"/>
    </row>
    <row r="751" spans="2:11" ht="15">
      <c r="B751" s="14"/>
      <c r="C751" s="23"/>
      <c r="D751" s="23"/>
      <c r="E751" s="23"/>
      <c r="F751" s="23"/>
      <c r="G751" s="23"/>
      <c r="H751" s="23"/>
      <c r="I751" s="23"/>
      <c r="J751" s="23"/>
      <c r="K751" s="23"/>
    </row>
    <row r="752" spans="2:11" ht="15">
      <c r="B752" s="14"/>
      <c r="C752" s="23"/>
      <c r="D752" s="23"/>
      <c r="E752" s="23"/>
      <c r="F752" s="23"/>
      <c r="G752" s="23"/>
      <c r="H752" s="23"/>
      <c r="I752" s="23"/>
      <c r="J752" s="23"/>
      <c r="K752" s="23"/>
    </row>
    <row r="754" spans="2:11" ht="18.75">
      <c r="B754" s="717"/>
      <c r="C754" s="717"/>
      <c r="D754" s="717"/>
      <c r="E754" s="717"/>
      <c r="F754" s="717"/>
      <c r="G754" s="717"/>
      <c r="H754" s="717"/>
      <c r="I754" s="717"/>
      <c r="J754" s="717"/>
      <c r="K754" s="31"/>
    </row>
    <row r="755" spans="2:11" ht="15">
      <c r="B755" s="32"/>
      <c r="C755" s="23"/>
      <c r="D755" s="23"/>
      <c r="E755" s="23"/>
      <c r="F755" s="23"/>
      <c r="G755" s="23"/>
      <c r="H755" s="23"/>
      <c r="I755" s="23"/>
      <c r="J755" s="23"/>
      <c r="K755" s="23"/>
    </row>
    <row r="756" spans="2:11">
      <c r="B756" s="719"/>
      <c r="C756" s="719"/>
      <c r="D756" s="719"/>
      <c r="E756" s="719"/>
      <c r="F756" s="719"/>
      <c r="G756" s="719"/>
      <c r="H756" s="719"/>
      <c r="I756" s="719"/>
      <c r="J756" s="719"/>
      <c r="K756" s="31"/>
    </row>
    <row r="757" spans="2:11" ht="18.75" customHeight="1">
      <c r="B757" s="719"/>
      <c r="C757" s="719"/>
      <c r="D757" s="719"/>
      <c r="E757" s="719"/>
      <c r="F757" s="719"/>
      <c r="G757" s="719"/>
      <c r="H757" s="719"/>
      <c r="I757" s="719"/>
      <c r="J757" s="719"/>
      <c r="K757" s="31"/>
    </row>
    <row r="758" spans="2:11" ht="15">
      <c r="B758" s="33"/>
      <c r="C758" s="34"/>
      <c r="D758" s="34"/>
      <c r="E758" s="34"/>
      <c r="F758" s="34"/>
      <c r="G758" s="34"/>
      <c r="H758" s="34"/>
      <c r="I758" s="23"/>
      <c r="J758" s="23"/>
      <c r="K758" s="23"/>
    </row>
    <row r="759" spans="2:11" ht="15">
      <c r="B759" s="35"/>
      <c r="C759" s="23"/>
      <c r="D759" s="36"/>
      <c r="E759" s="36"/>
      <c r="F759" s="26"/>
      <c r="G759" s="23"/>
      <c r="H759" s="23"/>
      <c r="I759" s="23"/>
      <c r="J759" s="23"/>
      <c r="K759" s="23"/>
    </row>
    <row r="760" spans="2:11" ht="15">
      <c r="B760" s="24"/>
      <c r="C760" s="26"/>
      <c r="D760" s="26"/>
      <c r="E760" s="26"/>
      <c r="F760" s="26"/>
      <c r="G760" s="26"/>
      <c r="H760" s="26"/>
      <c r="I760" s="26"/>
      <c r="J760" s="26"/>
      <c r="K760" s="26"/>
    </row>
    <row r="761" spans="2:11" ht="15">
      <c r="B761" s="14"/>
      <c r="C761" s="26"/>
      <c r="D761" s="26"/>
      <c r="E761" s="37"/>
      <c r="F761" s="37"/>
      <c r="G761" s="37"/>
      <c r="H761" s="37"/>
      <c r="I761" s="37"/>
      <c r="J761" s="37"/>
      <c r="K761" s="37"/>
    </row>
    <row r="762" spans="2:11" ht="15">
      <c r="B762" s="14"/>
      <c r="C762" s="26"/>
      <c r="D762" s="23"/>
      <c r="E762" s="23"/>
      <c r="F762" s="23"/>
      <c r="G762" s="23"/>
      <c r="H762" s="23"/>
      <c r="I762" s="23"/>
      <c r="J762" s="23"/>
      <c r="K762" s="23"/>
    </row>
    <row r="763" spans="2:11" ht="15">
      <c r="B763" s="38"/>
      <c r="C763" s="23"/>
      <c r="D763" s="23"/>
      <c r="E763" s="23"/>
      <c r="F763" s="23"/>
      <c r="G763" s="23"/>
      <c r="H763" s="23"/>
      <c r="I763" s="23"/>
      <c r="J763" s="23"/>
      <c r="K763" s="23"/>
    </row>
    <row r="764" spans="2:11" ht="15">
      <c r="B764" s="39"/>
      <c r="C764" s="23"/>
      <c r="D764" s="23"/>
      <c r="E764" s="23"/>
      <c r="F764" s="23"/>
      <c r="G764" s="23"/>
      <c r="H764" s="23"/>
      <c r="I764" s="23"/>
      <c r="J764" s="23"/>
      <c r="K764" s="23"/>
    </row>
    <row r="765" spans="2:11" ht="15">
      <c r="B765" s="40"/>
      <c r="C765" s="23"/>
      <c r="D765" s="23"/>
      <c r="E765" s="23"/>
      <c r="F765" s="23"/>
      <c r="G765" s="23"/>
      <c r="H765" s="23"/>
      <c r="I765" s="23"/>
      <c r="J765" s="23"/>
      <c r="K765" s="23"/>
    </row>
    <row r="766" spans="2:11" ht="15">
      <c r="B766" s="17"/>
      <c r="C766" s="23"/>
      <c r="D766" s="23"/>
      <c r="E766" s="23"/>
      <c r="F766" s="23"/>
      <c r="G766" s="23"/>
      <c r="H766" s="23"/>
      <c r="I766" s="23"/>
      <c r="J766" s="23"/>
      <c r="K766" s="23"/>
    </row>
    <row r="767" spans="2:11" ht="15">
      <c r="B767" s="14"/>
      <c r="C767" s="23"/>
      <c r="D767" s="23"/>
      <c r="E767" s="23"/>
      <c r="F767" s="23"/>
      <c r="G767" s="23"/>
      <c r="H767" s="23"/>
      <c r="I767" s="23"/>
      <c r="J767" s="23"/>
      <c r="K767" s="23"/>
    </row>
    <row r="768" spans="2:11" ht="15">
      <c r="B768" s="38"/>
      <c r="C768" s="23"/>
      <c r="D768" s="23"/>
      <c r="E768" s="23"/>
      <c r="F768" s="23"/>
      <c r="G768" s="23"/>
      <c r="H768" s="23"/>
      <c r="I768" s="23"/>
      <c r="J768" s="23"/>
      <c r="K768" s="23"/>
    </row>
    <row r="769" spans="2:11" ht="15">
      <c r="B769" s="16"/>
      <c r="C769" s="23"/>
      <c r="D769" s="23"/>
      <c r="E769" s="23"/>
      <c r="F769" s="23"/>
      <c r="G769" s="23"/>
      <c r="H769" s="23"/>
      <c r="I769" s="23"/>
      <c r="J769" s="23"/>
      <c r="K769" s="23"/>
    </row>
    <row r="770" spans="2:11" ht="15">
      <c r="B770" s="16"/>
      <c r="C770" s="23"/>
      <c r="D770" s="23"/>
      <c r="E770" s="23"/>
      <c r="F770" s="23"/>
      <c r="G770" s="23"/>
      <c r="H770" s="23"/>
      <c r="I770" s="23"/>
      <c r="J770" s="23"/>
      <c r="K770" s="23"/>
    </row>
    <row r="771" spans="2:11" ht="15">
      <c r="B771" s="17"/>
      <c r="C771" s="23"/>
      <c r="D771" s="23"/>
      <c r="E771" s="23"/>
      <c r="F771" s="23"/>
      <c r="G771" s="23"/>
      <c r="H771" s="23"/>
      <c r="I771" s="23"/>
      <c r="J771" s="23"/>
      <c r="K771" s="23"/>
    </row>
    <row r="772" spans="2:11" ht="15">
      <c r="B772" s="17"/>
      <c r="C772" s="23"/>
      <c r="D772" s="23"/>
      <c r="E772" s="23"/>
      <c r="F772" s="23"/>
      <c r="G772" s="23"/>
      <c r="H772" s="23"/>
      <c r="I772" s="23"/>
      <c r="J772" s="23"/>
      <c r="K772" s="23"/>
    </row>
    <row r="773" spans="2:11" ht="15">
      <c r="B773" s="18"/>
      <c r="C773" s="23"/>
      <c r="D773" s="23"/>
      <c r="E773" s="23"/>
      <c r="F773" s="23"/>
      <c r="G773" s="23"/>
      <c r="H773" s="23"/>
      <c r="I773" s="23"/>
      <c r="J773" s="23"/>
      <c r="K773" s="23"/>
    </row>
    <row r="774" spans="2:11" ht="15">
      <c r="B774" s="18"/>
      <c r="C774" s="23"/>
      <c r="D774" s="23"/>
      <c r="E774" s="23"/>
      <c r="F774" s="23"/>
      <c r="G774" s="23"/>
      <c r="H774" s="23"/>
      <c r="I774" s="23"/>
      <c r="J774" s="23"/>
      <c r="K774" s="23"/>
    </row>
    <row r="775" spans="2:11" ht="15">
      <c r="B775" s="38"/>
      <c r="C775" s="23"/>
      <c r="D775" s="23"/>
      <c r="E775" s="23"/>
      <c r="F775" s="23"/>
      <c r="G775" s="23"/>
      <c r="H775" s="23"/>
      <c r="I775" s="23"/>
      <c r="J775" s="23"/>
      <c r="K775" s="23"/>
    </row>
    <row r="776" spans="2:11" ht="15">
      <c r="B776" s="19"/>
      <c r="C776" s="23"/>
      <c r="D776" s="23"/>
      <c r="E776" s="23"/>
      <c r="F776" s="23"/>
      <c r="G776" s="23"/>
      <c r="H776" s="23"/>
      <c r="I776" s="23"/>
      <c r="J776" s="23"/>
      <c r="K776" s="23"/>
    </row>
    <row r="777" spans="2:11" ht="15">
      <c r="B777" s="19"/>
      <c r="C777" s="23"/>
      <c r="D777" s="23"/>
      <c r="E777" s="23"/>
      <c r="F777" s="23"/>
      <c r="G777" s="23"/>
      <c r="H777" s="23"/>
      <c r="I777" s="23"/>
      <c r="J777" s="23"/>
      <c r="K777" s="23"/>
    </row>
    <row r="778" spans="2:11" ht="15">
      <c r="B778" s="14"/>
      <c r="C778" s="23"/>
      <c r="D778" s="23"/>
      <c r="E778" s="23"/>
      <c r="F778" s="23"/>
      <c r="G778" s="23"/>
      <c r="H778" s="23"/>
      <c r="I778" s="23"/>
      <c r="J778" s="23"/>
      <c r="K778" s="23"/>
    </row>
    <row r="779" spans="2:11" ht="15">
      <c r="B779" s="14"/>
      <c r="C779" s="23"/>
      <c r="D779" s="23"/>
      <c r="E779" s="23"/>
      <c r="F779" s="23"/>
      <c r="G779" s="23"/>
      <c r="H779" s="23"/>
      <c r="I779" s="23"/>
      <c r="J779" s="23"/>
      <c r="K779" s="23"/>
    </row>
    <row r="780" spans="2:11" ht="15">
      <c r="B780" s="14"/>
      <c r="C780" s="23"/>
      <c r="D780" s="23"/>
      <c r="E780" s="23"/>
      <c r="F780" s="23"/>
      <c r="G780" s="23"/>
      <c r="H780" s="23"/>
      <c r="I780" s="23"/>
      <c r="J780" s="23"/>
      <c r="K780" s="23"/>
    </row>
    <row r="781" spans="2:11" ht="15">
      <c r="B781" s="14"/>
      <c r="C781" s="23"/>
      <c r="D781" s="23"/>
      <c r="E781" s="23"/>
      <c r="F781" s="23"/>
      <c r="G781" s="23"/>
      <c r="H781" s="23"/>
      <c r="I781" s="23"/>
      <c r="J781" s="23"/>
      <c r="K781" s="23"/>
    </row>
    <row r="782" spans="2:11" ht="15">
      <c r="B782" s="14"/>
      <c r="C782" s="23"/>
      <c r="D782" s="23"/>
      <c r="E782" s="23"/>
      <c r="F782" s="23"/>
      <c r="G782" s="23"/>
      <c r="H782" s="23"/>
      <c r="I782" s="23"/>
      <c r="J782" s="23"/>
      <c r="K782" s="23"/>
    </row>
    <row r="783" spans="2:11" ht="15">
      <c r="B783" s="14"/>
      <c r="C783" s="23"/>
      <c r="D783" s="23"/>
      <c r="E783" s="23"/>
      <c r="F783" s="23"/>
      <c r="G783" s="23"/>
      <c r="H783" s="23"/>
      <c r="I783" s="23"/>
      <c r="J783" s="23"/>
      <c r="K783" s="23"/>
    </row>
    <row r="784" spans="2:11" ht="15">
      <c r="B784" s="14"/>
      <c r="C784" s="23"/>
      <c r="D784" s="23"/>
      <c r="E784" s="23"/>
      <c r="F784" s="23"/>
      <c r="G784" s="23"/>
      <c r="H784" s="23"/>
      <c r="I784" s="23"/>
      <c r="J784" s="23"/>
      <c r="K784" s="23"/>
    </row>
    <row r="785" spans="2:11" ht="15">
      <c r="B785" s="14"/>
      <c r="C785" s="23"/>
      <c r="D785" s="23"/>
      <c r="E785" s="23"/>
      <c r="F785" s="23"/>
      <c r="G785" s="23"/>
      <c r="H785" s="23"/>
      <c r="I785" s="23"/>
      <c r="J785" s="23"/>
      <c r="K785" s="23"/>
    </row>
    <row r="786" spans="2:11" ht="15">
      <c r="B786" s="14"/>
      <c r="C786" s="23"/>
      <c r="D786" s="23"/>
      <c r="E786" s="23"/>
      <c r="F786" s="23"/>
      <c r="G786" s="23"/>
      <c r="H786" s="23"/>
      <c r="I786" s="23"/>
      <c r="J786" s="23"/>
      <c r="K786" s="23"/>
    </row>
    <row r="787" spans="2:11" ht="15">
      <c r="B787" s="14"/>
      <c r="C787" s="23"/>
      <c r="D787" s="23"/>
      <c r="E787" s="23"/>
      <c r="F787" s="23"/>
      <c r="G787" s="23"/>
      <c r="H787" s="23"/>
      <c r="I787" s="23"/>
      <c r="J787" s="23"/>
      <c r="K787" s="23"/>
    </row>
    <row r="788" spans="2:11" ht="15">
      <c r="B788" s="14"/>
      <c r="C788" s="23"/>
      <c r="D788" s="23"/>
      <c r="E788" s="23"/>
      <c r="F788" s="23"/>
      <c r="G788" s="23"/>
      <c r="H788" s="23"/>
      <c r="I788" s="23"/>
      <c r="J788" s="23"/>
      <c r="K788" s="23"/>
    </row>
    <row r="789" spans="2:11" ht="15">
      <c r="B789" s="14"/>
      <c r="C789" s="23"/>
      <c r="D789" s="23"/>
      <c r="E789" s="23"/>
      <c r="F789" s="23"/>
      <c r="G789" s="23"/>
      <c r="H789" s="23"/>
      <c r="I789" s="23"/>
      <c r="J789" s="23"/>
      <c r="K789" s="23"/>
    </row>
    <row r="790" spans="2:11" ht="15">
      <c r="B790" s="14"/>
      <c r="C790" s="23"/>
      <c r="D790" s="23"/>
      <c r="E790" s="23"/>
      <c r="F790" s="23"/>
      <c r="G790" s="23"/>
      <c r="H790" s="23"/>
      <c r="I790" s="23"/>
      <c r="J790" s="23"/>
      <c r="K790" s="23"/>
    </row>
    <row r="791" spans="2:11" ht="18.75">
      <c r="B791" s="717"/>
      <c r="C791" s="717"/>
      <c r="D791" s="717"/>
      <c r="E791" s="717"/>
      <c r="F791" s="717"/>
      <c r="G791" s="717"/>
      <c r="H791" s="717"/>
      <c r="I791" s="717"/>
      <c r="J791" s="717"/>
      <c r="K791" s="31"/>
    </row>
    <row r="792" spans="2:11" ht="15">
      <c r="B792" s="32"/>
      <c r="C792" s="23"/>
      <c r="D792" s="23"/>
      <c r="E792" s="23"/>
      <c r="F792" s="23"/>
      <c r="G792" s="23"/>
      <c r="H792" s="23"/>
      <c r="I792" s="23"/>
      <c r="J792" s="23"/>
      <c r="K792" s="23"/>
    </row>
    <row r="793" spans="2:11" ht="15">
      <c r="B793" s="719"/>
      <c r="C793" s="719"/>
      <c r="D793" s="719"/>
      <c r="E793" s="719"/>
      <c r="F793" s="719"/>
      <c r="G793" s="719"/>
      <c r="H793" s="719"/>
      <c r="I793" s="719"/>
      <c r="J793" s="719"/>
      <c r="K793" s="31"/>
    </row>
    <row r="794" spans="2:11" ht="15">
      <c r="B794" s="33"/>
      <c r="C794" s="34"/>
      <c r="D794" s="34"/>
      <c r="E794" s="34"/>
      <c r="F794" s="34"/>
      <c r="G794" s="34"/>
      <c r="H794" s="34"/>
      <c r="I794" s="23"/>
      <c r="J794" s="23"/>
      <c r="K794" s="23"/>
    </row>
    <row r="795" spans="2:11" ht="15">
      <c r="B795" s="35"/>
      <c r="C795" s="23"/>
      <c r="D795" s="26"/>
      <c r="E795" s="23"/>
      <c r="F795" s="26"/>
      <c r="G795" s="23"/>
      <c r="H795" s="23"/>
      <c r="I795" s="23"/>
      <c r="J795" s="23"/>
      <c r="K795" s="23"/>
    </row>
    <row r="796" spans="2:11" ht="15">
      <c r="B796" s="24"/>
      <c r="C796" s="26"/>
      <c r="D796" s="26"/>
      <c r="E796" s="26"/>
      <c r="F796" s="26"/>
      <c r="G796" s="26"/>
      <c r="H796" s="26"/>
      <c r="I796" s="26"/>
      <c r="J796" s="26"/>
      <c r="K796" s="26"/>
    </row>
    <row r="797" spans="2:11" ht="15">
      <c r="B797" s="14"/>
      <c r="C797" s="26"/>
      <c r="D797" s="26"/>
      <c r="E797" s="37"/>
      <c r="F797" s="37"/>
      <c r="G797" s="37"/>
      <c r="H797" s="37"/>
      <c r="I797" s="37"/>
      <c r="J797" s="37"/>
      <c r="K797" s="37"/>
    </row>
    <row r="798" spans="2:11" ht="15">
      <c r="B798" s="14"/>
      <c r="C798" s="26"/>
      <c r="D798" s="23"/>
      <c r="E798" s="23"/>
      <c r="F798" s="23"/>
      <c r="G798" s="23"/>
      <c r="H798" s="23"/>
      <c r="I798" s="23"/>
      <c r="J798" s="23"/>
      <c r="K798" s="23"/>
    </row>
    <row r="799" spans="2:11" ht="15">
      <c r="B799" s="38"/>
      <c r="C799" s="23"/>
      <c r="D799" s="23"/>
      <c r="E799" s="23"/>
      <c r="F799" s="23"/>
      <c r="G799" s="23"/>
      <c r="H799" s="23"/>
      <c r="I799" s="23"/>
      <c r="J799" s="23"/>
      <c r="K799" s="23"/>
    </row>
    <row r="800" spans="2:11" ht="15">
      <c r="B800" s="39"/>
      <c r="C800" s="23"/>
      <c r="D800" s="23"/>
      <c r="E800" s="23"/>
      <c r="F800" s="23"/>
      <c r="G800" s="23"/>
      <c r="H800" s="23"/>
      <c r="I800" s="23"/>
      <c r="J800" s="23"/>
      <c r="K800" s="23"/>
    </row>
    <row r="801" spans="2:11" ht="15">
      <c r="B801" s="40"/>
      <c r="C801" s="23"/>
      <c r="D801" s="23"/>
      <c r="E801" s="23"/>
      <c r="F801" s="23"/>
      <c r="G801" s="23"/>
      <c r="H801" s="23"/>
      <c r="I801" s="23"/>
      <c r="J801" s="23"/>
      <c r="K801" s="23"/>
    </row>
    <row r="802" spans="2:11" ht="15">
      <c r="B802" s="17"/>
      <c r="C802" s="23"/>
      <c r="D802" s="23"/>
      <c r="E802" s="23"/>
      <c r="F802" s="23"/>
      <c r="G802" s="23"/>
      <c r="H802" s="23"/>
      <c r="I802" s="23"/>
      <c r="J802" s="23"/>
      <c r="K802" s="23"/>
    </row>
    <row r="803" spans="2:11" ht="15">
      <c r="B803" s="14"/>
      <c r="C803" s="23"/>
      <c r="D803" s="23"/>
      <c r="E803" s="23"/>
      <c r="F803" s="23"/>
      <c r="G803" s="23"/>
      <c r="H803" s="23"/>
      <c r="I803" s="23"/>
      <c r="J803" s="23"/>
      <c r="K803" s="23"/>
    </row>
    <row r="804" spans="2:11" ht="15">
      <c r="B804" s="38"/>
      <c r="C804" s="23"/>
      <c r="D804" s="23"/>
      <c r="E804" s="23"/>
      <c r="F804" s="23"/>
      <c r="G804" s="23"/>
      <c r="H804" s="23"/>
      <c r="I804" s="23"/>
      <c r="J804" s="23"/>
      <c r="K804" s="23"/>
    </row>
    <row r="805" spans="2:11" ht="15">
      <c r="B805" s="16"/>
      <c r="C805" s="23"/>
      <c r="D805" s="23"/>
      <c r="E805" s="23"/>
      <c r="F805" s="23"/>
      <c r="G805" s="23"/>
      <c r="H805" s="23"/>
      <c r="I805" s="23"/>
      <c r="J805" s="23"/>
      <c r="K805" s="23"/>
    </row>
    <row r="806" spans="2:11" ht="15">
      <c r="B806" s="16"/>
      <c r="C806" s="23"/>
      <c r="D806" s="23"/>
      <c r="E806" s="23"/>
      <c r="F806" s="23"/>
      <c r="G806" s="23"/>
      <c r="H806" s="23"/>
      <c r="I806" s="23"/>
      <c r="J806" s="23"/>
      <c r="K806" s="23"/>
    </row>
    <row r="807" spans="2:11" ht="15">
      <c r="B807" s="17"/>
      <c r="C807" s="23"/>
      <c r="D807" s="23"/>
      <c r="E807" s="23"/>
      <c r="F807" s="23"/>
      <c r="G807" s="23"/>
      <c r="H807" s="23"/>
      <c r="I807" s="23"/>
      <c r="J807" s="23"/>
      <c r="K807" s="23"/>
    </row>
    <row r="808" spans="2:11" ht="15">
      <c r="B808" s="17"/>
      <c r="C808" s="23"/>
      <c r="D808" s="23"/>
      <c r="E808" s="23"/>
      <c r="F808" s="23"/>
      <c r="G808" s="23"/>
      <c r="H808" s="23"/>
      <c r="I808" s="23"/>
      <c r="J808" s="23"/>
      <c r="K808" s="23"/>
    </row>
    <row r="809" spans="2:11" ht="15">
      <c r="B809" s="18"/>
      <c r="C809" s="23"/>
      <c r="D809" s="23"/>
      <c r="E809" s="23"/>
      <c r="F809" s="23"/>
      <c r="G809" s="23"/>
      <c r="H809" s="23"/>
      <c r="I809" s="23"/>
      <c r="J809" s="23"/>
      <c r="K809" s="23"/>
    </row>
    <row r="810" spans="2:11" ht="15">
      <c r="B810" s="18"/>
      <c r="C810" s="23"/>
      <c r="D810" s="23"/>
      <c r="E810" s="23"/>
      <c r="F810" s="23"/>
      <c r="G810" s="23"/>
      <c r="H810" s="23"/>
      <c r="I810" s="23"/>
      <c r="J810" s="23"/>
      <c r="K810" s="23"/>
    </row>
    <row r="811" spans="2:11" ht="15">
      <c r="B811" s="38"/>
      <c r="C811" s="23"/>
      <c r="D811" s="23"/>
      <c r="E811" s="23"/>
      <c r="F811" s="23"/>
      <c r="G811" s="23"/>
      <c r="H811" s="23"/>
      <c r="I811" s="23"/>
      <c r="J811" s="23"/>
      <c r="K811" s="23"/>
    </row>
    <row r="812" spans="2:11" ht="15">
      <c r="B812" s="19"/>
      <c r="C812" s="23"/>
      <c r="D812" s="23"/>
      <c r="E812" s="23"/>
      <c r="F812" s="23"/>
      <c r="G812" s="23"/>
      <c r="H812" s="23"/>
      <c r="I812" s="23"/>
      <c r="J812" s="23"/>
      <c r="K812" s="23"/>
    </row>
    <row r="813" spans="2:11" ht="15">
      <c r="B813" s="19"/>
      <c r="C813" s="23"/>
      <c r="D813" s="23"/>
      <c r="E813" s="23"/>
      <c r="F813" s="23"/>
      <c r="G813" s="23"/>
      <c r="H813" s="23"/>
      <c r="I813" s="23"/>
      <c r="J813" s="23"/>
      <c r="K813" s="23"/>
    </row>
    <row r="814" spans="2:11" ht="15">
      <c r="B814" s="14"/>
      <c r="C814" s="23"/>
      <c r="D814" s="23"/>
      <c r="E814" s="23"/>
      <c r="F814" s="23"/>
      <c r="G814" s="23"/>
      <c r="H814" s="23"/>
      <c r="I814" s="23"/>
      <c r="J814" s="23"/>
      <c r="K814" s="23"/>
    </row>
    <row r="815" spans="2:11" ht="15">
      <c r="B815" s="14"/>
      <c r="C815" s="23"/>
      <c r="D815" s="23"/>
      <c r="E815" s="23"/>
      <c r="F815" s="23"/>
      <c r="G815" s="23"/>
      <c r="H815" s="23"/>
      <c r="I815" s="23"/>
      <c r="J815" s="23"/>
      <c r="K815" s="23"/>
    </row>
    <row r="816" spans="2:11" ht="15">
      <c r="B816" s="14"/>
      <c r="C816" s="23"/>
      <c r="D816" s="23"/>
      <c r="E816" s="23"/>
      <c r="F816" s="23"/>
      <c r="G816" s="23"/>
      <c r="H816" s="23"/>
      <c r="I816" s="23"/>
      <c r="J816" s="23"/>
      <c r="K816" s="23"/>
    </row>
    <row r="817" spans="2:11" ht="15">
      <c r="B817" s="14"/>
      <c r="C817" s="23"/>
      <c r="D817" s="23"/>
      <c r="E817" s="23"/>
      <c r="F817" s="23"/>
      <c r="G817" s="23"/>
      <c r="H817" s="23"/>
      <c r="I817" s="23"/>
      <c r="J817" s="23"/>
      <c r="K817" s="23"/>
    </row>
    <row r="818" spans="2:11" ht="15">
      <c r="B818" s="14"/>
      <c r="C818" s="23"/>
      <c r="D818" s="23"/>
      <c r="E818" s="23"/>
      <c r="F818" s="23"/>
      <c r="G818" s="23"/>
      <c r="H818" s="23"/>
      <c r="I818" s="23"/>
      <c r="J818" s="23"/>
      <c r="K818" s="23"/>
    </row>
    <row r="819" spans="2:11" ht="15">
      <c r="B819" s="14"/>
      <c r="C819" s="23"/>
      <c r="D819" s="23"/>
      <c r="E819" s="23"/>
      <c r="F819" s="23"/>
      <c r="G819" s="23"/>
      <c r="H819" s="23"/>
      <c r="I819" s="23"/>
      <c r="J819" s="23"/>
      <c r="K819" s="23"/>
    </row>
    <row r="820" spans="2:11" ht="15">
      <c r="B820" s="14"/>
      <c r="C820" s="23"/>
      <c r="D820" s="23"/>
      <c r="E820" s="23"/>
      <c r="F820" s="23"/>
      <c r="G820" s="23"/>
      <c r="H820" s="23"/>
      <c r="I820" s="23"/>
      <c r="J820" s="23"/>
      <c r="K820" s="23"/>
    </row>
    <row r="821" spans="2:11" ht="15">
      <c r="B821" s="14"/>
      <c r="C821" s="23"/>
      <c r="D821" s="23"/>
      <c r="E821" s="23"/>
      <c r="F821" s="23"/>
      <c r="G821" s="23"/>
      <c r="H821" s="23"/>
      <c r="I821" s="23"/>
      <c r="J821" s="23"/>
      <c r="K821" s="23"/>
    </row>
    <row r="822" spans="2:11" ht="15">
      <c r="B822" s="14"/>
      <c r="C822" s="23"/>
      <c r="D822" s="23"/>
      <c r="E822" s="23"/>
      <c r="F822" s="23"/>
      <c r="G822" s="23"/>
      <c r="H822" s="23"/>
      <c r="I822" s="23"/>
      <c r="J822" s="23"/>
      <c r="K822" s="23"/>
    </row>
    <row r="823" spans="2:11" ht="15">
      <c r="B823" s="14"/>
      <c r="C823" s="23"/>
      <c r="D823" s="23"/>
      <c r="E823" s="23"/>
      <c r="F823" s="23"/>
      <c r="G823" s="23"/>
      <c r="H823" s="23"/>
      <c r="I823" s="23"/>
      <c r="J823" s="23"/>
      <c r="K823" s="23"/>
    </row>
    <row r="824" spans="2:11" ht="15">
      <c r="B824" s="14"/>
      <c r="C824" s="23"/>
      <c r="D824" s="23"/>
      <c r="E824" s="23"/>
      <c r="F824" s="23"/>
      <c r="G824" s="23"/>
      <c r="H824" s="23"/>
      <c r="I824" s="23"/>
      <c r="J824" s="23"/>
      <c r="K824" s="23"/>
    </row>
    <row r="825" spans="2:11" ht="15">
      <c r="B825" s="14"/>
      <c r="C825" s="23"/>
      <c r="D825" s="23"/>
      <c r="E825" s="23"/>
      <c r="F825" s="23"/>
      <c r="G825" s="23"/>
      <c r="H825" s="23"/>
      <c r="I825" s="23"/>
      <c r="J825" s="23"/>
      <c r="K825" s="23"/>
    </row>
  </sheetData>
  <mergeCells count="42">
    <mergeCell ref="B555:J558"/>
    <mergeCell ref="B340:J340"/>
    <mergeCell ref="B67:K67"/>
    <mergeCell ref="B69:K70"/>
    <mergeCell ref="B98:K98"/>
    <mergeCell ref="B100:K101"/>
    <mergeCell ref="B342:J343"/>
    <mergeCell ref="B378:J378"/>
    <mergeCell ref="B380:J381"/>
    <mergeCell ref="B426:J426"/>
    <mergeCell ref="B428:J429"/>
    <mergeCell ref="B472:J472"/>
    <mergeCell ref="B474:J476"/>
    <mergeCell ref="B508:J508"/>
    <mergeCell ref="B510:J513"/>
    <mergeCell ref="B553:J553"/>
    <mergeCell ref="B793:J793"/>
    <mergeCell ref="B593:J593"/>
    <mergeCell ref="B595:J597"/>
    <mergeCell ref="B642:J642"/>
    <mergeCell ref="B644:J645"/>
    <mergeCell ref="B679:J679"/>
    <mergeCell ref="B681:J682"/>
    <mergeCell ref="B717:J717"/>
    <mergeCell ref="B719:J720"/>
    <mergeCell ref="B754:J754"/>
    <mergeCell ref="B756:J757"/>
    <mergeCell ref="B791:J791"/>
    <mergeCell ref="B265:J266"/>
    <mergeCell ref="B300:J300"/>
    <mergeCell ref="B302:J302"/>
    <mergeCell ref="B165:K165"/>
    <mergeCell ref="B167:K168"/>
    <mergeCell ref="B199:K199"/>
    <mergeCell ref="B201:K202"/>
    <mergeCell ref="B1:K1"/>
    <mergeCell ref="B3:K5"/>
    <mergeCell ref="B35:K35"/>
    <mergeCell ref="B37:K39"/>
    <mergeCell ref="B263:J263"/>
    <mergeCell ref="B132:K132"/>
    <mergeCell ref="B134:K137"/>
  </mergeCells>
  <pageMargins left="0" right="0" top="0.5" bottom="0.25" header="0" footer="0"/>
  <pageSetup scale="92" orientation="landscape" r:id="rId1"/>
  <rowBreaks count="21" manualBreakCount="21">
    <brk id="33" max="16383" man="1"/>
    <brk id="65" max="16383" man="1"/>
    <brk id="96" max="16383" man="1"/>
    <brk id="130" max="10" man="1"/>
    <brk id="163" max="10" man="1"/>
    <brk id="197" max="16383" man="1"/>
    <brk id="233" max="10" man="1"/>
    <brk id="261" max="16383" man="1"/>
    <brk id="299" max="16383" man="1"/>
    <brk id="338" max="16383" man="1"/>
    <brk id="376" max="16383" man="1"/>
    <brk id="424" max="16383" man="1"/>
    <brk id="470" max="16383" man="1"/>
    <brk id="506" max="16383" man="1"/>
    <brk id="551" max="16383" man="1"/>
    <brk id="591" max="16383" man="1"/>
    <brk id="640" max="16383" man="1"/>
    <brk id="677" max="16383" man="1"/>
    <brk id="715" max="16383" man="1"/>
    <brk id="752" max="16383" man="1"/>
    <brk id="789" max="16383" man="1"/>
  </rowBreaks>
  <drawing r:id="rId2"/>
</worksheet>
</file>

<file path=xl/worksheets/sheet6.xml><?xml version="1.0" encoding="utf-8"?>
<worksheet xmlns="http://schemas.openxmlformats.org/spreadsheetml/2006/main" xmlns:r="http://schemas.openxmlformats.org/officeDocument/2006/relationships">
  <dimension ref="A1:L84"/>
  <sheetViews>
    <sheetView zoomScaleNormal="100" zoomScaleSheetLayoutView="100" workbookViewId="0">
      <selection activeCell="G11" sqref="G11"/>
    </sheetView>
  </sheetViews>
  <sheetFormatPr defaultRowHeight="12.75"/>
  <cols>
    <col min="1" max="1" width="3.7109375" customWidth="1"/>
    <col min="2" max="2" width="33" customWidth="1"/>
    <col min="3" max="4" width="12.7109375" style="29" customWidth="1"/>
    <col min="5" max="11" width="12.7109375" style="30" customWidth="1"/>
    <col min="12" max="12" width="9.140625" style="148"/>
  </cols>
  <sheetData>
    <row r="1" spans="1:11" s="148" customFormat="1" ht="18.75">
      <c r="A1" s="170"/>
      <c r="B1" s="722" t="s">
        <v>1156</v>
      </c>
      <c r="C1" s="722"/>
      <c r="D1" s="722"/>
      <c r="E1" s="722"/>
      <c r="F1" s="722"/>
      <c r="G1" s="722"/>
      <c r="H1" s="722"/>
      <c r="I1" s="722"/>
      <c r="J1" s="722"/>
      <c r="K1" s="722"/>
    </row>
    <row r="2" spans="1:11" s="148" customFormat="1" ht="15" customHeight="1">
      <c r="A2" s="170"/>
      <c r="B2" s="72"/>
      <c r="C2" s="3"/>
      <c r="D2" s="2"/>
      <c r="E2" s="2"/>
      <c r="F2" s="2"/>
      <c r="G2" s="2"/>
      <c r="H2" s="2"/>
      <c r="I2" s="2"/>
      <c r="J2" s="2"/>
      <c r="K2" s="2"/>
    </row>
    <row r="3" spans="1:11" s="148" customFormat="1" ht="12.75" customHeight="1">
      <c r="A3" s="170"/>
      <c r="B3" s="715" t="s">
        <v>1481</v>
      </c>
      <c r="C3" s="715"/>
      <c r="D3" s="715"/>
      <c r="E3" s="715"/>
      <c r="F3" s="715"/>
      <c r="G3" s="715"/>
      <c r="H3" s="715"/>
      <c r="I3" s="715"/>
      <c r="J3" s="715"/>
      <c r="K3" s="715"/>
    </row>
    <row r="4" spans="1:11" s="148" customFormat="1" ht="12.75" customHeight="1">
      <c r="A4" s="170"/>
      <c r="B4" s="715"/>
      <c r="C4" s="715"/>
      <c r="D4" s="715"/>
      <c r="E4" s="715"/>
      <c r="F4" s="715"/>
      <c r="G4" s="715"/>
      <c r="H4" s="715"/>
      <c r="I4" s="715"/>
      <c r="J4" s="715"/>
      <c r="K4" s="715"/>
    </row>
    <row r="5" spans="1:11" s="148" customFormat="1" ht="12.75" customHeight="1">
      <c r="A5" s="170"/>
      <c r="B5" s="715"/>
      <c r="C5" s="715"/>
      <c r="D5" s="715"/>
      <c r="E5" s="715"/>
      <c r="F5" s="715"/>
      <c r="G5" s="715"/>
      <c r="H5" s="715"/>
      <c r="I5" s="715"/>
      <c r="J5" s="715"/>
      <c r="K5" s="715"/>
    </row>
    <row r="6" spans="1:11" s="148" customFormat="1" ht="15" customHeight="1">
      <c r="A6" s="170"/>
      <c r="B6" s="715"/>
      <c r="C6" s="715"/>
      <c r="D6" s="715"/>
      <c r="E6" s="715"/>
      <c r="F6" s="715"/>
      <c r="G6" s="715"/>
      <c r="H6" s="715"/>
      <c r="I6" s="715"/>
      <c r="J6" s="715"/>
      <c r="K6" s="715"/>
    </row>
    <row r="7" spans="1:11" s="148" customFormat="1" ht="12" customHeight="1">
      <c r="A7" s="170"/>
      <c r="B7" s="655"/>
      <c r="C7" s="25"/>
      <c r="D7" s="25"/>
      <c r="E7" s="25"/>
      <c r="F7" s="25"/>
      <c r="G7" s="25"/>
      <c r="H7" s="2"/>
      <c r="I7" s="2"/>
      <c r="J7" s="2"/>
      <c r="K7" s="2"/>
    </row>
    <row r="8" spans="1:11" s="148" customFormat="1" ht="15">
      <c r="A8" s="170"/>
      <c r="B8" s="5"/>
      <c r="C8" s="72"/>
      <c r="D8" s="73"/>
      <c r="E8" s="72" t="s">
        <v>283</v>
      </c>
      <c r="F8" s="1"/>
      <c r="G8" s="1"/>
      <c r="H8" s="1"/>
      <c r="I8" s="1"/>
      <c r="J8" s="1"/>
      <c r="K8" s="1"/>
    </row>
    <row r="9" spans="1:11" s="148" customFormat="1" ht="15">
      <c r="A9" s="170"/>
      <c r="B9" s="73"/>
      <c r="C9" s="72" t="s">
        <v>229</v>
      </c>
      <c r="D9" s="55" t="s">
        <v>282</v>
      </c>
      <c r="E9" s="73" t="s">
        <v>917</v>
      </c>
      <c r="F9" s="73" t="s">
        <v>283</v>
      </c>
      <c r="G9" s="73" t="s">
        <v>298</v>
      </c>
      <c r="H9" s="73" t="s">
        <v>299</v>
      </c>
      <c r="I9" s="73" t="s">
        <v>300</v>
      </c>
      <c r="J9" s="73" t="s">
        <v>1087</v>
      </c>
      <c r="K9" s="73" t="s">
        <v>1224</v>
      </c>
    </row>
    <row r="10" spans="1:11" s="148" customFormat="1" ht="15.75" thickBot="1">
      <c r="A10" s="170"/>
      <c r="B10" s="188"/>
      <c r="C10" s="75" t="s">
        <v>1</v>
      </c>
      <c r="D10" s="75" t="s">
        <v>1</v>
      </c>
      <c r="E10" s="75" t="s">
        <v>871</v>
      </c>
      <c r="F10" s="75" t="s">
        <v>20</v>
      </c>
      <c r="G10" s="75" t="s">
        <v>917</v>
      </c>
      <c r="H10" s="75" t="s">
        <v>20</v>
      </c>
      <c r="I10" s="75" t="s">
        <v>20</v>
      </c>
      <c r="J10" s="75" t="s">
        <v>20</v>
      </c>
      <c r="K10" s="75" t="s">
        <v>20</v>
      </c>
    </row>
    <row r="11" spans="1:11" s="148" customFormat="1" ht="7.5" customHeight="1">
      <c r="A11" s="170"/>
      <c r="B11" s="71"/>
      <c r="C11" s="189"/>
      <c r="D11" s="2"/>
      <c r="E11" s="2"/>
      <c r="F11" s="2"/>
      <c r="G11" s="2"/>
      <c r="H11" s="2"/>
      <c r="I11" s="2"/>
      <c r="J11" s="2"/>
      <c r="K11" s="2"/>
    </row>
    <row r="12" spans="1:11" s="148" customFormat="1" ht="15">
      <c r="A12" s="170"/>
      <c r="B12" s="177" t="s">
        <v>918</v>
      </c>
      <c r="C12" s="2"/>
      <c r="D12" s="2"/>
      <c r="E12" s="2"/>
      <c r="F12" s="2"/>
      <c r="G12" s="2"/>
      <c r="H12" s="2"/>
      <c r="I12" s="2"/>
      <c r="J12" s="2"/>
      <c r="K12" s="2"/>
    </row>
    <row r="13" spans="1:11" s="148" customFormat="1" ht="20.100000000000001" customHeight="1">
      <c r="A13" s="170"/>
      <c r="B13" s="688" t="s">
        <v>921</v>
      </c>
      <c r="C13" s="2">
        <f>SUM('Budget Detail FY 2012-19'!N465:N470)</f>
        <v>55000</v>
      </c>
      <c r="D13" s="2">
        <f>SUM('Budget Detail FY 2012-19'!O465:O470)</f>
        <v>84459</v>
      </c>
      <c r="E13" s="2">
        <f>SUM('Budget Detail FY 2012-19'!P465:P470)</f>
        <v>49275</v>
      </c>
      <c r="F13" s="2">
        <f>SUM('Budget Detail FY 2012-19'!Q465:Q470)</f>
        <v>61539</v>
      </c>
      <c r="G13" s="2">
        <f>SUM('Budget Detail FY 2012-19'!R465:R470)</f>
        <v>49275</v>
      </c>
      <c r="H13" s="2">
        <f>SUM('Budget Detail FY 2012-19'!S465:S470)</f>
        <v>49275</v>
      </c>
      <c r="I13" s="2">
        <f>SUM('Budget Detail FY 2012-19'!T465:T470)</f>
        <v>49275</v>
      </c>
      <c r="J13" s="2">
        <f>SUM('Budget Detail FY 2012-19'!U465:U470)</f>
        <v>49275</v>
      </c>
      <c r="K13" s="2">
        <f>SUM('Budget Detail FY 2012-19'!V465:V470)</f>
        <v>49275</v>
      </c>
    </row>
    <row r="14" spans="1:11" ht="20.100000000000001" customHeight="1">
      <c r="A14" s="170"/>
      <c r="B14" s="688" t="s">
        <v>922</v>
      </c>
      <c r="C14" s="2">
        <f>SUM('Budget Detail FY 2012-19'!N471:N473)</f>
        <v>6233</v>
      </c>
      <c r="D14" s="2">
        <f>SUM('Budget Detail FY 2012-19'!O471:O473)</f>
        <v>16739</v>
      </c>
      <c r="E14" s="2">
        <f>SUM('Budget Detail FY 2012-19'!P471:P473)</f>
        <v>8850</v>
      </c>
      <c r="F14" s="2">
        <f>SUM('Budget Detail FY 2012-19'!Q471:Q473)</f>
        <v>12750</v>
      </c>
      <c r="G14" s="2">
        <f>SUM('Budget Detail FY 2012-19'!R471:R473)</f>
        <v>10750</v>
      </c>
      <c r="H14" s="2">
        <f>SUM('Budget Detail FY 2012-19'!S471:S473)</f>
        <v>10750</v>
      </c>
      <c r="I14" s="2">
        <f>SUM('Budget Detail FY 2012-19'!T471:T473)</f>
        <v>10750</v>
      </c>
      <c r="J14" s="2">
        <f>SUM('Budget Detail FY 2012-19'!U471:U473)</f>
        <v>10750</v>
      </c>
      <c r="K14" s="2">
        <f>SUM('Budget Detail FY 2012-19'!V471:V473)</f>
        <v>10750</v>
      </c>
    </row>
    <row r="15" spans="1:11" ht="20.100000000000001" customHeight="1">
      <c r="A15" s="170"/>
      <c r="B15" s="688" t="s">
        <v>923</v>
      </c>
      <c r="C15" s="2">
        <f>SUM('Budget Detail FY 2012-19'!N474:N477)</f>
        <v>6040</v>
      </c>
      <c r="D15" s="2">
        <f>SUM('Budget Detail FY 2012-19'!O474:O477)</f>
        <v>6725</v>
      </c>
      <c r="E15" s="2">
        <f>SUM('Budget Detail FY 2012-19'!P474:P477)</f>
        <v>150150</v>
      </c>
      <c r="F15" s="2">
        <f>SUM('Budget Detail FY 2012-19'!Q474:Q477)</f>
        <v>153342</v>
      </c>
      <c r="G15" s="2">
        <f>SUM('Budget Detail FY 2012-19'!R474:R477)</f>
        <v>262078</v>
      </c>
      <c r="H15" s="2">
        <f>SUM('Budget Detail FY 2012-19'!S474:S477)</f>
        <v>161726</v>
      </c>
      <c r="I15" s="2">
        <f>SUM('Budget Detail FY 2012-19'!T474:T477)</f>
        <v>112232</v>
      </c>
      <c r="J15" s="2">
        <f>SUM('Budget Detail FY 2012-19'!U474:U477)</f>
        <v>112232</v>
      </c>
      <c r="K15" s="2">
        <f>SUM('Budget Detail FY 2012-19'!V474:V477)</f>
        <v>112232</v>
      </c>
    </row>
    <row r="16" spans="1:11" ht="20.100000000000001" customHeight="1">
      <c r="A16" s="170"/>
      <c r="B16" s="688" t="s">
        <v>924</v>
      </c>
      <c r="C16" s="2">
        <f>SUM('Budget Detail FY 2012-19'!N478:N480)</f>
        <v>405</v>
      </c>
      <c r="D16" s="2">
        <f>SUM('Budget Detail FY 2012-19'!O478:O480)</f>
        <v>567</v>
      </c>
      <c r="E16" s="2">
        <f>SUM('Budget Detail FY 2012-19'!P478:P480)</f>
        <v>475</v>
      </c>
      <c r="F16" s="2">
        <f>SUM('Budget Detail FY 2012-19'!Q478:Q480)</f>
        <v>450</v>
      </c>
      <c r="G16" s="2">
        <f>SUM('Budget Detail FY 2012-19'!R478:R480)</f>
        <v>450</v>
      </c>
      <c r="H16" s="2">
        <f>SUM('Budget Detail FY 2012-19'!S478:S480)</f>
        <v>450</v>
      </c>
      <c r="I16" s="2">
        <f>SUM('Budget Detail FY 2012-19'!T478:T480)</f>
        <v>450</v>
      </c>
      <c r="J16" s="2">
        <f>SUM('Budget Detail FY 2012-19'!U478:U480)</f>
        <v>450</v>
      </c>
      <c r="K16" s="2">
        <f>SUM('Budget Detail FY 2012-19'!V478:V480)</f>
        <v>450</v>
      </c>
    </row>
    <row r="17" spans="1:12" ht="20.100000000000001" customHeight="1">
      <c r="A17" s="170"/>
      <c r="B17" s="688" t="s">
        <v>925</v>
      </c>
      <c r="C17" s="2">
        <f>'Budget Detail FY 2012-19'!N481</f>
        <v>10702</v>
      </c>
      <c r="D17" s="2">
        <f>'Budget Detail FY 2012-19'!O481</f>
        <v>0</v>
      </c>
      <c r="E17" s="2">
        <f>'Budget Detail FY 2012-19'!P481</f>
        <v>50000</v>
      </c>
      <c r="F17" s="2">
        <f>'Budget Detail FY 2012-19'!Q481</f>
        <v>50000</v>
      </c>
      <c r="G17" s="2">
        <f>'Budget Detail FY 2012-19'!R481</f>
        <v>50000</v>
      </c>
      <c r="H17" s="2">
        <f>'Budget Detail FY 2012-19'!S481</f>
        <v>50000</v>
      </c>
      <c r="I17" s="2">
        <f>'Budget Detail FY 2012-19'!T481</f>
        <v>0</v>
      </c>
      <c r="J17" s="2">
        <f>'Budget Detail FY 2012-19'!U481</f>
        <v>0</v>
      </c>
      <c r="K17" s="2">
        <f>'Budget Detail FY 2012-19'!V481</f>
        <v>0</v>
      </c>
    </row>
    <row r="18" spans="1:12" ht="20.100000000000001" customHeight="1">
      <c r="A18" s="170"/>
      <c r="B18" s="688" t="s">
        <v>926</v>
      </c>
      <c r="C18" s="2">
        <f>SUM('Budget Detail FY 2012-19'!N482:N483)</f>
        <v>0</v>
      </c>
      <c r="D18" s="2">
        <f>SUM('Budget Detail FY 2012-19'!O482:O483)</f>
        <v>966</v>
      </c>
      <c r="E18" s="2">
        <f>SUM('Budget Detail FY 2012-19'!P482:P483)</f>
        <v>0</v>
      </c>
      <c r="F18" s="2">
        <f>SUM('Budget Detail FY 2012-19'!Q482:Q483)</f>
        <v>448</v>
      </c>
      <c r="G18" s="2">
        <f>SUM('Budget Detail FY 2012-19'!R482:R483)</f>
        <v>1000</v>
      </c>
      <c r="H18" s="2">
        <f>SUM('Budget Detail FY 2012-19'!S482:S483)</f>
        <v>1000</v>
      </c>
      <c r="I18" s="2">
        <f>SUM('Budget Detail FY 2012-19'!T482:T483)</f>
        <v>1000</v>
      </c>
      <c r="J18" s="2">
        <f>SUM('Budget Detail FY 2012-19'!U482:U483)</f>
        <v>1000</v>
      </c>
      <c r="K18" s="2">
        <f>SUM('Budget Detail FY 2012-19'!V482:V483)</f>
        <v>1000</v>
      </c>
    </row>
    <row r="19" spans="1:12" ht="20.100000000000001" customHeight="1">
      <c r="A19" s="170"/>
      <c r="B19" s="688" t="s">
        <v>927</v>
      </c>
      <c r="C19" s="2">
        <f>SUM('Budget Detail FY 2012-19'!N484:N487)</f>
        <v>19600</v>
      </c>
      <c r="D19" s="2">
        <f>SUM('Budget Detail FY 2012-19'!O484:O487)</f>
        <v>2700</v>
      </c>
      <c r="E19" s="2">
        <f>SUM('Budget Detail FY 2012-19'!P484:P487)</f>
        <v>1000</v>
      </c>
      <c r="F19" s="2">
        <f>SUM('Budget Detail FY 2012-19'!Q484:Q487)</f>
        <v>7825</v>
      </c>
      <c r="G19" s="2">
        <f>SUM('Budget Detail FY 2012-19'!R484:R487)</f>
        <v>61000</v>
      </c>
      <c r="H19" s="2">
        <f>SUM('Budget Detail FY 2012-19'!S484:S487)</f>
        <v>1000</v>
      </c>
      <c r="I19" s="2">
        <f>SUM('Budget Detail FY 2012-19'!T484:T487)</f>
        <v>1000</v>
      </c>
      <c r="J19" s="2">
        <f>SUM('Budget Detail FY 2012-19'!U484:U487)</f>
        <v>1000</v>
      </c>
      <c r="K19" s="2">
        <f>SUM('Budget Detail FY 2012-19'!V484:V487)</f>
        <v>1000</v>
      </c>
    </row>
    <row r="20" spans="1:12" ht="20.100000000000001" customHeight="1" thickBot="1">
      <c r="A20" s="170"/>
      <c r="B20" s="172" t="s">
        <v>928</v>
      </c>
      <c r="C20" s="169">
        <f>SUM(C13:C19)</f>
        <v>97980</v>
      </c>
      <c r="D20" s="169">
        <f t="shared" ref="D20:K20" si="0">SUM(D13:D19)</f>
        <v>112156</v>
      </c>
      <c r="E20" s="169">
        <f t="shared" si="0"/>
        <v>259750</v>
      </c>
      <c r="F20" s="169">
        <f t="shared" si="0"/>
        <v>286354</v>
      </c>
      <c r="G20" s="169">
        <f t="shared" si="0"/>
        <v>434553</v>
      </c>
      <c r="H20" s="169">
        <f t="shared" si="0"/>
        <v>274201</v>
      </c>
      <c r="I20" s="169">
        <f t="shared" si="0"/>
        <v>174707</v>
      </c>
      <c r="J20" s="169">
        <f t="shared" si="0"/>
        <v>174707</v>
      </c>
      <c r="K20" s="169">
        <f t="shared" si="0"/>
        <v>174707</v>
      </c>
      <c r="L20" s="556"/>
    </row>
    <row r="21" spans="1:12" s="141" customFormat="1" ht="15" hidden="1">
      <c r="A21" s="173"/>
      <c r="B21" s="174"/>
      <c r="C21" s="146">
        <f>'Budget Detail FY 2012-19'!N489</f>
        <v>97980</v>
      </c>
      <c r="D21" s="146">
        <f>'Budget Detail FY 2012-19'!O489</f>
        <v>112156</v>
      </c>
      <c r="E21" s="146">
        <f>'Budget Detail FY 2012-19'!P489</f>
        <v>259750</v>
      </c>
      <c r="F21" s="146">
        <f>'Budget Detail FY 2012-19'!Q489</f>
        <v>286354</v>
      </c>
      <c r="G21" s="146">
        <f>'Budget Detail FY 2012-19'!R489</f>
        <v>434553</v>
      </c>
      <c r="H21" s="146">
        <f>'Budget Detail FY 2012-19'!S489</f>
        <v>274201</v>
      </c>
      <c r="I21" s="146">
        <f>'Budget Detail FY 2012-19'!T489</f>
        <v>174707</v>
      </c>
      <c r="J21" s="146">
        <f>'Budget Detail FY 2012-19'!U489</f>
        <v>174707</v>
      </c>
      <c r="K21" s="146">
        <f>'Budget Detail FY 2012-19'!V489</f>
        <v>174707</v>
      </c>
      <c r="L21" s="149" t="s">
        <v>1299</v>
      </c>
    </row>
    <row r="22" spans="1:12" s="144" customFormat="1" ht="14.25" hidden="1">
      <c r="A22" s="175"/>
      <c r="B22" s="176"/>
      <c r="C22" s="147">
        <f>C20-C21</f>
        <v>0</v>
      </c>
      <c r="D22" s="147">
        <f t="shared" ref="D22:K22" si="1">D20-D21</f>
        <v>0</v>
      </c>
      <c r="E22" s="147">
        <f t="shared" si="1"/>
        <v>0</v>
      </c>
      <c r="F22" s="147">
        <f t="shared" si="1"/>
        <v>0</v>
      </c>
      <c r="G22" s="147">
        <f t="shared" si="1"/>
        <v>0</v>
      </c>
      <c r="H22" s="147">
        <f t="shared" si="1"/>
        <v>0</v>
      </c>
      <c r="I22" s="147">
        <f t="shared" si="1"/>
        <v>0</v>
      </c>
      <c r="J22" s="147">
        <f t="shared" si="1"/>
        <v>0</v>
      </c>
      <c r="K22" s="147">
        <f t="shared" si="1"/>
        <v>0</v>
      </c>
      <c r="L22" s="150" t="s">
        <v>1300</v>
      </c>
    </row>
    <row r="23" spans="1:12" ht="7.5" customHeight="1">
      <c r="A23" s="170"/>
      <c r="B23" s="1"/>
      <c r="C23" s="2"/>
      <c r="D23" s="2"/>
      <c r="E23" s="2"/>
      <c r="F23" s="2"/>
      <c r="G23" s="2"/>
      <c r="H23" s="2"/>
      <c r="I23" s="2"/>
      <c r="J23" s="2"/>
      <c r="K23" s="2"/>
    </row>
    <row r="24" spans="1:12" ht="15">
      <c r="A24" s="170"/>
      <c r="B24" s="177" t="s">
        <v>1160</v>
      </c>
      <c r="C24" s="2"/>
      <c r="D24" s="2"/>
      <c r="E24" s="2"/>
      <c r="F24" s="2"/>
      <c r="G24" s="2"/>
      <c r="H24" s="2"/>
      <c r="I24" s="2"/>
      <c r="J24" s="2"/>
      <c r="K24" s="2"/>
    </row>
    <row r="25" spans="1:12" ht="20.100000000000001" customHeight="1">
      <c r="A25" s="170"/>
      <c r="B25" s="689" t="s">
        <v>931</v>
      </c>
      <c r="C25" s="2">
        <f>SUM('Budget Detail FY 2012-19'!N492:N494)</f>
        <v>2647</v>
      </c>
      <c r="D25" s="2">
        <f>SUM('Budget Detail FY 2012-19'!O492:O494)</f>
        <v>17710</v>
      </c>
      <c r="E25" s="2">
        <f>SUM('Budget Detail FY 2012-19'!P492:P494)</f>
        <v>11667</v>
      </c>
      <c r="F25" s="2">
        <f>SUM('Budget Detail FY 2012-19'!Q492:Q494)</f>
        <v>11667</v>
      </c>
      <c r="G25" s="2">
        <f>SUM('Budget Detail FY 2012-19'!R492:R494)</f>
        <v>17667</v>
      </c>
      <c r="H25" s="2">
        <f>SUM('Budget Detail FY 2012-19'!S492:S494)</f>
        <v>17667</v>
      </c>
      <c r="I25" s="2">
        <f>SUM('Budget Detail FY 2012-19'!T492:T494)</f>
        <v>17667</v>
      </c>
      <c r="J25" s="2">
        <f>SUM('Budget Detail FY 2012-19'!U492:U494)</f>
        <v>17667</v>
      </c>
      <c r="K25" s="2">
        <f>SUM('Budget Detail FY 2012-19'!V492:V494)</f>
        <v>17667</v>
      </c>
    </row>
    <row r="26" spans="1:12" ht="20.100000000000001" customHeight="1">
      <c r="A26" s="170"/>
      <c r="B26" s="689" t="s">
        <v>933</v>
      </c>
      <c r="C26" s="2">
        <f>SUM('Budget Detail FY 2012-19'!N495:N496)</f>
        <v>0</v>
      </c>
      <c r="D26" s="2">
        <f>SUM('Budget Detail FY 2012-19'!O495:O496)</f>
        <v>145176</v>
      </c>
      <c r="E26" s="2">
        <f>SUM('Budget Detail FY 2012-19'!P495:P496)</f>
        <v>93000</v>
      </c>
      <c r="F26" s="2">
        <f>SUM('Budget Detail FY 2012-19'!Q495:Q496)</f>
        <v>93000</v>
      </c>
      <c r="G26" s="2">
        <f>SUM('Budget Detail FY 2012-19'!R495:R496)</f>
        <v>110000</v>
      </c>
      <c r="H26" s="2">
        <f>SUM('Budget Detail FY 2012-19'!S495:S496)</f>
        <v>107500</v>
      </c>
      <c r="I26" s="2">
        <f>SUM('Budget Detail FY 2012-19'!T495:T496)</f>
        <v>75000</v>
      </c>
      <c r="J26" s="2">
        <f>SUM('Budget Detail FY 2012-19'!U495:U496)</f>
        <v>75000</v>
      </c>
      <c r="K26" s="2">
        <f>SUM('Budget Detail FY 2012-19'!V495:V496)</f>
        <v>75000</v>
      </c>
    </row>
    <row r="27" spans="1:12" ht="20.100000000000001" customHeight="1" thickBot="1">
      <c r="A27" s="170"/>
      <c r="B27" s="172" t="s">
        <v>1165</v>
      </c>
      <c r="C27" s="197">
        <f t="shared" ref="C27:K27" si="2">SUM(C25:C26)</f>
        <v>2647</v>
      </c>
      <c r="D27" s="197">
        <f t="shared" si="2"/>
        <v>162886</v>
      </c>
      <c r="E27" s="197">
        <f t="shared" si="2"/>
        <v>104667</v>
      </c>
      <c r="F27" s="197">
        <f t="shared" si="2"/>
        <v>104667</v>
      </c>
      <c r="G27" s="197">
        <f t="shared" si="2"/>
        <v>127667</v>
      </c>
      <c r="H27" s="197">
        <f t="shared" si="2"/>
        <v>125167</v>
      </c>
      <c r="I27" s="197">
        <f t="shared" si="2"/>
        <v>92667</v>
      </c>
      <c r="J27" s="197">
        <f t="shared" si="2"/>
        <v>92667</v>
      </c>
      <c r="K27" s="197">
        <f t="shared" si="2"/>
        <v>92667</v>
      </c>
      <c r="L27" s="556"/>
    </row>
    <row r="28" spans="1:12" s="141" customFormat="1" ht="15" hidden="1">
      <c r="A28" s="173"/>
      <c r="B28" s="174"/>
      <c r="C28" s="146">
        <f>'Budget Detail FY 2012-19'!N497</f>
        <v>2647</v>
      </c>
      <c r="D28" s="146">
        <f>'Budget Detail FY 2012-19'!O497</f>
        <v>162886</v>
      </c>
      <c r="E28" s="146">
        <f>'Budget Detail FY 2012-19'!P497</f>
        <v>104667</v>
      </c>
      <c r="F28" s="146">
        <f>'Budget Detail FY 2012-19'!Q497</f>
        <v>104667</v>
      </c>
      <c r="G28" s="146">
        <f>'Budget Detail FY 2012-19'!R497</f>
        <v>127667</v>
      </c>
      <c r="H28" s="146">
        <f>'Budget Detail FY 2012-19'!S497</f>
        <v>125167</v>
      </c>
      <c r="I28" s="146">
        <f>'Budget Detail FY 2012-19'!T497</f>
        <v>92667</v>
      </c>
      <c r="J28" s="146">
        <f>'Budget Detail FY 2012-19'!U497</f>
        <v>92667</v>
      </c>
      <c r="K28" s="146">
        <f>'Budget Detail FY 2012-19'!V497</f>
        <v>92667</v>
      </c>
      <c r="L28" s="149" t="s">
        <v>1299</v>
      </c>
    </row>
    <row r="29" spans="1:12" s="144" customFormat="1" ht="15" hidden="1">
      <c r="A29" s="175"/>
      <c r="B29" s="176"/>
      <c r="C29" s="182">
        <f>C27-C28</f>
        <v>0</v>
      </c>
      <c r="D29" s="182">
        <f t="shared" ref="D29:K29" si="3">D27-D28</f>
        <v>0</v>
      </c>
      <c r="E29" s="182">
        <f t="shared" si="3"/>
        <v>0</v>
      </c>
      <c r="F29" s="182">
        <f t="shared" si="3"/>
        <v>0</v>
      </c>
      <c r="G29" s="182">
        <f t="shared" si="3"/>
        <v>0</v>
      </c>
      <c r="H29" s="182">
        <f t="shared" si="3"/>
        <v>0</v>
      </c>
      <c r="I29" s="182">
        <f t="shared" si="3"/>
        <v>0</v>
      </c>
      <c r="J29" s="182">
        <f t="shared" si="3"/>
        <v>0</v>
      </c>
      <c r="K29" s="182">
        <f t="shared" si="3"/>
        <v>0</v>
      </c>
      <c r="L29" s="150" t="s">
        <v>1300</v>
      </c>
    </row>
    <row r="30" spans="1:12" ht="7.5" customHeight="1">
      <c r="A30" s="170"/>
      <c r="B30" s="179"/>
      <c r="C30" s="4"/>
      <c r="D30" s="4"/>
      <c r="E30" s="4"/>
      <c r="F30" s="4"/>
      <c r="G30" s="4"/>
      <c r="H30" s="4"/>
      <c r="I30" s="4"/>
      <c r="J30" s="4"/>
      <c r="K30" s="4"/>
    </row>
    <row r="31" spans="1:12" ht="15">
      <c r="A31" s="170"/>
      <c r="B31" s="177" t="s">
        <v>1161</v>
      </c>
      <c r="C31" s="2"/>
      <c r="D31" s="2"/>
      <c r="E31" s="2"/>
      <c r="F31" s="2"/>
      <c r="G31" s="2"/>
      <c r="H31" s="2"/>
      <c r="I31" s="2"/>
      <c r="J31" s="2"/>
      <c r="K31" s="2"/>
    </row>
    <row r="32" spans="1:12" ht="20.100000000000001" customHeight="1">
      <c r="A32" s="170"/>
      <c r="B32" s="689" t="s">
        <v>931</v>
      </c>
      <c r="C32" s="2">
        <f>SUM('Budget Detail FY 2012-19'!N500:N502)</f>
        <v>10076</v>
      </c>
      <c r="D32" s="2">
        <f>SUM('Budget Detail FY 2012-19'!O500:O502)</f>
        <v>26198</v>
      </c>
      <c r="E32" s="2">
        <f>SUM('Budget Detail FY 2012-19'!P500:P502)</f>
        <v>6500</v>
      </c>
      <c r="F32" s="2">
        <f>SUM('Budget Detail FY 2012-19'!Q500:Q502)</f>
        <v>6500</v>
      </c>
      <c r="G32" s="2">
        <f>SUM('Budget Detail FY 2012-19'!R500:R502)</f>
        <v>6500</v>
      </c>
      <c r="H32" s="2">
        <f>SUM('Budget Detail FY 2012-19'!S500:S502)</f>
        <v>6500</v>
      </c>
      <c r="I32" s="2">
        <f>SUM('Budget Detail FY 2012-19'!T500:T502)</f>
        <v>6500</v>
      </c>
      <c r="J32" s="2">
        <f>SUM('Budget Detail FY 2012-19'!U500:U502)</f>
        <v>6500</v>
      </c>
      <c r="K32" s="2">
        <f>SUM('Budget Detail FY 2012-19'!V500:V502)</f>
        <v>6500</v>
      </c>
    </row>
    <row r="33" spans="1:12" ht="20.100000000000001" customHeight="1">
      <c r="A33" s="170"/>
      <c r="B33" s="689" t="s">
        <v>932</v>
      </c>
      <c r="C33" s="2">
        <f>'Budget Detail FY 2012-19'!N503</f>
        <v>0</v>
      </c>
      <c r="D33" s="2">
        <f>'Budget Detail FY 2012-19'!O503</f>
        <v>0</v>
      </c>
      <c r="E33" s="2">
        <f>'Budget Detail FY 2012-19'!P503</f>
        <v>2000</v>
      </c>
      <c r="F33" s="2">
        <f>'Budget Detail FY 2012-19'!Q503</f>
        <v>2000</v>
      </c>
      <c r="G33" s="2">
        <f>'Budget Detail FY 2012-19'!R503</f>
        <v>2000</v>
      </c>
      <c r="H33" s="2">
        <f>'Budget Detail FY 2012-19'!S503</f>
        <v>2000</v>
      </c>
      <c r="I33" s="2">
        <f>'Budget Detail FY 2012-19'!T503</f>
        <v>2000</v>
      </c>
      <c r="J33" s="2">
        <f>'Budget Detail FY 2012-19'!U503</f>
        <v>2000</v>
      </c>
      <c r="K33" s="2">
        <f>'Budget Detail FY 2012-19'!V503</f>
        <v>2000</v>
      </c>
    </row>
    <row r="34" spans="1:12" ht="20.100000000000001" customHeight="1">
      <c r="A34" s="170"/>
      <c r="B34" s="689" t="s">
        <v>933</v>
      </c>
      <c r="C34" s="2">
        <f>SUM('Budget Detail FY 2012-19'!N504:N505)</f>
        <v>0</v>
      </c>
      <c r="D34" s="2">
        <f>SUM('Budget Detail FY 2012-19'!O504:O505)</f>
        <v>0</v>
      </c>
      <c r="E34" s="2">
        <f>SUM('Budget Detail FY 2012-19'!P504:P505)</f>
        <v>85000</v>
      </c>
      <c r="F34" s="2">
        <f>SUM('Budget Detail FY 2012-19'!Q504:Q505)</f>
        <v>78689</v>
      </c>
      <c r="G34" s="2">
        <f>SUM('Budget Detail FY 2012-19'!R504:R505)</f>
        <v>160000</v>
      </c>
      <c r="H34" s="2">
        <f>SUM('Budget Detail FY 2012-19'!S504:S505)</f>
        <v>0</v>
      </c>
      <c r="I34" s="2">
        <f>SUM('Budget Detail FY 2012-19'!T504:T505)</f>
        <v>0</v>
      </c>
      <c r="J34" s="2">
        <f>SUM('Budget Detail FY 2012-19'!U504:U505)</f>
        <v>0</v>
      </c>
      <c r="K34" s="2">
        <f>SUM('Budget Detail FY 2012-19'!V504:V505)</f>
        <v>0</v>
      </c>
    </row>
    <row r="35" spans="1:12" ht="20.100000000000001" customHeight="1">
      <c r="A35" s="170"/>
      <c r="B35" s="689" t="s">
        <v>852</v>
      </c>
      <c r="C35" s="2">
        <f>SUM('Budget Detail FY 2012-19'!N507:N508)</f>
        <v>82295</v>
      </c>
      <c r="D35" s="2">
        <f>SUM('Budget Detail FY 2012-19'!O507:O508)</f>
        <v>82295</v>
      </c>
      <c r="E35" s="2">
        <f>SUM('Budget Detail FY 2012-19'!P507:P508)</f>
        <v>79795</v>
      </c>
      <c r="F35" s="2">
        <f>SUM('Budget Detail FY 2012-19'!Q507:Q508)</f>
        <v>76054</v>
      </c>
      <c r="G35" s="2">
        <f>SUM('Budget Detail FY 2012-19'!R507:R508)</f>
        <v>70816</v>
      </c>
      <c r="H35" s="2">
        <f>SUM('Budget Detail FY 2012-19'!S507:S508)</f>
        <v>70815</v>
      </c>
      <c r="I35" s="2">
        <f>SUM('Budget Detail FY 2012-19'!T507:T508)</f>
        <v>70815</v>
      </c>
      <c r="J35" s="2">
        <f>SUM('Budget Detail FY 2012-19'!U507:U508)</f>
        <v>70815</v>
      </c>
      <c r="K35" s="2">
        <f>SUM('Budget Detail FY 2012-19'!V507:V508)</f>
        <v>70815</v>
      </c>
    </row>
    <row r="36" spans="1:12" ht="20.100000000000001" customHeight="1" thickBot="1">
      <c r="A36" s="170"/>
      <c r="B36" s="172" t="s">
        <v>1165</v>
      </c>
      <c r="C36" s="197">
        <f>SUM(C32:C35)</f>
        <v>92371</v>
      </c>
      <c r="D36" s="197">
        <f t="shared" ref="D36:K36" si="4">SUM(D32:D35)</f>
        <v>108493</v>
      </c>
      <c r="E36" s="197">
        <f t="shared" si="4"/>
        <v>173295</v>
      </c>
      <c r="F36" s="197">
        <f t="shared" si="4"/>
        <v>163243</v>
      </c>
      <c r="G36" s="197">
        <f t="shared" si="4"/>
        <v>239316</v>
      </c>
      <c r="H36" s="197">
        <f t="shared" si="4"/>
        <v>79315</v>
      </c>
      <c r="I36" s="197">
        <f t="shared" si="4"/>
        <v>79315</v>
      </c>
      <c r="J36" s="197">
        <f t="shared" si="4"/>
        <v>79315</v>
      </c>
      <c r="K36" s="197">
        <f t="shared" si="4"/>
        <v>79315</v>
      </c>
      <c r="L36" s="556"/>
    </row>
    <row r="37" spans="1:12" s="141" customFormat="1" ht="15" hidden="1">
      <c r="A37" s="173"/>
      <c r="B37" s="174"/>
      <c r="C37" s="146">
        <f>'Budget Detail FY 2012-19'!N509</f>
        <v>92371</v>
      </c>
      <c r="D37" s="146">
        <f>'Budget Detail FY 2012-19'!O509</f>
        <v>108493</v>
      </c>
      <c r="E37" s="146">
        <f>'Budget Detail FY 2012-19'!P509</f>
        <v>173295</v>
      </c>
      <c r="F37" s="146">
        <f>'Budget Detail FY 2012-19'!Q509</f>
        <v>163243</v>
      </c>
      <c r="G37" s="146">
        <f>'Budget Detail FY 2012-19'!R509</f>
        <v>239316</v>
      </c>
      <c r="H37" s="146">
        <f>'Budget Detail FY 2012-19'!S509</f>
        <v>79315</v>
      </c>
      <c r="I37" s="146">
        <f>'Budget Detail FY 2012-19'!T509</f>
        <v>79315</v>
      </c>
      <c r="J37" s="146">
        <f>'Budget Detail FY 2012-19'!U509</f>
        <v>79315</v>
      </c>
      <c r="K37" s="146">
        <f>'Budget Detail FY 2012-19'!V509</f>
        <v>79315</v>
      </c>
      <c r="L37" s="149" t="s">
        <v>1299</v>
      </c>
    </row>
    <row r="38" spans="1:12" s="144" customFormat="1" ht="15" hidden="1">
      <c r="A38" s="175"/>
      <c r="B38" s="176"/>
      <c r="C38" s="182">
        <f>C36-C37</f>
        <v>0</v>
      </c>
      <c r="D38" s="182">
        <f t="shared" ref="D38:K38" si="5">D36-D37</f>
        <v>0</v>
      </c>
      <c r="E38" s="182">
        <f t="shared" si="5"/>
        <v>0</v>
      </c>
      <c r="F38" s="182">
        <f t="shared" si="5"/>
        <v>0</v>
      </c>
      <c r="G38" s="182">
        <f t="shared" si="5"/>
        <v>0</v>
      </c>
      <c r="H38" s="182">
        <f t="shared" si="5"/>
        <v>0</v>
      </c>
      <c r="I38" s="182">
        <f t="shared" si="5"/>
        <v>0</v>
      </c>
      <c r="J38" s="182">
        <f t="shared" si="5"/>
        <v>0</v>
      </c>
      <c r="K38" s="182">
        <f t="shared" si="5"/>
        <v>0</v>
      </c>
      <c r="L38" s="150" t="s">
        <v>1300</v>
      </c>
    </row>
    <row r="39" spans="1:12" ht="7.5" customHeight="1">
      <c r="A39" s="170"/>
      <c r="B39" s="179"/>
      <c r="C39" s="4"/>
      <c r="D39" s="4"/>
      <c r="E39" s="4"/>
      <c r="F39" s="4"/>
      <c r="G39" s="4"/>
      <c r="H39" s="4"/>
      <c r="I39" s="4"/>
      <c r="J39" s="4"/>
      <c r="K39" s="4"/>
    </row>
    <row r="40" spans="1:12" ht="15">
      <c r="A40" s="170"/>
      <c r="B40" s="177" t="s">
        <v>1412</v>
      </c>
      <c r="C40" s="2"/>
      <c r="D40" s="2"/>
      <c r="E40" s="2"/>
      <c r="F40" s="2"/>
      <c r="G40" s="2"/>
      <c r="H40" s="2"/>
      <c r="I40" s="2"/>
      <c r="J40" s="2"/>
      <c r="K40" s="2"/>
    </row>
    <row r="41" spans="1:12" ht="20.100000000000001" customHeight="1">
      <c r="A41" s="170"/>
      <c r="B41" s="689" t="s">
        <v>931</v>
      </c>
      <c r="C41" s="2">
        <f>'Budget Detail FY 2012-19'!N512</f>
        <v>0</v>
      </c>
      <c r="D41" s="2">
        <f>'Budget Detail FY 2012-19'!O512</f>
        <v>0</v>
      </c>
      <c r="E41" s="2">
        <f>'Budget Detail FY 2012-19'!P512</f>
        <v>0</v>
      </c>
      <c r="F41" s="2">
        <f>'Budget Detail FY 2012-19'!Q512</f>
        <v>0</v>
      </c>
      <c r="G41" s="2">
        <f>'Budget Detail FY 2012-19'!R512</f>
        <v>0</v>
      </c>
      <c r="H41" s="2">
        <f>'Budget Detail FY 2012-19'!S512</f>
        <v>0</v>
      </c>
      <c r="I41" s="2">
        <f>'Budget Detail FY 2012-19'!T512</f>
        <v>0</v>
      </c>
      <c r="J41" s="2">
        <f>'Budget Detail FY 2012-19'!U512</f>
        <v>0</v>
      </c>
      <c r="K41" s="2">
        <f>'Budget Detail FY 2012-19'!V512</f>
        <v>0</v>
      </c>
    </row>
    <row r="42" spans="1:12" ht="20.100000000000001" customHeight="1">
      <c r="A42" s="170"/>
      <c r="B42" s="689" t="s">
        <v>933</v>
      </c>
      <c r="C42" s="2">
        <f>SUM('Budget Detail FY 2012-19'!N513:N516)</f>
        <v>0</v>
      </c>
      <c r="D42" s="2">
        <f>SUM('Budget Detail FY 2012-19'!O513:O516)</f>
        <v>17284</v>
      </c>
      <c r="E42" s="2">
        <f>SUM('Budget Detail FY 2012-19'!P513:P516)</f>
        <v>17000</v>
      </c>
      <c r="F42" s="2">
        <f>SUM('Budget Detail FY 2012-19'!Q513:Q516)</f>
        <v>17000</v>
      </c>
      <c r="G42" s="2">
        <f>SUM('Budget Detail FY 2012-19'!R513:R516)</f>
        <v>140000</v>
      </c>
      <c r="H42" s="2">
        <f>SUM('Budget Detail FY 2012-19'!S513:S516)</f>
        <v>17500</v>
      </c>
      <c r="I42" s="2">
        <f>SUM('Budget Detail FY 2012-19'!T513:T516)</f>
        <v>0</v>
      </c>
      <c r="J42" s="2">
        <f>SUM('Budget Detail FY 2012-19'!U513:U516)</f>
        <v>0</v>
      </c>
      <c r="K42" s="2">
        <f>SUM('Budget Detail FY 2012-19'!V513:V516)</f>
        <v>0</v>
      </c>
    </row>
    <row r="43" spans="1:12" ht="20.100000000000001" customHeight="1">
      <c r="A43" s="170"/>
      <c r="B43" s="689" t="s">
        <v>852</v>
      </c>
      <c r="C43" s="2">
        <f>SUM('Budget Detail FY 2012-19'!N518:N519)</f>
        <v>0</v>
      </c>
      <c r="D43" s="2">
        <f>SUM('Budget Detail FY 2012-19'!O518:O519)</f>
        <v>0</v>
      </c>
      <c r="E43" s="2">
        <f>SUM('Budget Detail FY 2012-19'!P518:P519)</f>
        <v>2500</v>
      </c>
      <c r="F43" s="2">
        <f>SUM('Budget Detail FY 2012-19'!Q518:Q519)</f>
        <v>2383</v>
      </c>
      <c r="G43" s="2">
        <f>SUM('Budget Detail FY 2012-19'!R518:R519)</f>
        <v>2219</v>
      </c>
      <c r="H43" s="2">
        <f>SUM('Budget Detail FY 2012-19'!S518:S519)</f>
        <v>2219</v>
      </c>
      <c r="I43" s="2">
        <f>SUM('Budget Detail FY 2012-19'!T518:T519)</f>
        <v>2219</v>
      </c>
      <c r="J43" s="2">
        <f>SUM('Budget Detail FY 2012-19'!U518:U519)</f>
        <v>2219</v>
      </c>
      <c r="K43" s="2">
        <f>SUM('Budget Detail FY 2012-19'!V518:V519)</f>
        <v>2219</v>
      </c>
    </row>
    <row r="44" spans="1:12" ht="20.100000000000001" customHeight="1">
      <c r="A44" s="170"/>
      <c r="B44" s="688" t="s">
        <v>935</v>
      </c>
      <c r="C44" s="2">
        <f>SUM('Budget Detail FY 2012-19'!N520:N521)</f>
        <v>3500</v>
      </c>
      <c r="D44" s="2">
        <f>SUM('Budget Detail FY 2012-19'!O520:O521)</f>
        <v>2500</v>
      </c>
      <c r="E44" s="2">
        <f>SUM('Budget Detail FY 2012-19'!P520:P521)</f>
        <v>50000</v>
      </c>
      <c r="F44" s="2">
        <f>SUM('Budget Detail FY 2012-19'!Q520:Q521)</f>
        <v>50000</v>
      </c>
      <c r="G44" s="2">
        <f>SUM('Budget Detail FY 2012-19'!R520:R521)</f>
        <v>50000</v>
      </c>
      <c r="H44" s="2">
        <f>SUM('Budget Detail FY 2012-19'!S520:S521)</f>
        <v>50000</v>
      </c>
      <c r="I44" s="2">
        <f>SUM('Budget Detail FY 2012-19'!T520:T521)</f>
        <v>0</v>
      </c>
      <c r="J44" s="2">
        <f>SUM('Budget Detail FY 2012-19'!U520:U521)</f>
        <v>0</v>
      </c>
      <c r="K44" s="2">
        <f>SUM('Budget Detail FY 2012-19'!V520:V521)</f>
        <v>0</v>
      </c>
    </row>
    <row r="45" spans="1:12" ht="20.100000000000001" customHeight="1" thickBot="1">
      <c r="A45" s="170"/>
      <c r="B45" s="172" t="s">
        <v>1165</v>
      </c>
      <c r="C45" s="197">
        <f>SUM(C41:C44)</f>
        <v>3500</v>
      </c>
      <c r="D45" s="197">
        <f t="shared" ref="D45:K45" si="6">SUM(D41:D44)</f>
        <v>19784</v>
      </c>
      <c r="E45" s="197">
        <f t="shared" si="6"/>
        <v>69500</v>
      </c>
      <c r="F45" s="197">
        <f t="shared" si="6"/>
        <v>69383</v>
      </c>
      <c r="G45" s="197">
        <f t="shared" si="6"/>
        <v>192219</v>
      </c>
      <c r="H45" s="197">
        <f t="shared" si="6"/>
        <v>69719</v>
      </c>
      <c r="I45" s="197">
        <f t="shared" si="6"/>
        <v>2219</v>
      </c>
      <c r="J45" s="197">
        <f t="shared" si="6"/>
        <v>2219</v>
      </c>
      <c r="K45" s="197">
        <f t="shared" si="6"/>
        <v>2219</v>
      </c>
      <c r="L45" s="556"/>
    </row>
    <row r="46" spans="1:12" s="141" customFormat="1" ht="15" hidden="1">
      <c r="A46" s="173"/>
      <c r="B46" s="174"/>
      <c r="C46" s="146">
        <f>'Budget Detail FY 2012-19'!N522</f>
        <v>3500</v>
      </c>
      <c r="D46" s="146">
        <f>'Budget Detail FY 2012-19'!O522</f>
        <v>19784</v>
      </c>
      <c r="E46" s="146">
        <f>'Budget Detail FY 2012-19'!P522</f>
        <v>69500</v>
      </c>
      <c r="F46" s="146">
        <f>'Budget Detail FY 2012-19'!Q522</f>
        <v>69383</v>
      </c>
      <c r="G46" s="146">
        <f>'Budget Detail FY 2012-19'!R522</f>
        <v>192219</v>
      </c>
      <c r="H46" s="146">
        <f>'Budget Detail FY 2012-19'!S522</f>
        <v>69719</v>
      </c>
      <c r="I46" s="146">
        <f>'Budget Detail FY 2012-19'!T522</f>
        <v>2219</v>
      </c>
      <c r="J46" s="146">
        <f>'Budget Detail FY 2012-19'!U522</f>
        <v>2219</v>
      </c>
      <c r="K46" s="146">
        <f>'Budget Detail FY 2012-19'!V522</f>
        <v>2219</v>
      </c>
      <c r="L46" s="149" t="s">
        <v>1299</v>
      </c>
    </row>
    <row r="47" spans="1:12" s="144" customFormat="1" ht="15" hidden="1">
      <c r="A47" s="175"/>
      <c r="B47" s="176"/>
      <c r="C47" s="182">
        <f>C45-C46</f>
        <v>0</v>
      </c>
      <c r="D47" s="182">
        <f t="shared" ref="D47:J47" si="7">D45-D46</f>
        <v>0</v>
      </c>
      <c r="E47" s="182">
        <f t="shared" si="7"/>
        <v>0</v>
      </c>
      <c r="F47" s="182">
        <f t="shared" si="7"/>
        <v>0</v>
      </c>
      <c r="G47" s="182">
        <f>G45-G46</f>
        <v>0</v>
      </c>
      <c r="H47" s="182">
        <f t="shared" si="7"/>
        <v>0</v>
      </c>
      <c r="I47" s="182">
        <f t="shared" si="7"/>
        <v>0</v>
      </c>
      <c r="J47" s="182">
        <f t="shared" si="7"/>
        <v>0</v>
      </c>
      <c r="K47" s="182">
        <f>K45-K46</f>
        <v>0</v>
      </c>
      <c r="L47" s="150" t="s">
        <v>1300</v>
      </c>
    </row>
    <row r="48" spans="1:12" ht="7.5" customHeight="1">
      <c r="A48" s="170"/>
      <c r="B48" s="179"/>
      <c r="C48" s="4"/>
      <c r="D48" s="4"/>
      <c r="E48" s="4"/>
      <c r="F48" s="4"/>
      <c r="G48" s="4"/>
      <c r="H48" s="4"/>
      <c r="I48" s="4"/>
      <c r="J48" s="4"/>
      <c r="K48" s="4"/>
    </row>
    <row r="49" spans="1:12" ht="20.100000000000001" customHeight="1" thickBot="1">
      <c r="A49" s="170"/>
      <c r="B49" s="172" t="s">
        <v>936</v>
      </c>
      <c r="C49" s="169">
        <f>C27+C36+C45</f>
        <v>98518</v>
      </c>
      <c r="D49" s="169">
        <f t="shared" ref="D49:K49" si="8">D27+D36+D45</f>
        <v>291163</v>
      </c>
      <c r="E49" s="169">
        <f t="shared" si="8"/>
        <v>347462</v>
      </c>
      <c r="F49" s="169">
        <f t="shared" si="8"/>
        <v>337293</v>
      </c>
      <c r="G49" s="169">
        <f t="shared" si="8"/>
        <v>559202</v>
      </c>
      <c r="H49" s="169">
        <f t="shared" si="8"/>
        <v>274201</v>
      </c>
      <c r="I49" s="169">
        <f t="shared" si="8"/>
        <v>174201</v>
      </c>
      <c r="J49" s="169">
        <f t="shared" si="8"/>
        <v>174201</v>
      </c>
      <c r="K49" s="169">
        <f t="shared" si="8"/>
        <v>174201</v>
      </c>
      <c r="L49" s="556"/>
    </row>
    <row r="50" spans="1:12" s="141" customFormat="1" ht="15" hidden="1">
      <c r="A50" s="173"/>
      <c r="B50" s="174"/>
      <c r="C50" s="146">
        <f>'Budget Detail FY 2012-19'!N524</f>
        <v>98518</v>
      </c>
      <c r="D50" s="146">
        <f>'Budget Detail FY 2012-19'!O524</f>
        <v>291163</v>
      </c>
      <c r="E50" s="146">
        <f>'Budget Detail FY 2012-19'!P524</f>
        <v>347462</v>
      </c>
      <c r="F50" s="146">
        <f>'Budget Detail FY 2012-19'!Q524</f>
        <v>337293</v>
      </c>
      <c r="G50" s="146">
        <f>'Budget Detail FY 2012-19'!R524</f>
        <v>559202</v>
      </c>
      <c r="H50" s="146">
        <f>'Budget Detail FY 2012-19'!S524</f>
        <v>274201</v>
      </c>
      <c r="I50" s="146">
        <f>'Budget Detail FY 2012-19'!T524</f>
        <v>174201</v>
      </c>
      <c r="J50" s="146">
        <f>'Budget Detail FY 2012-19'!U524</f>
        <v>174201</v>
      </c>
      <c r="K50" s="146">
        <f>'Budget Detail FY 2012-19'!V524</f>
        <v>174201</v>
      </c>
      <c r="L50" s="149" t="s">
        <v>1299</v>
      </c>
    </row>
    <row r="51" spans="1:12" s="144" customFormat="1" ht="14.25" hidden="1">
      <c r="A51" s="175"/>
      <c r="B51" s="176"/>
      <c r="C51" s="147">
        <f>C49-C50</f>
        <v>0</v>
      </c>
      <c r="D51" s="147">
        <f t="shared" ref="D51:K51" si="9">D49-D50</f>
        <v>0</v>
      </c>
      <c r="E51" s="147">
        <f t="shared" si="9"/>
        <v>0</v>
      </c>
      <c r="F51" s="147">
        <f t="shared" si="9"/>
        <v>0</v>
      </c>
      <c r="G51" s="147">
        <f t="shared" si="9"/>
        <v>0</v>
      </c>
      <c r="H51" s="147">
        <f t="shared" si="9"/>
        <v>0</v>
      </c>
      <c r="I51" s="147">
        <f t="shared" si="9"/>
        <v>0</v>
      </c>
      <c r="J51" s="147">
        <f t="shared" si="9"/>
        <v>0</v>
      </c>
      <c r="K51" s="147">
        <f t="shared" si="9"/>
        <v>0</v>
      </c>
      <c r="L51" s="150" t="s">
        <v>1300</v>
      </c>
    </row>
    <row r="52" spans="1:12" ht="7.5" customHeight="1">
      <c r="A52" s="170"/>
      <c r="B52" s="179"/>
      <c r="C52" s="4"/>
      <c r="D52" s="4"/>
      <c r="E52" s="4"/>
      <c r="F52" s="4"/>
      <c r="G52" s="4"/>
      <c r="H52" s="4"/>
      <c r="I52" s="4"/>
      <c r="J52" s="4"/>
      <c r="K52" s="4"/>
    </row>
    <row r="53" spans="1:12" ht="20.100000000000001" customHeight="1">
      <c r="A53" s="170"/>
      <c r="B53" s="691" t="s">
        <v>937</v>
      </c>
      <c r="C53" s="3">
        <f t="shared" ref="C53:K53" si="10">C20-C49</f>
        <v>-538</v>
      </c>
      <c r="D53" s="3">
        <f t="shared" si="10"/>
        <v>-179007</v>
      </c>
      <c r="E53" s="3">
        <f t="shared" si="10"/>
        <v>-87712</v>
      </c>
      <c r="F53" s="3">
        <f t="shared" si="10"/>
        <v>-50939</v>
      </c>
      <c r="G53" s="3">
        <f t="shared" si="10"/>
        <v>-124649</v>
      </c>
      <c r="H53" s="3">
        <f t="shared" si="10"/>
        <v>0</v>
      </c>
      <c r="I53" s="3">
        <f t="shared" si="10"/>
        <v>506</v>
      </c>
      <c r="J53" s="3">
        <f t="shared" si="10"/>
        <v>506</v>
      </c>
      <c r="K53" s="3">
        <f t="shared" si="10"/>
        <v>506</v>
      </c>
      <c r="L53" s="556"/>
    </row>
    <row r="54" spans="1:12" s="141" customFormat="1" ht="15" hidden="1">
      <c r="A54" s="173"/>
      <c r="B54" s="180"/>
      <c r="C54" s="146">
        <f>'Budget Detail FY 2012-19'!N526</f>
        <v>-538</v>
      </c>
      <c r="D54" s="146">
        <f>'Budget Detail FY 2012-19'!O526</f>
        <v>-179007</v>
      </c>
      <c r="E54" s="146">
        <f>'Budget Detail FY 2012-19'!P526</f>
        <v>-87712</v>
      </c>
      <c r="F54" s="146">
        <f>'Budget Detail FY 2012-19'!Q526</f>
        <v>-50939</v>
      </c>
      <c r="G54" s="146">
        <f>'Budget Detail FY 2012-19'!R526</f>
        <v>-124649</v>
      </c>
      <c r="H54" s="146">
        <f>'Budget Detail FY 2012-19'!S526</f>
        <v>0</v>
      </c>
      <c r="I54" s="146">
        <f>'Budget Detail FY 2012-19'!T526</f>
        <v>506</v>
      </c>
      <c r="J54" s="146">
        <f>'Budget Detail FY 2012-19'!U526</f>
        <v>506</v>
      </c>
      <c r="K54" s="146">
        <f>'Budget Detail FY 2012-19'!V526</f>
        <v>506</v>
      </c>
      <c r="L54" s="149" t="s">
        <v>1299</v>
      </c>
    </row>
    <row r="55" spans="1:12" s="144" customFormat="1" ht="15" hidden="1">
      <c r="A55" s="175"/>
      <c r="B55" s="181"/>
      <c r="C55" s="190">
        <f>C53-C54</f>
        <v>0</v>
      </c>
      <c r="D55" s="190">
        <f t="shared" ref="D55:K55" si="11">D53-D54</f>
        <v>0</v>
      </c>
      <c r="E55" s="190">
        <f t="shared" si="11"/>
        <v>0</v>
      </c>
      <c r="F55" s="190">
        <f t="shared" si="11"/>
        <v>0</v>
      </c>
      <c r="G55" s="190">
        <f t="shared" si="11"/>
        <v>0</v>
      </c>
      <c r="H55" s="190">
        <f t="shared" si="11"/>
        <v>0</v>
      </c>
      <c r="I55" s="190">
        <f t="shared" si="11"/>
        <v>0</v>
      </c>
      <c r="J55" s="190">
        <f t="shared" si="11"/>
        <v>0</v>
      </c>
      <c r="K55" s="190">
        <f t="shared" si="11"/>
        <v>0</v>
      </c>
      <c r="L55" s="150" t="s">
        <v>1300</v>
      </c>
    </row>
    <row r="56" spans="1:12" ht="7.5" customHeight="1">
      <c r="A56" s="170"/>
      <c r="B56" s="193"/>
      <c r="C56" s="120"/>
      <c r="D56" s="120"/>
      <c r="E56" s="120"/>
      <c r="F56" s="120"/>
      <c r="G56" s="120"/>
      <c r="H56" s="120"/>
      <c r="I56" s="120"/>
      <c r="J56" s="120"/>
      <c r="K56" s="120"/>
    </row>
    <row r="57" spans="1:12" ht="15">
      <c r="A57" s="170"/>
      <c r="B57" s="194" t="s">
        <v>1162</v>
      </c>
      <c r="C57" s="107">
        <f>'Budget Detail FY 2012-19'!N528</f>
        <v>229238</v>
      </c>
      <c r="D57" s="107">
        <v>106687</v>
      </c>
      <c r="E57" s="107">
        <f>'Budget Detail FY 2012-19'!P528</f>
        <v>22635</v>
      </c>
      <c r="F57" s="107">
        <f>'Budget Detail FY 2012-19'!Q528</f>
        <v>50859</v>
      </c>
      <c r="G57" s="107">
        <f>'Budget Detail FY 2012-19'!R528</f>
        <v>0</v>
      </c>
      <c r="H57" s="107">
        <f>'Budget Detail FY 2012-19'!S528</f>
        <v>0</v>
      </c>
      <c r="I57" s="107">
        <f>'Budget Detail FY 2012-19'!T528</f>
        <v>0</v>
      </c>
      <c r="J57" s="107">
        <f>'Budget Detail FY 2012-19'!U528</f>
        <v>0</v>
      </c>
      <c r="K57" s="107">
        <f>'Budget Detail FY 2012-19'!V528</f>
        <v>0</v>
      </c>
      <c r="L57" s="556"/>
    </row>
    <row r="58" spans="1:12" s="141" customFormat="1" ht="15" hidden="1">
      <c r="A58" s="173"/>
      <c r="B58" s="195"/>
      <c r="C58" s="146">
        <f>'Budget Detail FY 2012-19'!N528</f>
        <v>229238</v>
      </c>
      <c r="D58" s="146">
        <f>'Budget Detail FY 2012-19'!O528</f>
        <v>106687</v>
      </c>
      <c r="E58" s="146">
        <f>'Budget Detail FY 2012-19'!P528</f>
        <v>22635</v>
      </c>
      <c r="F58" s="146">
        <f>'Budget Detail FY 2012-19'!Q528</f>
        <v>50859</v>
      </c>
      <c r="G58" s="146">
        <f>'Budget Detail FY 2012-19'!R528</f>
        <v>0</v>
      </c>
      <c r="H58" s="146">
        <f>'Budget Detail FY 2012-19'!S528</f>
        <v>0</v>
      </c>
      <c r="I58" s="146">
        <f>'Budget Detail FY 2012-19'!T528</f>
        <v>0</v>
      </c>
      <c r="J58" s="146">
        <f>'Budget Detail FY 2012-19'!U528</f>
        <v>0</v>
      </c>
      <c r="K58" s="146">
        <f>'Budget Detail FY 2012-19'!V528</f>
        <v>0</v>
      </c>
      <c r="L58" s="149" t="s">
        <v>1299</v>
      </c>
    </row>
    <row r="59" spans="1:12" s="144" customFormat="1" ht="15" hidden="1">
      <c r="A59" s="175"/>
      <c r="B59" s="196"/>
      <c r="C59" s="182">
        <f>C57-C58</f>
        <v>0</v>
      </c>
      <c r="D59" s="182">
        <f t="shared" ref="D59:K59" si="12">D57-D58</f>
        <v>0</v>
      </c>
      <c r="E59" s="182">
        <f t="shared" si="12"/>
        <v>0</v>
      </c>
      <c r="F59" s="182">
        <f t="shared" si="12"/>
        <v>0</v>
      </c>
      <c r="G59" s="182">
        <f t="shared" si="12"/>
        <v>0</v>
      </c>
      <c r="H59" s="182">
        <f t="shared" si="12"/>
        <v>0</v>
      </c>
      <c r="I59" s="182">
        <f t="shared" si="12"/>
        <v>0</v>
      </c>
      <c r="J59" s="182">
        <f t="shared" si="12"/>
        <v>0</v>
      </c>
      <c r="K59" s="182">
        <f t="shared" si="12"/>
        <v>0</v>
      </c>
      <c r="L59" s="150" t="s">
        <v>1300</v>
      </c>
    </row>
    <row r="60" spans="1:12" ht="7.5" customHeight="1">
      <c r="A60" s="170"/>
      <c r="B60" s="194"/>
      <c r="C60" s="107"/>
      <c r="D60" s="107"/>
      <c r="E60" s="107"/>
      <c r="F60" s="107"/>
      <c r="G60" s="107"/>
      <c r="H60" s="107"/>
      <c r="I60" s="107"/>
      <c r="J60" s="107"/>
      <c r="K60" s="107"/>
    </row>
    <row r="61" spans="1:12" ht="15">
      <c r="A61" s="170"/>
      <c r="B61" s="194" t="s">
        <v>1163</v>
      </c>
      <c r="C61" s="107">
        <f>'Budget Detail FY 2012-19'!N530</f>
        <v>62884</v>
      </c>
      <c r="D61" s="107">
        <v>22399</v>
      </c>
      <c r="E61" s="107">
        <f>'Budget Detail FY 2012-19'!P530</f>
        <v>20000</v>
      </c>
      <c r="F61" s="107">
        <f>'Budget Detail FY 2012-19'!Q530</f>
        <v>43946</v>
      </c>
      <c r="G61" s="107">
        <f>'Budget Detail FY 2012-19'!R530</f>
        <v>0</v>
      </c>
      <c r="H61" s="107">
        <f>'Budget Detail FY 2012-19'!S530</f>
        <v>0</v>
      </c>
      <c r="I61" s="107">
        <f>'Budget Detail FY 2012-19'!T530</f>
        <v>0</v>
      </c>
      <c r="J61" s="107">
        <f>'Budget Detail FY 2012-19'!U530</f>
        <v>0</v>
      </c>
      <c r="K61" s="107">
        <f>'Budget Detail FY 2012-19'!V530</f>
        <v>0</v>
      </c>
      <c r="L61" s="556"/>
    </row>
    <row r="62" spans="1:12" s="141" customFormat="1" ht="15" hidden="1">
      <c r="A62" s="173"/>
      <c r="B62" s="195"/>
      <c r="C62" s="146">
        <f>'Budget Detail FY 2012-19'!N530</f>
        <v>62884</v>
      </c>
      <c r="D62" s="146">
        <f>'Budget Detail FY 2012-19'!O530</f>
        <v>22399</v>
      </c>
      <c r="E62" s="146">
        <f>'Budget Detail FY 2012-19'!P530</f>
        <v>20000</v>
      </c>
      <c r="F62" s="146">
        <f>'Budget Detail FY 2012-19'!Q530</f>
        <v>43946</v>
      </c>
      <c r="G62" s="146">
        <f>'Budget Detail FY 2012-19'!R530</f>
        <v>0</v>
      </c>
      <c r="H62" s="146">
        <f>'Budget Detail FY 2012-19'!S530</f>
        <v>0</v>
      </c>
      <c r="I62" s="146">
        <f>'Budget Detail FY 2012-19'!T530</f>
        <v>0</v>
      </c>
      <c r="J62" s="146">
        <f>'Budget Detail FY 2012-19'!U530</f>
        <v>0</v>
      </c>
      <c r="K62" s="146">
        <f>'Budget Detail FY 2012-19'!V530</f>
        <v>0</v>
      </c>
      <c r="L62" s="149" t="s">
        <v>1299</v>
      </c>
    </row>
    <row r="63" spans="1:12" s="144" customFormat="1" ht="15" hidden="1">
      <c r="A63" s="175"/>
      <c r="B63" s="196"/>
      <c r="C63" s="182">
        <f>C61-C62</f>
        <v>0</v>
      </c>
      <c r="D63" s="182">
        <f t="shared" ref="D63:K63" si="13">D61-D62</f>
        <v>0</v>
      </c>
      <c r="E63" s="182">
        <f t="shared" si="13"/>
        <v>0</v>
      </c>
      <c r="F63" s="182">
        <f t="shared" si="13"/>
        <v>0</v>
      </c>
      <c r="G63" s="182">
        <f t="shared" si="13"/>
        <v>0</v>
      </c>
      <c r="H63" s="182">
        <f t="shared" si="13"/>
        <v>0</v>
      </c>
      <c r="I63" s="182">
        <f t="shared" si="13"/>
        <v>0</v>
      </c>
      <c r="J63" s="182">
        <f t="shared" si="13"/>
        <v>0</v>
      </c>
      <c r="K63" s="182">
        <f t="shared" si="13"/>
        <v>0</v>
      </c>
      <c r="L63" s="150" t="s">
        <v>1300</v>
      </c>
    </row>
    <row r="64" spans="1:12" ht="7.5" customHeight="1">
      <c r="A64" s="170"/>
      <c r="B64" s="194"/>
      <c r="C64" s="107"/>
      <c r="D64" s="107"/>
      <c r="E64" s="107"/>
      <c r="F64" s="107"/>
      <c r="G64" s="107"/>
      <c r="H64" s="107"/>
      <c r="I64" s="107"/>
      <c r="J64" s="107"/>
      <c r="K64" s="107"/>
    </row>
    <row r="65" spans="1:12" ht="15">
      <c r="A65" s="170"/>
      <c r="B65" s="194" t="s">
        <v>1413</v>
      </c>
      <c r="C65" s="107">
        <f>'Budget Detail FY 2012-19'!N532</f>
        <v>62473</v>
      </c>
      <c r="D65" s="107">
        <v>46502</v>
      </c>
      <c r="E65" s="107">
        <f>'Budget Detail FY 2012-19'!P532</f>
        <v>73923</v>
      </c>
      <c r="F65" s="107">
        <f>'Budget Detail FY 2012-19'!Q532</f>
        <v>29844</v>
      </c>
      <c r="G65" s="107">
        <f>'Budget Detail FY 2012-19'!R532</f>
        <v>0</v>
      </c>
      <c r="H65" s="107">
        <f>'Budget Detail FY 2012-19'!S532</f>
        <v>0</v>
      </c>
      <c r="I65" s="107">
        <f>'Budget Detail FY 2012-19'!T532</f>
        <v>506</v>
      </c>
      <c r="J65" s="107">
        <f>'Budget Detail FY 2012-19'!U532</f>
        <v>1012</v>
      </c>
      <c r="K65" s="107">
        <f>'Budget Detail FY 2012-19'!V532</f>
        <v>1518</v>
      </c>
      <c r="L65" s="556"/>
    </row>
    <row r="66" spans="1:12" s="141" customFormat="1" ht="15" hidden="1">
      <c r="A66" s="173"/>
      <c r="B66" s="195"/>
      <c r="C66" s="146">
        <f>'Budget Detail FY 2012-19'!N532</f>
        <v>62473</v>
      </c>
      <c r="D66" s="146">
        <f>'Budget Detail FY 2012-19'!O532</f>
        <v>46502</v>
      </c>
      <c r="E66" s="146">
        <f>'Budget Detail FY 2012-19'!P532</f>
        <v>73923</v>
      </c>
      <c r="F66" s="146">
        <f>'Budget Detail FY 2012-19'!Q532</f>
        <v>29844</v>
      </c>
      <c r="G66" s="146">
        <f>'Budget Detail FY 2012-19'!R532</f>
        <v>0</v>
      </c>
      <c r="H66" s="146">
        <f>'Budget Detail FY 2012-19'!S532</f>
        <v>0</v>
      </c>
      <c r="I66" s="146">
        <f>'Budget Detail FY 2012-19'!T532</f>
        <v>506</v>
      </c>
      <c r="J66" s="146">
        <f>'Budget Detail FY 2012-19'!U532</f>
        <v>1012</v>
      </c>
      <c r="K66" s="146">
        <f>'Budget Detail FY 2012-19'!V532</f>
        <v>1518</v>
      </c>
      <c r="L66" s="149" t="s">
        <v>1299</v>
      </c>
    </row>
    <row r="67" spans="1:12" s="144" customFormat="1" ht="15" hidden="1">
      <c r="A67" s="175"/>
      <c r="B67" s="196"/>
      <c r="C67" s="182">
        <f>C65-C66</f>
        <v>0</v>
      </c>
      <c r="D67" s="182">
        <f t="shared" ref="D67:K67" si="14">D65-D66</f>
        <v>0</v>
      </c>
      <c r="E67" s="182">
        <f t="shared" si="14"/>
        <v>0</v>
      </c>
      <c r="F67" s="182">
        <f t="shared" si="14"/>
        <v>0</v>
      </c>
      <c r="G67" s="182">
        <f t="shared" si="14"/>
        <v>0</v>
      </c>
      <c r="H67" s="182">
        <f t="shared" si="14"/>
        <v>0</v>
      </c>
      <c r="I67" s="182">
        <f t="shared" si="14"/>
        <v>0</v>
      </c>
      <c r="J67" s="182">
        <f t="shared" si="14"/>
        <v>0</v>
      </c>
      <c r="K67" s="182">
        <f t="shared" si="14"/>
        <v>0</v>
      </c>
      <c r="L67" s="150" t="s">
        <v>1300</v>
      </c>
    </row>
    <row r="68" spans="1:12" ht="7.5" customHeight="1">
      <c r="A68" s="170"/>
      <c r="B68" s="194"/>
      <c r="C68" s="107"/>
      <c r="D68" s="107"/>
      <c r="E68" s="107"/>
      <c r="F68" s="107"/>
      <c r="G68" s="107"/>
      <c r="H68" s="107"/>
      <c r="I68" s="107"/>
      <c r="J68" s="107"/>
      <c r="K68" s="107"/>
    </row>
    <row r="69" spans="1:12" ht="15" thickBot="1">
      <c r="A69" s="170"/>
      <c r="B69" s="171" t="s">
        <v>938</v>
      </c>
      <c r="C69" s="91">
        <v>354595</v>
      </c>
      <c r="D69" s="91">
        <v>175588</v>
      </c>
      <c r="E69" s="91">
        <v>116558</v>
      </c>
      <c r="F69" s="91">
        <f>D69+F53</f>
        <v>124649</v>
      </c>
      <c r="G69" s="91">
        <f>F69+G53</f>
        <v>0</v>
      </c>
      <c r="H69" s="91">
        <f>G69+H53</f>
        <v>0</v>
      </c>
      <c r="I69" s="91">
        <f>H69+I53</f>
        <v>506</v>
      </c>
      <c r="J69" s="91">
        <f>I69+J53</f>
        <v>1012</v>
      </c>
      <c r="K69" s="91">
        <f>J69+K53</f>
        <v>1518</v>
      </c>
      <c r="L69" s="556"/>
    </row>
    <row r="70" spans="1:12" s="141" customFormat="1" ht="15.75" hidden="1" thickTop="1">
      <c r="A70" s="173"/>
      <c r="B70" s="174"/>
      <c r="C70" s="146">
        <f>'Budget Detail FY 2012-19'!N534</f>
        <v>354595</v>
      </c>
      <c r="D70" s="146">
        <f>'Budget Detail FY 2012-19'!O534</f>
        <v>175588</v>
      </c>
      <c r="E70" s="146">
        <f>'Budget Detail FY 2012-19'!P534</f>
        <v>116558</v>
      </c>
      <c r="F70" s="146">
        <f>'Budget Detail FY 2012-19'!Q534</f>
        <v>124649</v>
      </c>
      <c r="G70" s="146">
        <f>'Budget Detail FY 2012-19'!R534</f>
        <v>0</v>
      </c>
      <c r="H70" s="146">
        <f>'Budget Detail FY 2012-19'!S534</f>
        <v>0</v>
      </c>
      <c r="I70" s="146">
        <f>'Budget Detail FY 2012-19'!T534</f>
        <v>506</v>
      </c>
      <c r="J70" s="146">
        <f>'Budget Detail FY 2012-19'!U534</f>
        <v>1012</v>
      </c>
      <c r="K70" s="146">
        <f>'Budget Detail FY 2012-19'!V534</f>
        <v>1518</v>
      </c>
      <c r="L70" s="149" t="s">
        <v>1299</v>
      </c>
    </row>
    <row r="71" spans="1:12" s="144" customFormat="1" ht="14.25" hidden="1">
      <c r="A71" s="175"/>
      <c r="B71" s="176"/>
      <c r="C71" s="147">
        <f>C69-C70</f>
        <v>0</v>
      </c>
      <c r="D71" s="147">
        <f t="shared" ref="D71:K71" si="15">D69-D70</f>
        <v>0</v>
      </c>
      <c r="E71" s="147">
        <f t="shared" si="15"/>
        <v>0</v>
      </c>
      <c r="F71" s="147">
        <f t="shared" si="15"/>
        <v>0</v>
      </c>
      <c r="G71" s="147">
        <f t="shared" si="15"/>
        <v>0</v>
      </c>
      <c r="H71" s="147">
        <f t="shared" si="15"/>
        <v>0</v>
      </c>
      <c r="I71" s="147">
        <f t="shared" si="15"/>
        <v>0</v>
      </c>
      <c r="J71" s="147">
        <f t="shared" si="15"/>
        <v>0</v>
      </c>
      <c r="K71" s="147">
        <f t="shared" si="15"/>
        <v>0</v>
      </c>
      <c r="L71" s="150" t="s">
        <v>1300</v>
      </c>
    </row>
    <row r="72" spans="1:12" ht="7.5" customHeight="1" thickTop="1">
      <c r="A72" s="170"/>
      <c r="B72" s="184"/>
      <c r="C72" s="3"/>
      <c r="D72" s="3"/>
      <c r="E72" s="3"/>
      <c r="F72" s="2"/>
      <c r="G72" s="2"/>
      <c r="H72" s="2"/>
      <c r="I72" s="2"/>
      <c r="J72" s="2"/>
      <c r="K72" s="2"/>
    </row>
    <row r="73" spans="1:12" ht="15">
      <c r="A73" s="170"/>
      <c r="B73" s="184"/>
      <c r="C73" s="2"/>
      <c r="D73" s="2"/>
      <c r="E73" s="2"/>
      <c r="F73" s="2"/>
      <c r="G73" s="2"/>
      <c r="H73" s="2"/>
      <c r="I73" s="2"/>
      <c r="J73" s="2"/>
      <c r="K73" s="2"/>
    </row>
    <row r="74" spans="1:12" ht="15">
      <c r="A74" s="170"/>
      <c r="B74" s="1"/>
      <c r="C74" s="2"/>
      <c r="D74" s="2"/>
      <c r="E74" s="2"/>
      <c r="F74" s="2"/>
      <c r="G74" s="2"/>
      <c r="H74" s="2"/>
      <c r="I74" s="2"/>
      <c r="J74" s="2"/>
      <c r="K74" s="2"/>
    </row>
    <row r="75" spans="1:12" ht="15">
      <c r="A75" s="170"/>
      <c r="B75" s="1"/>
      <c r="C75" s="2"/>
      <c r="D75" s="2"/>
      <c r="E75" s="2"/>
      <c r="F75" s="2"/>
      <c r="G75" s="2"/>
      <c r="H75" s="2"/>
      <c r="I75" s="2"/>
      <c r="J75" s="2"/>
      <c r="K75" s="2"/>
    </row>
    <row r="76" spans="1:12" ht="15">
      <c r="A76" s="170"/>
      <c r="B76" s="1"/>
      <c r="C76" s="2"/>
      <c r="D76" s="2"/>
      <c r="E76" s="2"/>
      <c r="F76" s="2"/>
      <c r="G76" s="2"/>
      <c r="H76" s="2"/>
      <c r="I76" s="2"/>
      <c r="J76" s="2"/>
      <c r="K76" s="2"/>
    </row>
    <row r="77" spans="1:12" ht="15">
      <c r="A77" s="170"/>
      <c r="B77" s="1"/>
      <c r="C77" s="2"/>
      <c r="D77" s="2"/>
      <c r="E77" s="2"/>
      <c r="F77" s="2"/>
      <c r="G77" s="2"/>
      <c r="H77" s="2"/>
      <c r="I77" s="2"/>
      <c r="J77" s="2"/>
      <c r="K77" s="2"/>
    </row>
    <row r="78" spans="1:12" s="148" customFormat="1" ht="15">
      <c r="A78" s="170"/>
      <c r="B78" s="1"/>
      <c r="C78" s="2"/>
      <c r="D78" s="2"/>
      <c r="E78" s="2"/>
      <c r="F78" s="2"/>
      <c r="G78" s="2"/>
      <c r="H78" s="2"/>
      <c r="I78" s="2"/>
      <c r="J78" s="2"/>
      <c r="K78" s="2"/>
    </row>
    <row r="79" spans="1:12" s="148" customFormat="1" ht="15">
      <c r="A79" s="170"/>
      <c r="B79" s="1"/>
      <c r="C79" s="2"/>
      <c r="D79" s="2"/>
      <c r="E79" s="2"/>
      <c r="F79" s="2"/>
      <c r="G79" s="2"/>
      <c r="H79" s="2"/>
      <c r="I79" s="2"/>
      <c r="J79" s="2"/>
      <c r="K79" s="2"/>
    </row>
    <row r="80" spans="1:12" s="148" customFormat="1" ht="15">
      <c r="A80" s="170"/>
      <c r="B80" s="1"/>
      <c r="C80" s="2"/>
      <c r="D80" s="2"/>
      <c r="E80" s="2"/>
      <c r="F80" s="2"/>
      <c r="G80" s="2"/>
      <c r="H80" s="2"/>
      <c r="I80" s="2"/>
      <c r="J80" s="2"/>
      <c r="K80" s="2"/>
    </row>
    <row r="81" spans="1:11" s="148" customFormat="1" ht="15">
      <c r="A81" s="170"/>
      <c r="B81" s="1"/>
      <c r="C81" s="2"/>
      <c r="D81" s="2"/>
      <c r="E81" s="2"/>
      <c r="F81" s="2"/>
      <c r="G81" s="2"/>
      <c r="H81" s="2"/>
      <c r="I81" s="2"/>
      <c r="J81" s="2"/>
      <c r="K81" s="2"/>
    </row>
    <row r="82" spans="1:11" s="148" customFormat="1" ht="15">
      <c r="A82" s="170"/>
      <c r="B82" s="1"/>
      <c r="C82" s="2"/>
      <c r="D82" s="2"/>
      <c r="E82" s="2"/>
      <c r="F82" s="2"/>
      <c r="G82" s="2"/>
      <c r="H82" s="2"/>
      <c r="I82" s="2"/>
      <c r="J82" s="2"/>
      <c r="K82" s="2"/>
    </row>
    <row r="83" spans="1:11" s="148" customFormat="1" ht="15">
      <c r="A83" s="170"/>
      <c r="B83" s="1"/>
      <c r="C83" s="2"/>
      <c r="D83" s="2"/>
      <c r="E83" s="2"/>
      <c r="F83" s="2"/>
      <c r="G83" s="2"/>
      <c r="H83" s="2"/>
      <c r="I83" s="2"/>
      <c r="J83" s="2"/>
      <c r="K83" s="2"/>
    </row>
    <row r="84" spans="1:11" s="148" customFormat="1">
      <c r="A84" s="170"/>
      <c r="B84" s="170"/>
      <c r="C84" s="186"/>
      <c r="D84" s="186"/>
      <c r="E84" s="187"/>
      <c r="F84" s="187"/>
      <c r="G84" s="187"/>
      <c r="H84" s="187"/>
      <c r="I84" s="187"/>
      <c r="J84" s="187"/>
      <c r="K84" s="187"/>
    </row>
  </sheetData>
  <mergeCells count="2">
    <mergeCell ref="B1:K1"/>
    <mergeCell ref="B3:K6"/>
  </mergeCells>
  <printOptions horizontalCentered="1"/>
  <pageMargins left="0" right="0" top="0.5" bottom="0" header="0" footer="0"/>
  <pageSetup scale="70" orientation="portrait" r:id="rId1"/>
  <rowBreaks count="1" manualBreakCount="1">
    <brk id="83" max="16383" man="1"/>
  </rowBreaks>
  <drawing r:id="rId2"/>
</worksheet>
</file>

<file path=xl/worksheets/sheet7.xml><?xml version="1.0" encoding="utf-8"?>
<worksheet xmlns="http://schemas.openxmlformats.org/spreadsheetml/2006/main" xmlns:r="http://schemas.openxmlformats.org/officeDocument/2006/relationships">
  <dimension ref="A1:L1148"/>
  <sheetViews>
    <sheetView zoomScaleNormal="100" zoomScaleSheetLayoutView="100" workbookViewId="0">
      <selection activeCell="O1120" sqref="O1120"/>
    </sheetView>
  </sheetViews>
  <sheetFormatPr defaultRowHeight="12.75"/>
  <cols>
    <col min="1" max="1" width="3.7109375" style="170" customWidth="1"/>
    <col min="2" max="2" width="33" style="170" customWidth="1"/>
    <col min="3" max="4" width="12.7109375" style="186" customWidth="1"/>
    <col min="5" max="11" width="12.7109375" style="187" customWidth="1"/>
    <col min="12" max="16384" width="9.140625" style="170"/>
  </cols>
  <sheetData>
    <row r="1" spans="1:11" ht="18.75">
      <c r="A1" s="1"/>
      <c r="B1" s="722" t="s">
        <v>915</v>
      </c>
      <c r="C1" s="722"/>
      <c r="D1" s="722"/>
      <c r="E1" s="722"/>
      <c r="F1" s="722"/>
      <c r="G1" s="722"/>
      <c r="H1" s="722"/>
      <c r="I1" s="722"/>
      <c r="J1" s="722"/>
      <c r="K1" s="722"/>
    </row>
    <row r="2" spans="1:11" ht="7.5" customHeight="1">
      <c r="A2" s="1"/>
      <c r="B2" s="72"/>
      <c r="C2" s="3"/>
      <c r="D2" s="2"/>
      <c r="E2" s="2"/>
      <c r="F2" s="2"/>
      <c r="G2" s="2"/>
      <c r="H2" s="2"/>
      <c r="I2" s="2"/>
      <c r="J2" s="2"/>
      <c r="K2" s="2"/>
    </row>
    <row r="3" spans="1:11" ht="15" customHeight="1">
      <c r="A3" s="1"/>
      <c r="B3" s="715" t="s">
        <v>916</v>
      </c>
      <c r="C3" s="715"/>
      <c r="D3" s="715"/>
      <c r="E3" s="715"/>
      <c r="F3" s="715"/>
      <c r="G3" s="715"/>
      <c r="H3" s="715"/>
      <c r="I3" s="715"/>
      <c r="J3" s="715"/>
      <c r="K3" s="715"/>
    </row>
    <row r="4" spans="1:11" ht="15">
      <c r="A4" s="1"/>
      <c r="B4" s="715"/>
      <c r="C4" s="715"/>
      <c r="D4" s="715"/>
      <c r="E4" s="715"/>
      <c r="F4" s="715"/>
      <c r="G4" s="715"/>
      <c r="H4" s="715"/>
      <c r="I4" s="715"/>
      <c r="J4" s="715"/>
      <c r="K4" s="715"/>
    </row>
    <row r="5" spans="1:11" ht="7.5" customHeight="1">
      <c r="A5" s="1"/>
      <c r="B5" s="686"/>
      <c r="C5" s="25"/>
      <c r="D5" s="25"/>
      <c r="E5" s="25"/>
      <c r="F5" s="25"/>
      <c r="G5" s="25"/>
      <c r="H5" s="2"/>
      <c r="I5" s="2"/>
      <c r="J5" s="2"/>
      <c r="K5" s="2"/>
    </row>
    <row r="6" spans="1:11" ht="15">
      <c r="A6" s="1"/>
      <c r="B6" s="5"/>
      <c r="C6" s="72"/>
      <c r="D6" s="73"/>
      <c r="E6" s="72" t="s">
        <v>283</v>
      </c>
      <c r="F6" s="1"/>
      <c r="G6" s="1"/>
      <c r="H6" s="1"/>
      <c r="I6" s="1"/>
      <c r="J6" s="1"/>
      <c r="K6" s="1"/>
    </row>
    <row r="7" spans="1:11" ht="15">
      <c r="A7" s="1"/>
      <c r="B7" s="73"/>
      <c r="C7" s="72" t="s">
        <v>229</v>
      </c>
      <c r="D7" s="96" t="s">
        <v>282</v>
      </c>
      <c r="E7" s="73" t="s">
        <v>917</v>
      </c>
      <c r="F7" s="73" t="s">
        <v>283</v>
      </c>
      <c r="G7" s="73" t="s">
        <v>298</v>
      </c>
      <c r="H7" s="73" t="s">
        <v>299</v>
      </c>
      <c r="I7" s="73" t="s">
        <v>300</v>
      </c>
      <c r="J7" s="73" t="s">
        <v>1087</v>
      </c>
      <c r="K7" s="73" t="s">
        <v>1224</v>
      </c>
    </row>
    <row r="8" spans="1:11" ht="15.75" thickBot="1">
      <c r="A8" s="1"/>
      <c r="B8" s="188"/>
      <c r="C8" s="75" t="s">
        <v>1</v>
      </c>
      <c r="D8" s="75" t="s">
        <v>1</v>
      </c>
      <c r="E8" s="75" t="s">
        <v>871</v>
      </c>
      <c r="F8" s="75" t="s">
        <v>20</v>
      </c>
      <c r="G8" s="75" t="s">
        <v>917</v>
      </c>
      <c r="H8" s="75" t="s">
        <v>20</v>
      </c>
      <c r="I8" s="75" t="s">
        <v>20</v>
      </c>
      <c r="J8" s="75" t="s">
        <v>20</v>
      </c>
      <c r="K8" s="75" t="s">
        <v>20</v>
      </c>
    </row>
    <row r="9" spans="1:11" ht="15">
      <c r="A9" s="1"/>
      <c r="B9" s="71"/>
      <c r="C9" s="189"/>
      <c r="D9" s="2"/>
      <c r="E9" s="2"/>
      <c r="F9" s="2"/>
      <c r="G9" s="2"/>
      <c r="H9" s="2"/>
      <c r="I9" s="2"/>
      <c r="J9" s="2"/>
      <c r="K9" s="2"/>
    </row>
    <row r="10" spans="1:11" ht="15">
      <c r="A10" s="1"/>
      <c r="B10" s="177" t="s">
        <v>918</v>
      </c>
      <c r="C10" s="2"/>
      <c r="D10" s="2"/>
      <c r="E10" s="2"/>
      <c r="F10" s="2"/>
      <c r="G10" s="2"/>
      <c r="H10" s="2"/>
      <c r="I10" s="2"/>
      <c r="J10" s="2"/>
      <c r="K10" s="2"/>
    </row>
    <row r="11" spans="1:11" ht="20.100000000000001" customHeight="1">
      <c r="A11" s="1"/>
      <c r="B11" s="687" t="s">
        <v>919</v>
      </c>
      <c r="C11" s="2">
        <f>SUM('Budget Detail FY 2012-19'!N9:N24)</f>
        <v>7942975</v>
      </c>
      <c r="D11" s="2">
        <f>SUM('Budget Detail FY 2012-19'!O9:O24)</f>
        <v>9317383</v>
      </c>
      <c r="E11" s="2">
        <f>SUM('Budget Detail FY 2012-19'!P9:P24)</f>
        <v>9359104</v>
      </c>
      <c r="F11" s="2">
        <f>SUM('Budget Detail FY 2012-19'!Q9:Q24)</f>
        <v>9539599</v>
      </c>
      <c r="G11" s="2">
        <f>SUM('Budget Detail FY 2012-19'!R9:R24)</f>
        <v>9871724</v>
      </c>
      <c r="H11" s="2">
        <f>SUM('Budget Detail FY 2012-19'!S9:S24)</f>
        <v>9974701</v>
      </c>
      <c r="I11" s="2">
        <f>SUM('Budget Detail FY 2012-19'!T9:T24)</f>
        <v>10093408</v>
      </c>
      <c r="J11" s="2">
        <f>SUM('Budget Detail FY 2012-19'!U9:U24)</f>
        <v>10207852</v>
      </c>
      <c r="K11" s="2">
        <f>SUM('Budget Detail FY 2012-19'!V9:V24)</f>
        <v>10313041</v>
      </c>
    </row>
    <row r="12" spans="1:11" ht="20.100000000000001" customHeight="1">
      <c r="A12" s="1"/>
      <c r="B12" s="687" t="s">
        <v>920</v>
      </c>
      <c r="C12" s="2">
        <f>SUM('Budget Detail FY 2012-19'!N25:N33)</f>
        <v>1917618</v>
      </c>
      <c r="D12" s="2">
        <f>SUM('Budget Detail FY 2012-19'!O25:O33)</f>
        <v>2080757</v>
      </c>
      <c r="E12" s="2">
        <f>SUM('Budget Detail FY 2012-19'!P25:P33)</f>
        <v>2018200</v>
      </c>
      <c r="F12" s="2">
        <f>SUM('Budget Detail FY 2012-19'!Q25:Q33)</f>
        <v>2171750</v>
      </c>
      <c r="G12" s="2">
        <f>SUM('Budget Detail FY 2012-19'!R25:R33)</f>
        <v>2177200</v>
      </c>
      <c r="H12" s="2">
        <f>SUM('Budget Detail FY 2012-19'!S25:S33)</f>
        <v>2177200</v>
      </c>
      <c r="I12" s="2">
        <f>SUM('Budget Detail FY 2012-19'!T25:T33)</f>
        <v>2187200</v>
      </c>
      <c r="J12" s="2">
        <f>SUM('Budget Detail FY 2012-19'!U25:U33)</f>
        <v>2192200</v>
      </c>
      <c r="K12" s="2">
        <f>SUM('Budget Detail FY 2012-19'!V25:V33)</f>
        <v>2202200</v>
      </c>
    </row>
    <row r="13" spans="1:11" ht="20.100000000000001" customHeight="1">
      <c r="A13" s="1"/>
      <c r="B13" s="688" t="s">
        <v>921</v>
      </c>
      <c r="C13" s="2">
        <f>SUM('Budget Detail FY 2012-19'!N34:N36)</f>
        <v>171921</v>
      </c>
      <c r="D13" s="2">
        <f>SUM('Budget Detail FY 2012-19'!O34:O36)</f>
        <v>168831</v>
      </c>
      <c r="E13" s="2">
        <f>SUM('Budget Detail FY 2012-19'!P34:P36)</f>
        <v>193000</v>
      </c>
      <c r="F13" s="2">
        <f>SUM('Budget Detail FY 2012-19'!Q34:Q36)</f>
        <v>172500</v>
      </c>
      <c r="G13" s="2">
        <f>SUM('Budget Detail FY 2012-19'!R34:R36)</f>
        <v>193000</v>
      </c>
      <c r="H13" s="2">
        <f>SUM('Budget Detail FY 2012-19'!S34:S36)</f>
        <v>193000</v>
      </c>
      <c r="I13" s="2">
        <f>SUM('Budget Detail FY 2012-19'!T34:T36)</f>
        <v>243000</v>
      </c>
      <c r="J13" s="2">
        <f>SUM('Budget Detail FY 2012-19'!U34:U36)</f>
        <v>243000</v>
      </c>
      <c r="K13" s="2">
        <f>SUM('Budget Detail FY 2012-19'!V34:V36)</f>
        <v>243000</v>
      </c>
    </row>
    <row r="14" spans="1:11" ht="20.100000000000001" customHeight="1">
      <c r="A14" s="1"/>
      <c r="B14" s="688" t="s">
        <v>922</v>
      </c>
      <c r="C14" s="2">
        <f>SUM('Budget Detail FY 2012-19'!N37:N40)</f>
        <v>175159</v>
      </c>
      <c r="D14" s="2">
        <f>SUM('Budget Detail FY 2012-19'!O37:O40)</f>
        <v>169144</v>
      </c>
      <c r="E14" s="2">
        <f>SUM('Budget Detail FY 2012-19'!P37:P40)</f>
        <v>180200</v>
      </c>
      <c r="F14" s="2">
        <f>SUM('Budget Detail FY 2012-19'!Q37:Q40)</f>
        <v>181750</v>
      </c>
      <c r="G14" s="2">
        <f>SUM('Budget Detail FY 2012-19'!R37:R40)</f>
        <v>175250</v>
      </c>
      <c r="H14" s="2">
        <f>SUM('Budget Detail FY 2012-19'!S37:S40)</f>
        <v>175250</v>
      </c>
      <c r="I14" s="2">
        <f>SUM('Budget Detail FY 2012-19'!T37:T40)</f>
        <v>175250</v>
      </c>
      <c r="J14" s="2">
        <f>SUM('Budget Detail FY 2012-19'!U37:U40)</f>
        <v>175250</v>
      </c>
      <c r="K14" s="2">
        <f>SUM('Budget Detail FY 2012-19'!V37:V40)</f>
        <v>175250</v>
      </c>
    </row>
    <row r="15" spans="1:11" ht="20.100000000000001" customHeight="1">
      <c r="A15" s="1"/>
      <c r="B15" s="688" t="s">
        <v>923</v>
      </c>
      <c r="C15" s="2">
        <f>SUM('Budget Detail FY 2012-19'!N41:N47)</f>
        <v>1561554</v>
      </c>
      <c r="D15" s="2">
        <f>SUM('Budget Detail FY 2012-19'!O41:O47)</f>
        <v>1199908</v>
      </c>
      <c r="E15" s="2">
        <f>SUM('Budget Detail FY 2012-19'!P41:P47)</f>
        <v>1181235</v>
      </c>
      <c r="F15" s="2">
        <f>SUM('Budget Detail FY 2012-19'!Q41:Q47)</f>
        <v>1173214</v>
      </c>
      <c r="G15" s="2">
        <f>SUM('Budget Detail FY 2012-19'!R41:R47)</f>
        <v>1203201</v>
      </c>
      <c r="H15" s="2">
        <f>SUM('Budget Detail FY 2012-19'!S41:S47)</f>
        <v>1234152</v>
      </c>
      <c r="I15" s="2">
        <f>SUM('Budget Detail FY 2012-19'!T41:T47)</f>
        <v>1266032</v>
      </c>
      <c r="J15" s="2">
        <f>SUM('Budget Detail FY 2012-19'!U41:U47)</f>
        <v>1298868</v>
      </c>
      <c r="K15" s="2">
        <f>SUM('Budget Detail FY 2012-19'!V41:V47)</f>
        <v>1332689</v>
      </c>
    </row>
    <row r="16" spans="1:11" ht="20.100000000000001" customHeight="1">
      <c r="A16" s="1"/>
      <c r="B16" s="688" t="s">
        <v>924</v>
      </c>
      <c r="C16" s="2">
        <f>SUM('Budget Detail FY 2012-19'!N48)</f>
        <v>5102</v>
      </c>
      <c r="D16" s="2">
        <f>SUM('Budget Detail FY 2012-19'!O48)</f>
        <v>7287</v>
      </c>
      <c r="E16" s="2">
        <f>SUM('Budget Detail FY 2012-19'!P48)</f>
        <v>6500</v>
      </c>
      <c r="F16" s="2">
        <f>SUM('Budget Detail FY 2012-19'!Q48)</f>
        <v>8300</v>
      </c>
      <c r="G16" s="2">
        <f>SUM('Budget Detail FY 2012-19'!R48)</f>
        <v>8000</v>
      </c>
      <c r="H16" s="2">
        <f>SUM('Budget Detail FY 2012-19'!S48)</f>
        <v>6000</v>
      </c>
      <c r="I16" s="2">
        <f>SUM('Budget Detail FY 2012-19'!T48)</f>
        <v>5000</v>
      </c>
      <c r="J16" s="2">
        <f>SUM('Budget Detail FY 2012-19'!U48)</f>
        <v>3000</v>
      </c>
      <c r="K16" s="2">
        <f>SUM('Budget Detail FY 2012-19'!V48)</f>
        <v>2000</v>
      </c>
    </row>
    <row r="17" spans="1:12" ht="20.100000000000001" customHeight="1">
      <c r="A17" s="1"/>
      <c r="B17" s="688" t="s">
        <v>925</v>
      </c>
      <c r="C17" s="2">
        <f>SUM('Budget Detail FY 2012-19'!N49:N59)</f>
        <v>391321</v>
      </c>
      <c r="D17" s="2">
        <f>SUM('Budget Detail FY 2012-19'!O49:O59)</f>
        <v>238535</v>
      </c>
      <c r="E17" s="2">
        <f>SUM('Budget Detail FY 2012-19'!P49:P59)</f>
        <v>55000</v>
      </c>
      <c r="F17" s="2">
        <f>SUM('Budget Detail FY 2012-19'!Q49:Q59)</f>
        <v>80000</v>
      </c>
      <c r="G17" s="2">
        <f>SUM('Budget Detail FY 2012-19'!R49:R59)</f>
        <v>80000</v>
      </c>
      <c r="H17" s="2">
        <f>SUM('Budget Detail FY 2012-19'!S49:S59)</f>
        <v>80000</v>
      </c>
      <c r="I17" s="2">
        <f>SUM('Budget Detail FY 2012-19'!T49:T59)</f>
        <v>80000</v>
      </c>
      <c r="J17" s="2">
        <f>SUM('Budget Detail FY 2012-19'!U49:U59)</f>
        <v>80000</v>
      </c>
      <c r="K17" s="2">
        <f>SUM('Budget Detail FY 2012-19'!V49:V59)</f>
        <v>80000</v>
      </c>
    </row>
    <row r="18" spans="1:12" ht="20.100000000000001" customHeight="1">
      <c r="A18" s="1"/>
      <c r="B18" s="688" t="s">
        <v>926</v>
      </c>
      <c r="C18" s="2">
        <f>SUM('Budget Detail FY 2012-19'!N60:N62)</f>
        <v>13702</v>
      </c>
      <c r="D18" s="2">
        <f>SUM('Budget Detail FY 2012-19'!O60:O62)</f>
        <v>132965</v>
      </c>
      <c r="E18" s="2">
        <f>SUM('Budget Detail FY 2012-19'!P60:P62)</f>
        <v>11000</v>
      </c>
      <c r="F18" s="2">
        <f>SUM('Budget Detail FY 2012-19'!Q60:Q62)</f>
        <v>9500</v>
      </c>
      <c r="G18" s="2">
        <f>SUM('Budget Detail FY 2012-19'!R60:R62)</f>
        <v>13000</v>
      </c>
      <c r="H18" s="2">
        <f>SUM('Budget Detail FY 2012-19'!S60:S62)</f>
        <v>13000</v>
      </c>
      <c r="I18" s="2">
        <f>SUM('Budget Detail FY 2012-19'!T60:T62)</f>
        <v>13000</v>
      </c>
      <c r="J18" s="2">
        <f>SUM('Budget Detail FY 2012-19'!U60:U62)</f>
        <v>13000</v>
      </c>
      <c r="K18" s="2">
        <f>SUM('Budget Detail FY 2012-19'!V60:V62)</f>
        <v>13000</v>
      </c>
    </row>
    <row r="19" spans="1:12" ht="20.100000000000001" customHeight="1">
      <c r="A19" s="1"/>
      <c r="B19" s="688" t="s">
        <v>927</v>
      </c>
      <c r="C19" s="2">
        <f>SUM('Budget Detail FY 2012-19'!N63:N64)</f>
        <v>332500</v>
      </c>
      <c r="D19" s="2">
        <f>SUM('Budget Detail FY 2012-19'!O63:O64)</f>
        <v>0</v>
      </c>
      <c r="E19" s="2">
        <f>SUM('Budget Detail FY 2012-19'!P63:P64)</f>
        <v>5250</v>
      </c>
      <c r="F19" s="2">
        <f>SUM('Budget Detail FY 2012-19'!Q63:Q64)</f>
        <v>5250</v>
      </c>
      <c r="G19" s="2">
        <f>SUM('Budget Detail FY 2012-19'!R63:R64)</f>
        <v>5250</v>
      </c>
      <c r="H19" s="2">
        <f>SUM('Budget Detail FY 2012-19'!S63:S64)</f>
        <v>5250</v>
      </c>
      <c r="I19" s="2">
        <f>SUM('Budget Detail FY 2012-19'!T63:T64)</f>
        <v>5250</v>
      </c>
      <c r="J19" s="2">
        <f>SUM('Budget Detail FY 2012-19'!U63:U64)</f>
        <v>5250</v>
      </c>
      <c r="K19" s="2">
        <f>SUM('Budget Detail FY 2012-19'!V63:V64)</f>
        <v>5250</v>
      </c>
    </row>
    <row r="20" spans="1:12" ht="20.100000000000001" customHeight="1" thickBot="1">
      <c r="A20" s="1"/>
      <c r="B20" s="172" t="s">
        <v>928</v>
      </c>
      <c r="C20" s="169">
        <f>SUM(C11:C19)</f>
        <v>12511852</v>
      </c>
      <c r="D20" s="169">
        <f t="shared" ref="D20:J20" si="0">SUM(D11:D19)</f>
        <v>13314810</v>
      </c>
      <c r="E20" s="169">
        <f t="shared" si="0"/>
        <v>13009489</v>
      </c>
      <c r="F20" s="169">
        <f t="shared" si="0"/>
        <v>13341863</v>
      </c>
      <c r="G20" s="169">
        <f>SUM(G11:G19)</f>
        <v>13726625</v>
      </c>
      <c r="H20" s="169">
        <f t="shared" si="0"/>
        <v>13858553</v>
      </c>
      <c r="I20" s="169">
        <f t="shared" si="0"/>
        <v>14068140</v>
      </c>
      <c r="J20" s="169">
        <f t="shared" si="0"/>
        <v>14218420</v>
      </c>
      <c r="K20" s="169">
        <f>SUM(K11:K19)</f>
        <v>14366430</v>
      </c>
      <c r="L20" s="173"/>
    </row>
    <row r="21" spans="1:12" s="173" customFormat="1" ht="15" hidden="1">
      <c r="A21" s="199"/>
      <c r="B21" s="174"/>
      <c r="C21" s="146">
        <f>'Budget Detail FY 2012-19'!N66</f>
        <v>12511852</v>
      </c>
      <c r="D21" s="146">
        <f>'Budget Detail FY 2012-19'!O66</f>
        <v>13314810</v>
      </c>
      <c r="E21" s="146">
        <f>'Budget Detail FY 2012-19'!P66</f>
        <v>13009489</v>
      </c>
      <c r="F21" s="146">
        <f>'Budget Detail FY 2012-19'!Q66</f>
        <v>13341863</v>
      </c>
      <c r="G21" s="146">
        <f>'Budget Detail FY 2012-19'!R66</f>
        <v>13726625</v>
      </c>
      <c r="H21" s="146">
        <f>'Budget Detail FY 2012-19'!S66</f>
        <v>13858553</v>
      </c>
      <c r="I21" s="146">
        <f>'Budget Detail FY 2012-19'!T66</f>
        <v>14068140</v>
      </c>
      <c r="J21" s="146">
        <f>'Budget Detail FY 2012-19'!U66</f>
        <v>14218420</v>
      </c>
      <c r="K21" s="146">
        <f>'Budget Detail FY 2012-19'!V66</f>
        <v>14366430</v>
      </c>
      <c r="L21" s="586" t="s">
        <v>1299</v>
      </c>
    </row>
    <row r="22" spans="1:12" s="175" customFormat="1" ht="15" hidden="1">
      <c r="A22" s="200"/>
      <c r="B22" s="176"/>
      <c r="C22" s="182">
        <f>C20-C21</f>
        <v>0</v>
      </c>
      <c r="D22" s="182">
        <f t="shared" ref="D22:K22" si="1">D20-D21</f>
        <v>0</v>
      </c>
      <c r="E22" s="182">
        <f t="shared" si="1"/>
        <v>0</v>
      </c>
      <c r="F22" s="182">
        <f t="shared" si="1"/>
        <v>0</v>
      </c>
      <c r="G22" s="182">
        <f t="shared" si="1"/>
        <v>0</v>
      </c>
      <c r="H22" s="182">
        <f t="shared" si="1"/>
        <v>0</v>
      </c>
      <c r="I22" s="182">
        <f t="shared" si="1"/>
        <v>0</v>
      </c>
      <c r="J22" s="182">
        <f t="shared" si="1"/>
        <v>0</v>
      </c>
      <c r="K22" s="182">
        <f t="shared" si="1"/>
        <v>0</v>
      </c>
      <c r="L22" s="587" t="s">
        <v>1300</v>
      </c>
    </row>
    <row r="23" spans="1:12" ht="7.5" customHeight="1">
      <c r="A23" s="1"/>
      <c r="B23" s="1"/>
      <c r="C23" s="2"/>
      <c r="D23" s="2"/>
      <c r="E23" s="2"/>
      <c r="F23" s="2"/>
      <c r="G23" s="2"/>
      <c r="H23" s="2"/>
      <c r="I23" s="2"/>
      <c r="J23" s="2"/>
      <c r="K23" s="2"/>
    </row>
    <row r="24" spans="1:12" ht="15">
      <c r="A24" s="1"/>
      <c r="B24" s="177" t="s">
        <v>659</v>
      </c>
      <c r="C24" s="2"/>
      <c r="D24" s="2"/>
      <c r="E24" s="2"/>
      <c r="F24" s="2"/>
      <c r="G24" s="2"/>
      <c r="H24" s="2"/>
      <c r="I24" s="2"/>
      <c r="J24" s="2"/>
      <c r="K24" s="2"/>
    </row>
    <row r="25" spans="1:12" ht="20.100000000000001" customHeight="1">
      <c r="A25" s="1"/>
      <c r="B25" s="689" t="s">
        <v>929</v>
      </c>
      <c r="C25" s="2">
        <f>'Gen Fd Cover Sheets'!C12+'Gen Fd Cover Sheets'!C46+'Gen Fd Cover Sheets'!C77+'Gen Fd Cover Sheets'!C108+'Gen Fd Cover Sheets'!C144+'Gen Fd Cover Sheets'!C175+'Gen Fd Cover Sheets'!C209</f>
        <v>3029713</v>
      </c>
      <c r="D25" s="2">
        <f>'Gen Fd Cover Sheets'!D12+'Gen Fd Cover Sheets'!D46+'Gen Fd Cover Sheets'!D77+'Gen Fd Cover Sheets'!D108+'Gen Fd Cover Sheets'!D144+'Gen Fd Cover Sheets'!D175+'Gen Fd Cover Sheets'!D209</f>
        <v>3170404</v>
      </c>
      <c r="E25" s="2">
        <f>'Gen Fd Cover Sheets'!E12+'Gen Fd Cover Sheets'!E46+'Gen Fd Cover Sheets'!E77+'Gen Fd Cover Sheets'!E108+'Gen Fd Cover Sheets'!E144+'Gen Fd Cover Sheets'!E175+'Gen Fd Cover Sheets'!E209</f>
        <v>3546298</v>
      </c>
      <c r="F25" s="2">
        <f>'Gen Fd Cover Sheets'!F12+'Gen Fd Cover Sheets'!F46+'Gen Fd Cover Sheets'!F77+'Gen Fd Cover Sheets'!F108+'Gen Fd Cover Sheets'!F144+'Gen Fd Cover Sheets'!F175+'Gen Fd Cover Sheets'!F209</f>
        <v>3540798</v>
      </c>
      <c r="G25" s="2">
        <f>'Gen Fd Cover Sheets'!G12+'Gen Fd Cover Sheets'!G46+'Gen Fd Cover Sheets'!G77+'Gen Fd Cover Sheets'!G108+'Gen Fd Cover Sheets'!G144+'Gen Fd Cover Sheets'!G175+'Gen Fd Cover Sheets'!G209</f>
        <v>3967218</v>
      </c>
      <c r="H25" s="2">
        <f>'Gen Fd Cover Sheets'!H12+'Gen Fd Cover Sheets'!H46+'Gen Fd Cover Sheets'!H77+'Gen Fd Cover Sheets'!H108+'Gen Fd Cover Sheets'!H144+'Gen Fd Cover Sheets'!H175+'Gen Fd Cover Sheets'!H209</f>
        <v>4179479</v>
      </c>
      <c r="I25" s="2">
        <f>'Gen Fd Cover Sheets'!I12+'Gen Fd Cover Sheets'!I46+'Gen Fd Cover Sheets'!I77+'Gen Fd Cover Sheets'!I108+'Gen Fd Cover Sheets'!I144+'Gen Fd Cover Sheets'!I175+'Gen Fd Cover Sheets'!I209</f>
        <v>4314437</v>
      </c>
      <c r="J25" s="2">
        <f>'Gen Fd Cover Sheets'!J12+'Gen Fd Cover Sheets'!J46+'Gen Fd Cover Sheets'!J77+'Gen Fd Cover Sheets'!J108+'Gen Fd Cover Sheets'!J144+'Gen Fd Cover Sheets'!J175+'Gen Fd Cover Sheets'!J209</f>
        <v>4454120</v>
      </c>
      <c r="K25" s="2">
        <f>'Gen Fd Cover Sheets'!K12+'Gen Fd Cover Sheets'!K46+'Gen Fd Cover Sheets'!K77+'Gen Fd Cover Sheets'!K108+'Gen Fd Cover Sheets'!K144+'Gen Fd Cover Sheets'!K175+'Gen Fd Cover Sheets'!K209</f>
        <v>4598691</v>
      </c>
    </row>
    <row r="26" spans="1:12" ht="20.100000000000001" customHeight="1">
      <c r="A26" s="1"/>
      <c r="B26" s="689" t="s">
        <v>930</v>
      </c>
      <c r="C26" s="2">
        <f>'Gen Fd Cover Sheets'!C13+'Gen Fd Cover Sheets'!C47+'Gen Fd Cover Sheets'!C78+'Gen Fd Cover Sheets'!C109+'Gen Fd Cover Sheets'!C145+'Gen Fd Cover Sheets'!C176+'Gen Fd Cover Sheets'!C210</f>
        <v>2407769</v>
      </c>
      <c r="D26" s="2">
        <f>'Gen Fd Cover Sheets'!D13+'Gen Fd Cover Sheets'!D47+'Gen Fd Cover Sheets'!D78+'Gen Fd Cover Sheets'!D109+'Gen Fd Cover Sheets'!D145+'Gen Fd Cover Sheets'!D176+'Gen Fd Cover Sheets'!D210</f>
        <v>1909160</v>
      </c>
      <c r="E26" s="2">
        <f>'Gen Fd Cover Sheets'!E13+'Gen Fd Cover Sheets'!E47+'Gen Fd Cover Sheets'!E78+'Gen Fd Cover Sheets'!E109+'Gen Fd Cover Sheets'!E145+'Gen Fd Cover Sheets'!E176+'Gen Fd Cover Sheets'!E210</f>
        <v>2270039</v>
      </c>
      <c r="F26" s="2">
        <f>'Gen Fd Cover Sheets'!F13+'Gen Fd Cover Sheets'!F47+'Gen Fd Cover Sheets'!F78+'Gen Fd Cover Sheets'!F109+'Gen Fd Cover Sheets'!F145+'Gen Fd Cover Sheets'!F176+'Gen Fd Cover Sheets'!F210</f>
        <v>2136670</v>
      </c>
      <c r="G26" s="2">
        <f>'Gen Fd Cover Sheets'!G13+'Gen Fd Cover Sheets'!G47+'Gen Fd Cover Sheets'!G78+'Gen Fd Cover Sheets'!G109+'Gen Fd Cover Sheets'!G145+'Gen Fd Cover Sheets'!G176+'Gen Fd Cover Sheets'!G210</f>
        <v>2470227</v>
      </c>
      <c r="H26" s="2">
        <f>'Gen Fd Cover Sheets'!H13+'Gen Fd Cover Sheets'!H47+'Gen Fd Cover Sheets'!H78+'Gen Fd Cover Sheets'!H109+'Gen Fd Cover Sheets'!H145+'Gen Fd Cover Sheets'!H176+'Gen Fd Cover Sheets'!H210</f>
        <v>2676671</v>
      </c>
      <c r="I26" s="2">
        <f>'Gen Fd Cover Sheets'!I13+'Gen Fd Cover Sheets'!I47+'Gen Fd Cover Sheets'!I78+'Gen Fd Cover Sheets'!I109+'Gen Fd Cover Sheets'!I145+'Gen Fd Cover Sheets'!I176+'Gen Fd Cover Sheets'!I210</f>
        <v>2842578</v>
      </c>
      <c r="J26" s="2">
        <f>'Gen Fd Cover Sheets'!J13+'Gen Fd Cover Sheets'!J47+'Gen Fd Cover Sheets'!J78+'Gen Fd Cover Sheets'!J109+'Gen Fd Cover Sheets'!J145+'Gen Fd Cover Sheets'!J176+'Gen Fd Cover Sheets'!J210</f>
        <v>3019414</v>
      </c>
      <c r="K26" s="2">
        <f>'Gen Fd Cover Sheets'!K13+'Gen Fd Cover Sheets'!K47+'Gen Fd Cover Sheets'!K78+'Gen Fd Cover Sheets'!K109+'Gen Fd Cover Sheets'!K145+'Gen Fd Cover Sheets'!K176+'Gen Fd Cover Sheets'!K210</f>
        <v>3207340</v>
      </c>
    </row>
    <row r="27" spans="1:12" ht="20.100000000000001" customHeight="1">
      <c r="A27" s="1"/>
      <c r="B27" s="689" t="s">
        <v>931</v>
      </c>
      <c r="C27" s="2">
        <f>'Gen Fd Cover Sheets'!C14+'Gen Fd Cover Sheets'!C48+'Gen Fd Cover Sheets'!C79+'Gen Fd Cover Sheets'!C110+'Gen Fd Cover Sheets'!C146+'Gen Fd Cover Sheets'!C177+'Gen Fd Cover Sheets'!C211</f>
        <v>3944907</v>
      </c>
      <c r="D27" s="2">
        <f>'Gen Fd Cover Sheets'!D14+'Gen Fd Cover Sheets'!D48+'Gen Fd Cover Sheets'!D79+'Gen Fd Cover Sheets'!D110+'Gen Fd Cover Sheets'!D146+'Gen Fd Cover Sheets'!D177+'Gen Fd Cover Sheets'!D211</f>
        <v>3520085</v>
      </c>
      <c r="E27" s="2">
        <f>'Gen Fd Cover Sheets'!E14+'Gen Fd Cover Sheets'!E48+'Gen Fd Cover Sheets'!E79+'Gen Fd Cover Sheets'!E110+'Gen Fd Cover Sheets'!E146+'Gen Fd Cover Sheets'!E177+'Gen Fd Cover Sheets'!E211</f>
        <v>3945473</v>
      </c>
      <c r="F27" s="2">
        <f>'Gen Fd Cover Sheets'!F14+'Gen Fd Cover Sheets'!F48+'Gen Fd Cover Sheets'!F79+'Gen Fd Cover Sheets'!F110+'Gen Fd Cover Sheets'!F146+'Gen Fd Cover Sheets'!F177+'Gen Fd Cover Sheets'!F211</f>
        <v>4068976</v>
      </c>
      <c r="G27" s="2">
        <f>'Gen Fd Cover Sheets'!G14+'Gen Fd Cover Sheets'!G48+'Gen Fd Cover Sheets'!G79+'Gen Fd Cover Sheets'!G110+'Gen Fd Cover Sheets'!G146+'Gen Fd Cover Sheets'!G177+'Gen Fd Cover Sheets'!G211</f>
        <v>4283415</v>
      </c>
      <c r="H27" s="2">
        <f>'Gen Fd Cover Sheets'!H14+'Gen Fd Cover Sheets'!H48+'Gen Fd Cover Sheets'!H79+'Gen Fd Cover Sheets'!H110+'Gen Fd Cover Sheets'!H146+'Gen Fd Cover Sheets'!H177+'Gen Fd Cover Sheets'!H211</f>
        <v>4273381</v>
      </c>
      <c r="I27" s="2">
        <f>'Gen Fd Cover Sheets'!I14+'Gen Fd Cover Sheets'!I48+'Gen Fd Cover Sheets'!I79+'Gen Fd Cover Sheets'!I110+'Gen Fd Cover Sheets'!I146+'Gen Fd Cover Sheets'!I177+'Gen Fd Cover Sheets'!I211</f>
        <v>4317591</v>
      </c>
      <c r="J27" s="2">
        <f>'Gen Fd Cover Sheets'!J14+'Gen Fd Cover Sheets'!J48+'Gen Fd Cover Sheets'!J79+'Gen Fd Cover Sheets'!J110+'Gen Fd Cover Sheets'!J146+'Gen Fd Cover Sheets'!J177+'Gen Fd Cover Sheets'!J211</f>
        <v>4401612</v>
      </c>
      <c r="K27" s="2">
        <f>'Gen Fd Cover Sheets'!K14+'Gen Fd Cover Sheets'!K48+'Gen Fd Cover Sheets'!K79+'Gen Fd Cover Sheets'!K110+'Gen Fd Cover Sheets'!K146+'Gen Fd Cover Sheets'!K177+'Gen Fd Cover Sheets'!K211</f>
        <v>4474911</v>
      </c>
    </row>
    <row r="28" spans="1:12" ht="20.100000000000001" customHeight="1">
      <c r="A28" s="1"/>
      <c r="B28" s="689" t="s">
        <v>932</v>
      </c>
      <c r="C28" s="2">
        <f>'Gen Fd Cover Sheets'!C15+'Gen Fd Cover Sheets'!C49+'Gen Fd Cover Sheets'!C80+'Gen Fd Cover Sheets'!C111+'Gen Fd Cover Sheets'!C147+'Gen Fd Cover Sheets'!C178+'Gen Fd Cover Sheets'!C212</f>
        <v>236916</v>
      </c>
      <c r="D28" s="2">
        <f>'Gen Fd Cover Sheets'!D15+'Gen Fd Cover Sheets'!D49+'Gen Fd Cover Sheets'!D80+'Gen Fd Cover Sheets'!D111+'Gen Fd Cover Sheets'!D147+'Gen Fd Cover Sheets'!D178+'Gen Fd Cover Sheets'!D212</f>
        <v>260466</v>
      </c>
      <c r="E28" s="2">
        <f>'Gen Fd Cover Sheets'!E15+'Gen Fd Cover Sheets'!E49+'Gen Fd Cover Sheets'!E80+'Gen Fd Cover Sheets'!E111+'Gen Fd Cover Sheets'!E147+'Gen Fd Cover Sheets'!E178+'Gen Fd Cover Sheets'!E212</f>
        <v>292110</v>
      </c>
      <c r="F28" s="2">
        <f>'Gen Fd Cover Sheets'!F15+'Gen Fd Cover Sheets'!F49+'Gen Fd Cover Sheets'!F80+'Gen Fd Cover Sheets'!F111+'Gen Fd Cover Sheets'!F147+'Gen Fd Cover Sheets'!F178+'Gen Fd Cover Sheets'!F212</f>
        <v>293110</v>
      </c>
      <c r="G28" s="2">
        <f>'Gen Fd Cover Sheets'!G15+'Gen Fd Cover Sheets'!G49+'Gen Fd Cover Sheets'!G80+'Gen Fd Cover Sheets'!G111+'Gen Fd Cover Sheets'!G147+'Gen Fd Cover Sheets'!G178+'Gen Fd Cover Sheets'!G212</f>
        <v>300299</v>
      </c>
      <c r="H28" s="2">
        <f>'Gen Fd Cover Sheets'!H15+'Gen Fd Cover Sheets'!H49+'Gen Fd Cover Sheets'!H80+'Gen Fd Cover Sheets'!H111+'Gen Fd Cover Sheets'!H147+'Gen Fd Cover Sheets'!H178+'Gen Fd Cover Sheets'!H212</f>
        <v>307827</v>
      </c>
      <c r="I28" s="2">
        <f>'Gen Fd Cover Sheets'!I15+'Gen Fd Cover Sheets'!I49+'Gen Fd Cover Sheets'!I80+'Gen Fd Cover Sheets'!I111+'Gen Fd Cover Sheets'!I147+'Gen Fd Cover Sheets'!I178+'Gen Fd Cover Sheets'!I212</f>
        <v>318012</v>
      </c>
      <c r="J28" s="2">
        <f>'Gen Fd Cover Sheets'!J15+'Gen Fd Cover Sheets'!J49+'Gen Fd Cover Sheets'!J80+'Gen Fd Cover Sheets'!J111+'Gen Fd Cover Sheets'!J147+'Gen Fd Cover Sheets'!J178+'Gen Fd Cover Sheets'!J212</f>
        <v>328899</v>
      </c>
      <c r="K28" s="2">
        <f>'Gen Fd Cover Sheets'!K15+'Gen Fd Cover Sheets'!K49+'Gen Fd Cover Sheets'!K80+'Gen Fd Cover Sheets'!K111+'Gen Fd Cover Sheets'!K147+'Gen Fd Cover Sheets'!K178+'Gen Fd Cover Sheets'!K212</f>
        <v>340538</v>
      </c>
    </row>
    <row r="29" spans="1:12" ht="20.100000000000001" customHeight="1">
      <c r="A29" s="1"/>
      <c r="B29" s="690" t="s">
        <v>934</v>
      </c>
      <c r="C29" s="2">
        <f>'Gen Fd Cover Sheets'!C213</f>
        <v>52075</v>
      </c>
      <c r="D29" s="2">
        <f>'Gen Fd Cover Sheets'!D213</f>
        <v>0</v>
      </c>
      <c r="E29" s="2">
        <f>'Gen Fd Cover Sheets'!E213</f>
        <v>50000</v>
      </c>
      <c r="F29" s="2">
        <f>'Gen Fd Cover Sheets'!F213</f>
        <v>11675</v>
      </c>
      <c r="G29" s="2">
        <f>'Gen Fd Cover Sheets'!G213</f>
        <v>0</v>
      </c>
      <c r="H29" s="2">
        <f>'Gen Fd Cover Sheets'!H213</f>
        <v>0</v>
      </c>
      <c r="I29" s="2">
        <f>'Gen Fd Cover Sheets'!I213</f>
        <v>0</v>
      </c>
      <c r="J29" s="2">
        <f>'Gen Fd Cover Sheets'!J213</f>
        <v>0</v>
      </c>
      <c r="K29" s="2">
        <f>'Gen Fd Cover Sheets'!K213</f>
        <v>0</v>
      </c>
    </row>
    <row r="30" spans="1:12" ht="20.100000000000001" customHeight="1">
      <c r="A30" s="1"/>
      <c r="B30" s="690" t="s">
        <v>935</v>
      </c>
      <c r="C30" s="2">
        <f>'Gen Fd Cover Sheets'!C214</f>
        <v>1297950</v>
      </c>
      <c r="D30" s="2">
        <f>'Gen Fd Cover Sheets'!D214</f>
        <v>1501502</v>
      </c>
      <c r="E30" s="2">
        <f>'Gen Fd Cover Sheets'!E214</f>
        <v>3798673</v>
      </c>
      <c r="F30" s="2">
        <f>'Gen Fd Cover Sheets'!F214</f>
        <v>3796914</v>
      </c>
      <c r="G30" s="2">
        <f>'Gen Fd Cover Sheets'!G214</f>
        <v>2548953</v>
      </c>
      <c r="H30" s="2">
        <f>'Gen Fd Cover Sheets'!H214</f>
        <v>2654963</v>
      </c>
      <c r="I30" s="2">
        <f>'Gen Fd Cover Sheets'!I214</f>
        <v>2823942</v>
      </c>
      <c r="J30" s="2">
        <f>'Gen Fd Cover Sheets'!J214</f>
        <v>3020169</v>
      </c>
      <c r="K30" s="2">
        <f>'Gen Fd Cover Sheets'!K214</f>
        <v>3189327</v>
      </c>
    </row>
    <row r="31" spans="1:12" ht="20.100000000000001" customHeight="1" thickBot="1">
      <c r="A31" s="1"/>
      <c r="B31" s="172" t="s">
        <v>936</v>
      </c>
      <c r="C31" s="169">
        <f t="shared" ref="C31:J31" si="2">SUM(C25:C30)</f>
        <v>10969330</v>
      </c>
      <c r="D31" s="169">
        <f t="shared" si="2"/>
        <v>10361617</v>
      </c>
      <c r="E31" s="169">
        <f t="shared" si="2"/>
        <v>13902593</v>
      </c>
      <c r="F31" s="169">
        <f t="shared" si="2"/>
        <v>13848143</v>
      </c>
      <c r="G31" s="169">
        <f t="shared" si="2"/>
        <v>13570112</v>
      </c>
      <c r="H31" s="169">
        <f t="shared" si="2"/>
        <v>14092321</v>
      </c>
      <c r="I31" s="169">
        <f t="shared" si="2"/>
        <v>14616560</v>
      </c>
      <c r="J31" s="169">
        <f t="shared" si="2"/>
        <v>15224214</v>
      </c>
      <c r="K31" s="169">
        <f>SUM(K25:K30)</f>
        <v>15810807</v>
      </c>
      <c r="L31" s="173"/>
    </row>
    <row r="32" spans="1:12" s="173" customFormat="1" ht="15" hidden="1">
      <c r="A32" s="199"/>
      <c r="B32" s="174"/>
      <c r="C32" s="146">
        <f>'Budget Detail FY 2012-19'!N302</f>
        <v>10969330</v>
      </c>
      <c r="D32" s="146">
        <f>'Budget Detail FY 2012-19'!O302</f>
        <v>10361617</v>
      </c>
      <c r="E32" s="146">
        <f>'Budget Detail FY 2012-19'!P302</f>
        <v>13902593</v>
      </c>
      <c r="F32" s="146">
        <f>'Budget Detail FY 2012-19'!Q302</f>
        <v>13848143</v>
      </c>
      <c r="G32" s="146">
        <f>'Budget Detail FY 2012-19'!R302</f>
        <v>13570112</v>
      </c>
      <c r="H32" s="146">
        <f>'Budget Detail FY 2012-19'!S302</f>
        <v>14092321</v>
      </c>
      <c r="I32" s="146">
        <f>'Budget Detail FY 2012-19'!T302</f>
        <v>14616560</v>
      </c>
      <c r="J32" s="146">
        <f>'Budget Detail FY 2012-19'!U302</f>
        <v>15224214</v>
      </c>
      <c r="K32" s="146">
        <f>'Budget Detail FY 2012-19'!V302</f>
        <v>15810807</v>
      </c>
      <c r="L32" s="586" t="s">
        <v>1299</v>
      </c>
    </row>
    <row r="33" spans="1:12" s="175" customFormat="1" ht="15" hidden="1">
      <c r="A33" s="200"/>
      <c r="B33" s="176"/>
      <c r="C33" s="147">
        <f>C31-C32</f>
        <v>0</v>
      </c>
      <c r="D33" s="147">
        <f t="shared" ref="D33:K33" si="3">D31-D32</f>
        <v>0</v>
      </c>
      <c r="E33" s="147">
        <f t="shared" si="3"/>
        <v>0</v>
      </c>
      <c r="F33" s="147">
        <f t="shared" si="3"/>
        <v>0</v>
      </c>
      <c r="G33" s="147">
        <f t="shared" si="3"/>
        <v>0</v>
      </c>
      <c r="H33" s="147">
        <f t="shared" si="3"/>
        <v>0</v>
      </c>
      <c r="I33" s="147">
        <f t="shared" si="3"/>
        <v>0</v>
      </c>
      <c r="J33" s="147">
        <f t="shared" si="3"/>
        <v>0</v>
      </c>
      <c r="K33" s="147">
        <f t="shared" si="3"/>
        <v>0</v>
      </c>
      <c r="L33" s="587" t="s">
        <v>1300</v>
      </c>
    </row>
    <row r="34" spans="1:12" ht="7.5" customHeight="1">
      <c r="A34" s="1"/>
      <c r="B34" s="179"/>
      <c r="C34" s="3"/>
      <c r="D34" s="2"/>
      <c r="E34" s="2"/>
      <c r="F34" s="2"/>
      <c r="G34" s="2"/>
      <c r="H34" s="2"/>
      <c r="I34" s="2"/>
      <c r="J34" s="2"/>
      <c r="K34" s="2"/>
    </row>
    <row r="35" spans="1:12" ht="20.100000000000001" customHeight="1">
      <c r="A35" s="1"/>
      <c r="B35" s="691" t="s">
        <v>937</v>
      </c>
      <c r="C35" s="3">
        <f>+C20-C31</f>
        <v>1542522</v>
      </c>
      <c r="D35" s="3">
        <f t="shared" ref="D35:K35" si="4">+D20-D31</f>
        <v>2953193</v>
      </c>
      <c r="E35" s="3">
        <f t="shared" si="4"/>
        <v>-893104</v>
      </c>
      <c r="F35" s="3">
        <f t="shared" si="4"/>
        <v>-506280</v>
      </c>
      <c r="G35" s="3">
        <f t="shared" si="4"/>
        <v>156513</v>
      </c>
      <c r="H35" s="3">
        <f t="shared" si="4"/>
        <v>-233768</v>
      </c>
      <c r="I35" s="3">
        <f t="shared" si="4"/>
        <v>-548420</v>
      </c>
      <c r="J35" s="3">
        <f t="shared" si="4"/>
        <v>-1005794</v>
      </c>
      <c r="K35" s="3">
        <f t="shared" si="4"/>
        <v>-1444377</v>
      </c>
      <c r="L35" s="173"/>
    </row>
    <row r="36" spans="1:12" s="173" customFormat="1" ht="15" hidden="1">
      <c r="A36" s="199"/>
      <c r="B36" s="180"/>
      <c r="C36" s="146">
        <f>'Budget Detail FY 2012-19'!N304</f>
        <v>1542522</v>
      </c>
      <c r="D36" s="146">
        <f>'Budget Detail FY 2012-19'!O304</f>
        <v>2953193</v>
      </c>
      <c r="E36" s="146">
        <f>'Budget Detail FY 2012-19'!P304</f>
        <v>-893104</v>
      </c>
      <c r="F36" s="146">
        <f>'Budget Detail FY 2012-19'!Q304</f>
        <v>-506280</v>
      </c>
      <c r="G36" s="146">
        <f>'Budget Detail FY 2012-19'!R304</f>
        <v>156513</v>
      </c>
      <c r="H36" s="146">
        <f>'Budget Detail FY 2012-19'!S304</f>
        <v>-233768</v>
      </c>
      <c r="I36" s="146">
        <f>'Budget Detail FY 2012-19'!T304</f>
        <v>-548420</v>
      </c>
      <c r="J36" s="146">
        <f>'Budget Detail FY 2012-19'!U304</f>
        <v>-1005794</v>
      </c>
      <c r="K36" s="146">
        <f>'Budget Detail FY 2012-19'!V304</f>
        <v>-1444377</v>
      </c>
      <c r="L36" s="586" t="s">
        <v>1299</v>
      </c>
    </row>
    <row r="37" spans="1:12" s="175" customFormat="1" ht="15" hidden="1">
      <c r="A37" s="200"/>
      <c r="B37" s="181"/>
      <c r="C37" s="182">
        <f>C35-C36</f>
        <v>0</v>
      </c>
      <c r="D37" s="182">
        <f t="shared" ref="D37:K37" si="5">D35-D36</f>
        <v>0</v>
      </c>
      <c r="E37" s="182">
        <f t="shared" si="5"/>
        <v>0</v>
      </c>
      <c r="F37" s="182">
        <f t="shared" si="5"/>
        <v>0</v>
      </c>
      <c r="G37" s="182">
        <f t="shared" si="5"/>
        <v>0</v>
      </c>
      <c r="H37" s="182">
        <f t="shared" si="5"/>
        <v>0</v>
      </c>
      <c r="I37" s="182">
        <f t="shared" si="5"/>
        <v>0</v>
      </c>
      <c r="J37" s="182">
        <f t="shared" si="5"/>
        <v>0</v>
      </c>
      <c r="K37" s="182">
        <f t="shared" si="5"/>
        <v>0</v>
      </c>
      <c r="L37" s="587" t="s">
        <v>1300</v>
      </c>
    </row>
    <row r="38" spans="1:12" ht="7.5" customHeight="1">
      <c r="A38" s="1"/>
      <c r="B38" s="183"/>
      <c r="C38" s="3"/>
      <c r="D38" s="2"/>
      <c r="E38" s="2"/>
      <c r="F38" s="2"/>
      <c r="G38" s="2"/>
      <c r="H38" s="2"/>
      <c r="I38" s="2"/>
      <c r="J38" s="2"/>
      <c r="K38" s="2"/>
    </row>
    <row r="39" spans="1:12" ht="20.100000000000001" customHeight="1" thickBot="1">
      <c r="A39" s="1"/>
      <c r="B39" s="171" t="s">
        <v>938</v>
      </c>
      <c r="C39" s="91">
        <v>1270623</v>
      </c>
      <c r="D39" s="91">
        <v>4223820</v>
      </c>
      <c r="E39" s="91">
        <v>2541653</v>
      </c>
      <c r="F39" s="91">
        <f>D39+F35</f>
        <v>3717540</v>
      </c>
      <c r="G39" s="91">
        <f>F39+G35</f>
        <v>3874053</v>
      </c>
      <c r="H39" s="91">
        <f>G39+H35</f>
        <v>3640285</v>
      </c>
      <c r="I39" s="91">
        <f>H39+I35</f>
        <v>3091865</v>
      </c>
      <c r="J39" s="91">
        <f>I39+J35</f>
        <v>2086071</v>
      </c>
      <c r="K39" s="91">
        <f>J39+K35</f>
        <v>641694</v>
      </c>
      <c r="L39" s="173"/>
    </row>
    <row r="40" spans="1:12" s="173" customFormat="1" ht="15.75" hidden="1" thickTop="1">
      <c r="A40" s="199"/>
      <c r="B40" s="174"/>
      <c r="C40" s="146">
        <f>'Budget Detail FY 2012-19'!N306</f>
        <v>1270623</v>
      </c>
      <c r="D40" s="146">
        <f>'Budget Detail FY 2012-19'!O306</f>
        <v>4223820</v>
      </c>
      <c r="E40" s="146">
        <f>'Budget Detail FY 2012-19'!P306</f>
        <v>2541653</v>
      </c>
      <c r="F40" s="146">
        <f>'Budget Detail FY 2012-19'!Q306</f>
        <v>3717540</v>
      </c>
      <c r="G40" s="146">
        <f>'Budget Detail FY 2012-19'!R306</f>
        <v>3874053</v>
      </c>
      <c r="H40" s="146">
        <f>'Budget Detail FY 2012-19'!S306</f>
        <v>3640285</v>
      </c>
      <c r="I40" s="146">
        <f>'Budget Detail FY 2012-19'!T306</f>
        <v>3091865</v>
      </c>
      <c r="J40" s="146">
        <f>'Budget Detail FY 2012-19'!U306</f>
        <v>2086071</v>
      </c>
      <c r="K40" s="146">
        <f>'Budget Detail FY 2012-19'!V306</f>
        <v>641694</v>
      </c>
      <c r="L40" s="586" t="s">
        <v>1299</v>
      </c>
    </row>
    <row r="41" spans="1:12" s="175" customFormat="1" ht="15" hidden="1">
      <c r="A41" s="200"/>
      <c r="B41" s="176"/>
      <c r="C41" s="182">
        <f>C39-C40</f>
        <v>0</v>
      </c>
      <c r="D41" s="182">
        <f t="shared" ref="D41:K41" si="6">D39-D40</f>
        <v>0</v>
      </c>
      <c r="E41" s="182">
        <f t="shared" si="6"/>
        <v>0</v>
      </c>
      <c r="F41" s="182">
        <f t="shared" si="6"/>
        <v>0</v>
      </c>
      <c r="G41" s="182">
        <f t="shared" si="6"/>
        <v>0</v>
      </c>
      <c r="H41" s="182">
        <f t="shared" si="6"/>
        <v>0</v>
      </c>
      <c r="I41" s="182">
        <f t="shared" si="6"/>
        <v>0</v>
      </c>
      <c r="J41" s="182">
        <f t="shared" si="6"/>
        <v>0</v>
      </c>
      <c r="K41" s="182">
        <f t="shared" si="6"/>
        <v>0</v>
      </c>
      <c r="L41" s="587" t="s">
        <v>1300</v>
      </c>
    </row>
    <row r="42" spans="1:12" ht="15.75" thickTop="1">
      <c r="A42" s="1"/>
      <c r="B42" s="184"/>
      <c r="C42" s="185">
        <f>+C39/C31</f>
        <v>0.11583414848491203</v>
      </c>
      <c r="D42" s="185">
        <f t="shared" ref="D42:J42" si="7">+D39/D31</f>
        <v>0.40764100815538734</v>
      </c>
      <c r="E42" s="185">
        <f t="shared" si="7"/>
        <v>0.1828186295894586</v>
      </c>
      <c r="F42" s="185">
        <f t="shared" si="7"/>
        <v>0.26845043411235714</v>
      </c>
      <c r="G42" s="185">
        <f>+G39/G31</f>
        <v>0.28548423181768878</v>
      </c>
      <c r="H42" s="185">
        <f t="shared" si="7"/>
        <v>0.25831692309591869</v>
      </c>
      <c r="I42" s="185">
        <f t="shared" si="7"/>
        <v>0.21153164629707674</v>
      </c>
      <c r="J42" s="185">
        <f t="shared" si="7"/>
        <v>0.13702323154417037</v>
      </c>
      <c r="K42" s="185">
        <f>+K39/K31</f>
        <v>4.0585784141188998E-2</v>
      </c>
    </row>
    <row r="43" spans="1:12" ht="8.1" customHeight="1">
      <c r="A43" s="1"/>
      <c r="B43" s="184"/>
      <c r="C43" s="192"/>
      <c r="D43" s="192"/>
      <c r="E43" s="192"/>
      <c r="F43" s="192"/>
      <c r="G43" s="192"/>
      <c r="H43" s="192"/>
      <c r="I43" s="192"/>
      <c r="J43" s="192"/>
      <c r="K43" s="192"/>
    </row>
    <row r="44" spans="1:12" ht="15">
      <c r="A44" s="1"/>
      <c r="B44" s="1"/>
      <c r="C44" s="2"/>
      <c r="D44" s="2"/>
      <c r="E44" s="2"/>
      <c r="F44" s="2"/>
      <c r="G44" s="2"/>
      <c r="H44" s="2"/>
      <c r="I44" s="2"/>
      <c r="J44" s="2"/>
      <c r="K44" s="2"/>
    </row>
    <row r="45" spans="1:12" ht="15">
      <c r="A45" s="1"/>
      <c r="B45" s="1"/>
      <c r="C45" s="2"/>
      <c r="D45" s="2"/>
      <c r="E45" s="2"/>
      <c r="F45" s="2"/>
      <c r="G45" s="2"/>
      <c r="H45" s="2"/>
      <c r="I45" s="2"/>
      <c r="J45" s="2"/>
      <c r="K45" s="2"/>
    </row>
    <row r="46" spans="1:12" ht="15">
      <c r="A46" s="1"/>
      <c r="B46" s="1"/>
      <c r="C46" s="2"/>
      <c r="D46" s="2"/>
      <c r="E46" s="2"/>
      <c r="F46" s="2"/>
      <c r="G46" s="2"/>
      <c r="H46" s="2"/>
      <c r="I46" s="2"/>
      <c r="J46" s="2"/>
      <c r="K46" s="2"/>
    </row>
    <row r="47" spans="1:12" ht="15">
      <c r="A47" s="1"/>
      <c r="B47" s="1"/>
      <c r="C47" s="2"/>
      <c r="D47" s="2"/>
      <c r="E47" s="2"/>
      <c r="F47" s="2"/>
      <c r="G47" s="2"/>
      <c r="H47" s="2"/>
      <c r="I47" s="2"/>
      <c r="J47" s="2"/>
      <c r="K47" s="2"/>
    </row>
    <row r="48" spans="1:12" ht="15">
      <c r="A48" s="1"/>
      <c r="B48" s="1"/>
      <c r="C48" s="2"/>
      <c r="D48" s="2"/>
      <c r="E48" s="2"/>
      <c r="F48" s="2"/>
      <c r="G48" s="2"/>
      <c r="H48" s="2"/>
      <c r="I48" s="2"/>
      <c r="J48" s="2"/>
      <c r="K48" s="2"/>
    </row>
    <row r="49" spans="1:11" ht="15">
      <c r="A49" s="1"/>
      <c r="B49" s="1"/>
      <c r="C49" s="2"/>
      <c r="D49" s="2"/>
      <c r="E49" s="2"/>
      <c r="F49" s="2"/>
      <c r="G49" s="2"/>
      <c r="H49" s="2"/>
      <c r="I49" s="2"/>
      <c r="J49" s="2"/>
      <c r="K49" s="2"/>
    </row>
    <row r="50" spans="1:11" ht="15">
      <c r="A50" s="1"/>
      <c r="B50" s="1"/>
      <c r="C50" s="2"/>
      <c r="D50" s="2"/>
      <c r="E50" s="2"/>
      <c r="F50" s="2"/>
      <c r="G50" s="2"/>
      <c r="H50" s="2"/>
      <c r="I50" s="2"/>
      <c r="J50" s="2"/>
      <c r="K50" s="2"/>
    </row>
    <row r="51" spans="1:11" ht="15">
      <c r="A51" s="1"/>
      <c r="B51" s="1"/>
      <c r="C51" s="2"/>
      <c r="D51" s="2"/>
      <c r="E51" s="2"/>
      <c r="F51" s="2"/>
      <c r="G51" s="2"/>
      <c r="H51" s="2"/>
      <c r="I51" s="2"/>
      <c r="J51" s="2"/>
      <c r="K51" s="2"/>
    </row>
    <row r="52" spans="1:11" ht="15">
      <c r="A52" s="1"/>
      <c r="B52" s="1"/>
      <c r="C52" s="2"/>
      <c r="D52" s="2"/>
      <c r="E52" s="2"/>
      <c r="F52" s="2"/>
      <c r="G52" s="2"/>
      <c r="H52" s="2"/>
      <c r="I52" s="2"/>
      <c r="J52" s="2"/>
      <c r="K52" s="2"/>
    </row>
    <row r="53" spans="1:11" ht="15">
      <c r="A53" s="1"/>
      <c r="B53" s="1"/>
      <c r="C53" s="2"/>
      <c r="D53" s="2"/>
      <c r="E53" s="2"/>
      <c r="F53" s="2"/>
      <c r="G53" s="2"/>
      <c r="H53" s="2"/>
      <c r="I53" s="2"/>
      <c r="J53" s="2"/>
      <c r="K53" s="2"/>
    </row>
    <row r="56" spans="1:11" ht="18.75">
      <c r="B56" s="722" t="s">
        <v>939</v>
      </c>
      <c r="C56" s="722"/>
      <c r="D56" s="722"/>
      <c r="E56" s="722"/>
      <c r="F56" s="722"/>
      <c r="G56" s="722"/>
      <c r="H56" s="722"/>
      <c r="I56" s="722"/>
      <c r="J56" s="722"/>
      <c r="K56" s="722"/>
    </row>
    <row r="57" spans="1:11" ht="15">
      <c r="B57" s="72"/>
      <c r="C57" s="3"/>
      <c r="D57" s="2"/>
      <c r="E57" s="2"/>
      <c r="F57" s="2"/>
      <c r="G57" s="2"/>
      <c r="H57" s="2"/>
      <c r="I57" s="2"/>
      <c r="J57" s="2"/>
      <c r="K57" s="2"/>
    </row>
    <row r="58" spans="1:11" ht="12.75" customHeight="1">
      <c r="B58" s="715" t="s">
        <v>940</v>
      </c>
      <c r="C58" s="715"/>
      <c r="D58" s="715"/>
      <c r="E58" s="715"/>
      <c r="F58" s="715"/>
      <c r="G58" s="715"/>
      <c r="H58" s="715"/>
      <c r="I58" s="715"/>
      <c r="J58" s="715"/>
      <c r="K58" s="715"/>
    </row>
    <row r="59" spans="1:11" ht="17.25" customHeight="1">
      <c r="B59" s="715"/>
      <c r="C59" s="715"/>
      <c r="D59" s="715"/>
      <c r="E59" s="715"/>
      <c r="F59" s="715"/>
      <c r="G59" s="715"/>
      <c r="H59" s="715"/>
      <c r="I59" s="715"/>
      <c r="J59" s="715"/>
      <c r="K59" s="715"/>
    </row>
    <row r="60" spans="1:11" ht="17.25" customHeight="1">
      <c r="B60" s="686"/>
      <c r="C60" s="686"/>
      <c r="D60" s="686"/>
      <c r="E60" s="686"/>
      <c r="F60" s="686"/>
      <c r="G60" s="686"/>
      <c r="H60" s="686"/>
      <c r="I60" s="686"/>
      <c r="J60" s="686"/>
      <c r="K60" s="170"/>
    </row>
    <row r="61" spans="1:11" ht="15">
      <c r="B61" s="5"/>
      <c r="C61" s="72"/>
      <c r="D61" s="73"/>
      <c r="E61" s="72" t="s">
        <v>283</v>
      </c>
      <c r="F61" s="1"/>
      <c r="G61" s="1"/>
      <c r="H61" s="1"/>
      <c r="I61" s="1"/>
      <c r="J61" s="1"/>
      <c r="K61" s="1"/>
    </row>
    <row r="62" spans="1:11" ht="15">
      <c r="B62" s="73"/>
      <c r="C62" s="72" t="s">
        <v>229</v>
      </c>
      <c r="D62" s="96" t="s">
        <v>282</v>
      </c>
      <c r="E62" s="73" t="s">
        <v>917</v>
      </c>
      <c r="F62" s="73" t="s">
        <v>283</v>
      </c>
      <c r="G62" s="73" t="s">
        <v>298</v>
      </c>
      <c r="H62" s="73" t="s">
        <v>299</v>
      </c>
      <c r="I62" s="73" t="s">
        <v>300</v>
      </c>
      <c r="J62" s="73" t="s">
        <v>1087</v>
      </c>
      <c r="K62" s="73" t="s">
        <v>1224</v>
      </c>
    </row>
    <row r="63" spans="1:11" ht="15.75" thickBot="1">
      <c r="B63" s="188"/>
      <c r="C63" s="75" t="s">
        <v>1</v>
      </c>
      <c r="D63" s="75" t="s">
        <v>1</v>
      </c>
      <c r="E63" s="75" t="s">
        <v>871</v>
      </c>
      <c r="F63" s="75" t="s">
        <v>20</v>
      </c>
      <c r="G63" s="75" t="s">
        <v>917</v>
      </c>
      <c r="H63" s="75" t="s">
        <v>20</v>
      </c>
      <c r="I63" s="75" t="s">
        <v>20</v>
      </c>
      <c r="J63" s="75" t="s">
        <v>20</v>
      </c>
      <c r="K63" s="75" t="s">
        <v>20</v>
      </c>
    </row>
    <row r="64" spans="1:11" ht="15">
      <c r="B64" s="71"/>
      <c r="C64" s="189"/>
      <c r="D64" s="2"/>
      <c r="E64" s="2"/>
      <c r="F64" s="2"/>
      <c r="G64" s="2"/>
      <c r="H64" s="2"/>
      <c r="I64" s="2"/>
      <c r="J64" s="2"/>
      <c r="K64" s="2"/>
    </row>
    <row r="65" spans="2:12" ht="15">
      <c r="B65" s="177" t="s">
        <v>918</v>
      </c>
      <c r="C65" s="2"/>
      <c r="D65" s="2"/>
      <c r="E65" s="2"/>
      <c r="F65" s="2"/>
      <c r="G65" s="2"/>
      <c r="H65" s="2"/>
      <c r="I65" s="2"/>
      <c r="J65" s="2"/>
      <c r="K65" s="2"/>
    </row>
    <row r="66" spans="2:12" ht="20.100000000000001" customHeight="1">
      <c r="B66" s="687" t="s">
        <v>919</v>
      </c>
      <c r="C66" s="2">
        <f>'Budget Detail FY 2012-19'!N311</f>
        <v>3786</v>
      </c>
      <c r="D66" s="2">
        <f>'Budget Detail FY 2012-19'!O311</f>
        <v>3786</v>
      </c>
      <c r="E66" s="2">
        <f>'Budget Detail FY 2012-19'!P311</f>
        <v>3786</v>
      </c>
      <c r="F66" s="2">
        <f>'Budget Detail FY 2012-19'!Q311</f>
        <v>3786</v>
      </c>
      <c r="G66" s="2">
        <f>'Budget Detail FY 2012-19'!R311</f>
        <v>8536</v>
      </c>
      <c r="H66" s="2">
        <f>'Budget Detail FY 2012-19'!S311</f>
        <v>8536</v>
      </c>
      <c r="I66" s="2">
        <f>'Budget Detail FY 2012-19'!T311</f>
        <v>8536</v>
      </c>
      <c r="J66" s="2">
        <f>'Budget Detail FY 2012-19'!U311</f>
        <v>8536</v>
      </c>
      <c r="K66" s="2">
        <f>'Budget Detail FY 2012-19'!V311</f>
        <v>8536</v>
      </c>
    </row>
    <row r="67" spans="2:12" ht="20.100000000000001" customHeight="1">
      <c r="B67" s="687" t="s">
        <v>924</v>
      </c>
      <c r="C67" s="2">
        <f>'Budget Detail FY 2012-19'!N312</f>
        <v>7</v>
      </c>
      <c r="D67" s="2">
        <f>'Budget Detail FY 2012-19'!O312</f>
        <v>10</v>
      </c>
      <c r="E67" s="2">
        <f>'Budget Detail FY 2012-19'!P312</f>
        <v>0</v>
      </c>
      <c r="F67" s="2">
        <f>'Budget Detail FY 2012-19'!Q312</f>
        <v>1</v>
      </c>
      <c r="G67" s="2">
        <f>'Budget Detail FY 2012-19'!R312</f>
        <v>0</v>
      </c>
      <c r="H67" s="2">
        <f>'Budget Detail FY 2012-19'!S312</f>
        <v>0</v>
      </c>
      <c r="I67" s="2">
        <f>'Budget Detail FY 2012-19'!T312</f>
        <v>0</v>
      </c>
      <c r="J67" s="2">
        <f>'Budget Detail FY 2012-19'!U312</f>
        <v>0</v>
      </c>
      <c r="K67" s="2">
        <f>'Budget Detail FY 2012-19'!V312</f>
        <v>0</v>
      </c>
    </row>
    <row r="68" spans="2:12" ht="20.100000000000001" customHeight="1" thickBot="1">
      <c r="B68" s="172" t="s">
        <v>928</v>
      </c>
      <c r="C68" s="169">
        <f t="shared" ref="C68:J68" si="8">SUM(C66:C67)</f>
        <v>3793</v>
      </c>
      <c r="D68" s="169">
        <f t="shared" si="8"/>
        <v>3796</v>
      </c>
      <c r="E68" s="169">
        <f t="shared" si="8"/>
        <v>3786</v>
      </c>
      <c r="F68" s="169">
        <f t="shared" si="8"/>
        <v>3787</v>
      </c>
      <c r="G68" s="169">
        <f t="shared" si="8"/>
        <v>8536</v>
      </c>
      <c r="H68" s="169">
        <f t="shared" si="8"/>
        <v>8536</v>
      </c>
      <c r="I68" s="169">
        <f t="shared" si="8"/>
        <v>8536</v>
      </c>
      <c r="J68" s="169">
        <f t="shared" si="8"/>
        <v>8536</v>
      </c>
      <c r="K68" s="169">
        <f>SUM(K66:K67)</f>
        <v>8536</v>
      </c>
      <c r="L68" s="173"/>
    </row>
    <row r="69" spans="2:12" s="173" customFormat="1" ht="15" hidden="1">
      <c r="B69" s="174"/>
      <c r="C69" s="146">
        <f>'Budget Detail FY 2012-19'!N314</f>
        <v>3793</v>
      </c>
      <c r="D69" s="146">
        <f>'Budget Detail FY 2012-19'!O314</f>
        <v>3796</v>
      </c>
      <c r="E69" s="146">
        <f>'Budget Detail FY 2012-19'!P314</f>
        <v>3786</v>
      </c>
      <c r="F69" s="146">
        <f>'Budget Detail FY 2012-19'!Q314</f>
        <v>3787</v>
      </c>
      <c r="G69" s="146">
        <f>'Budget Detail FY 2012-19'!R314</f>
        <v>8536</v>
      </c>
      <c r="H69" s="146">
        <f>'Budget Detail FY 2012-19'!S314</f>
        <v>8536</v>
      </c>
      <c r="I69" s="146">
        <f>'Budget Detail FY 2012-19'!T314</f>
        <v>8536</v>
      </c>
      <c r="J69" s="146">
        <f>'Budget Detail FY 2012-19'!U314</f>
        <v>8536</v>
      </c>
      <c r="K69" s="146">
        <f>'Budget Detail FY 2012-19'!V314</f>
        <v>8536</v>
      </c>
      <c r="L69" s="586" t="s">
        <v>1299</v>
      </c>
    </row>
    <row r="70" spans="2:12" s="175" customFormat="1" ht="14.25" hidden="1">
      <c r="B70" s="176"/>
      <c r="C70" s="147">
        <f>C68-C69</f>
        <v>0</v>
      </c>
      <c r="D70" s="147">
        <f t="shared" ref="D70:K70" si="9">D68-D69</f>
        <v>0</v>
      </c>
      <c r="E70" s="147">
        <f t="shared" si="9"/>
        <v>0</v>
      </c>
      <c r="F70" s="147">
        <f t="shared" si="9"/>
        <v>0</v>
      </c>
      <c r="G70" s="147">
        <f t="shared" si="9"/>
        <v>0</v>
      </c>
      <c r="H70" s="147">
        <f t="shared" si="9"/>
        <v>0</v>
      </c>
      <c r="I70" s="147">
        <f t="shared" si="9"/>
        <v>0</v>
      </c>
      <c r="J70" s="147">
        <f t="shared" si="9"/>
        <v>0</v>
      </c>
      <c r="K70" s="147">
        <f t="shared" si="9"/>
        <v>0</v>
      </c>
      <c r="L70" s="587" t="s">
        <v>1300</v>
      </c>
    </row>
    <row r="71" spans="2:12" ht="15">
      <c r="B71" s="1"/>
      <c r="C71" s="2"/>
      <c r="D71" s="2"/>
      <c r="E71" s="2"/>
      <c r="F71" s="2"/>
      <c r="G71" s="2"/>
      <c r="H71" s="2"/>
      <c r="I71" s="2"/>
      <c r="J71" s="2"/>
      <c r="K71" s="2"/>
    </row>
    <row r="72" spans="2:12" ht="15">
      <c r="B72" s="177" t="s">
        <v>659</v>
      </c>
      <c r="C72" s="2"/>
      <c r="D72" s="2"/>
      <c r="E72" s="2"/>
      <c r="F72" s="2"/>
      <c r="G72" s="2"/>
      <c r="H72" s="2"/>
      <c r="I72" s="2"/>
      <c r="J72" s="2"/>
      <c r="K72" s="2"/>
    </row>
    <row r="73" spans="2:12" ht="20.100000000000001" customHeight="1">
      <c r="B73" s="689" t="s">
        <v>931</v>
      </c>
      <c r="C73" s="2">
        <f>SUM('Budget Detail FY 2012-19'!N316:N318)</f>
        <v>4664</v>
      </c>
      <c r="D73" s="2">
        <f>SUM('Budget Detail FY 2012-19'!O316:O318)</f>
        <v>5743</v>
      </c>
      <c r="E73" s="2">
        <f>SUM('Budget Detail FY 2012-19'!P316:P318)</f>
        <v>7500</v>
      </c>
      <c r="F73" s="2">
        <f>SUM('Budget Detail FY 2012-19'!Q316:Q318)</f>
        <v>7690</v>
      </c>
      <c r="G73" s="2">
        <f>SUM('Budget Detail FY 2012-19'!R316:R318)</f>
        <v>19603</v>
      </c>
      <c r="H73" s="2">
        <f>SUM('Budget Detail FY 2012-19'!S316:S318)</f>
        <v>19603</v>
      </c>
      <c r="I73" s="2">
        <f>SUM('Budget Detail FY 2012-19'!T316:T318)</f>
        <v>4603</v>
      </c>
      <c r="J73" s="2">
        <f>SUM('Budget Detail FY 2012-19'!U316:U318)</f>
        <v>4603</v>
      </c>
      <c r="K73" s="2">
        <f>SUM('Budget Detail FY 2012-19'!V316:V318)</f>
        <v>4603</v>
      </c>
    </row>
    <row r="74" spans="2:12" ht="20.100000000000001" customHeight="1" thickBot="1">
      <c r="B74" s="172" t="s">
        <v>936</v>
      </c>
      <c r="C74" s="169">
        <f t="shared" ref="C74:J74" si="10">SUM(C73:C73)</f>
        <v>4664</v>
      </c>
      <c r="D74" s="169">
        <f t="shared" si="10"/>
        <v>5743</v>
      </c>
      <c r="E74" s="169">
        <f t="shared" si="10"/>
        <v>7500</v>
      </c>
      <c r="F74" s="169">
        <f t="shared" si="10"/>
        <v>7690</v>
      </c>
      <c r="G74" s="169">
        <f t="shared" si="10"/>
        <v>19603</v>
      </c>
      <c r="H74" s="169">
        <f t="shared" si="10"/>
        <v>19603</v>
      </c>
      <c r="I74" s="169">
        <f t="shared" si="10"/>
        <v>4603</v>
      </c>
      <c r="J74" s="169">
        <f t="shared" si="10"/>
        <v>4603</v>
      </c>
      <c r="K74" s="169">
        <f>SUM(K73:K73)</f>
        <v>4603</v>
      </c>
      <c r="L74" s="173"/>
    </row>
    <row r="75" spans="2:12" s="173" customFormat="1" ht="15" hidden="1">
      <c r="B75" s="174"/>
      <c r="C75" s="146">
        <f>'Budget Detail FY 2012-19'!N320</f>
        <v>4664</v>
      </c>
      <c r="D75" s="146">
        <f>'Budget Detail FY 2012-19'!O320</f>
        <v>5743</v>
      </c>
      <c r="E75" s="146">
        <f>'Budget Detail FY 2012-19'!P320</f>
        <v>7500</v>
      </c>
      <c r="F75" s="146">
        <f>'Budget Detail FY 2012-19'!Q320</f>
        <v>7690</v>
      </c>
      <c r="G75" s="146">
        <f>'Budget Detail FY 2012-19'!R320</f>
        <v>19603</v>
      </c>
      <c r="H75" s="146">
        <f>'Budget Detail FY 2012-19'!S320</f>
        <v>19603</v>
      </c>
      <c r="I75" s="146">
        <f>'Budget Detail FY 2012-19'!T320</f>
        <v>4603</v>
      </c>
      <c r="J75" s="146">
        <f>'Budget Detail FY 2012-19'!U320</f>
        <v>4603</v>
      </c>
      <c r="K75" s="146">
        <f>'Budget Detail FY 2012-19'!V320</f>
        <v>4603</v>
      </c>
      <c r="L75" s="586" t="s">
        <v>1299</v>
      </c>
    </row>
    <row r="76" spans="2:12" s="175" customFormat="1" ht="14.25" hidden="1">
      <c r="B76" s="176"/>
      <c r="C76" s="147">
        <f>C74-C75</f>
        <v>0</v>
      </c>
      <c r="D76" s="147">
        <f t="shared" ref="D76:K76" si="11">D74-D75</f>
        <v>0</v>
      </c>
      <c r="E76" s="147">
        <f t="shared" si="11"/>
        <v>0</v>
      </c>
      <c r="F76" s="147">
        <f t="shared" si="11"/>
        <v>0</v>
      </c>
      <c r="G76" s="147">
        <f t="shared" si="11"/>
        <v>0</v>
      </c>
      <c r="H76" s="147">
        <f t="shared" si="11"/>
        <v>0</v>
      </c>
      <c r="I76" s="147">
        <f t="shared" si="11"/>
        <v>0</v>
      </c>
      <c r="J76" s="147">
        <f t="shared" si="11"/>
        <v>0</v>
      </c>
      <c r="K76" s="147">
        <f t="shared" si="11"/>
        <v>0</v>
      </c>
      <c r="L76" s="587" t="s">
        <v>1300</v>
      </c>
    </row>
    <row r="77" spans="2:12" ht="15">
      <c r="B77" s="179"/>
      <c r="C77" s="3"/>
      <c r="D77" s="2"/>
      <c r="E77" s="2"/>
      <c r="F77" s="2"/>
      <c r="G77" s="2"/>
      <c r="H77" s="2"/>
      <c r="I77" s="2"/>
      <c r="J77" s="2"/>
      <c r="K77" s="2"/>
    </row>
    <row r="78" spans="2:12" ht="20.100000000000001" customHeight="1">
      <c r="B78" s="691" t="s">
        <v>937</v>
      </c>
      <c r="C78" s="3">
        <f t="shared" ref="C78:J78" si="12">+C68-C74</f>
        <v>-871</v>
      </c>
      <c r="D78" s="3">
        <f t="shared" si="12"/>
        <v>-1947</v>
      </c>
      <c r="E78" s="3">
        <f t="shared" si="12"/>
        <v>-3714</v>
      </c>
      <c r="F78" s="3">
        <f t="shared" si="12"/>
        <v>-3903</v>
      </c>
      <c r="G78" s="3">
        <f t="shared" si="12"/>
        <v>-11067</v>
      </c>
      <c r="H78" s="3">
        <f t="shared" si="12"/>
        <v>-11067</v>
      </c>
      <c r="I78" s="3">
        <f t="shared" si="12"/>
        <v>3933</v>
      </c>
      <c r="J78" s="3">
        <f t="shared" si="12"/>
        <v>3933</v>
      </c>
      <c r="K78" s="3">
        <f>+K68-K74</f>
        <v>3933</v>
      </c>
      <c r="L78" s="173"/>
    </row>
    <row r="79" spans="2:12" s="173" customFormat="1" ht="15" hidden="1">
      <c r="B79" s="180"/>
      <c r="C79" s="146">
        <f>'Budget Detail FY 2012-19'!N322</f>
        <v>-871</v>
      </c>
      <c r="D79" s="146">
        <f>'Budget Detail FY 2012-19'!O322</f>
        <v>-1947</v>
      </c>
      <c r="E79" s="146">
        <f>'Budget Detail FY 2012-19'!P322</f>
        <v>-3714</v>
      </c>
      <c r="F79" s="146">
        <f>'Budget Detail FY 2012-19'!Q322</f>
        <v>-3903</v>
      </c>
      <c r="G79" s="146">
        <f>'Budget Detail FY 2012-19'!R322</f>
        <v>-11067</v>
      </c>
      <c r="H79" s="146">
        <f>'Budget Detail FY 2012-19'!S322</f>
        <v>-11067</v>
      </c>
      <c r="I79" s="146">
        <f>'Budget Detail FY 2012-19'!T322</f>
        <v>3933</v>
      </c>
      <c r="J79" s="146">
        <f>'Budget Detail FY 2012-19'!U322</f>
        <v>3933</v>
      </c>
      <c r="K79" s="146">
        <f>'Budget Detail FY 2012-19'!V322</f>
        <v>3933</v>
      </c>
      <c r="L79" s="586" t="s">
        <v>1299</v>
      </c>
    </row>
    <row r="80" spans="2:12" s="175" customFormat="1" ht="15" hidden="1">
      <c r="B80" s="181"/>
      <c r="C80" s="182">
        <f>C78-C79</f>
        <v>0</v>
      </c>
      <c r="D80" s="182">
        <f t="shared" ref="D80:K80" si="13">D78-D79</f>
        <v>0</v>
      </c>
      <c r="E80" s="182">
        <f t="shared" si="13"/>
        <v>0</v>
      </c>
      <c r="F80" s="182">
        <f t="shared" si="13"/>
        <v>0</v>
      </c>
      <c r="G80" s="182">
        <f t="shared" si="13"/>
        <v>0</v>
      </c>
      <c r="H80" s="182">
        <f t="shared" si="13"/>
        <v>0</v>
      </c>
      <c r="I80" s="182">
        <f t="shared" si="13"/>
        <v>0</v>
      </c>
      <c r="J80" s="182">
        <f t="shared" si="13"/>
        <v>0</v>
      </c>
      <c r="K80" s="182">
        <f t="shared" si="13"/>
        <v>0</v>
      </c>
      <c r="L80" s="587" t="s">
        <v>1300</v>
      </c>
    </row>
    <row r="81" spans="2:12" ht="15">
      <c r="B81" s="183"/>
      <c r="C81" s="3"/>
      <c r="D81" s="2"/>
      <c r="E81" s="2"/>
      <c r="F81" s="2"/>
      <c r="G81" s="2"/>
      <c r="H81" s="2"/>
      <c r="I81" s="2"/>
      <c r="J81" s="2"/>
      <c r="K81" s="2"/>
    </row>
    <row r="82" spans="2:12" ht="20.100000000000001" customHeight="1" thickBot="1">
      <c r="B82" s="171" t="s">
        <v>938</v>
      </c>
      <c r="C82" s="91">
        <v>17071</v>
      </c>
      <c r="D82" s="91">
        <v>15124</v>
      </c>
      <c r="E82" s="91">
        <v>11677</v>
      </c>
      <c r="F82" s="91">
        <f>D82+F78</f>
        <v>11221</v>
      </c>
      <c r="G82" s="91">
        <f>F82+G78</f>
        <v>154</v>
      </c>
      <c r="H82" s="91">
        <f>G82+H78</f>
        <v>-10913</v>
      </c>
      <c r="I82" s="91">
        <f>H82+I78</f>
        <v>-6980</v>
      </c>
      <c r="J82" s="91">
        <f>I82+J78</f>
        <v>-3047</v>
      </c>
      <c r="K82" s="91">
        <f>J82+K78</f>
        <v>886</v>
      </c>
      <c r="L82" s="173"/>
    </row>
    <row r="83" spans="2:12" s="173" customFormat="1" ht="15.75" hidden="1" thickTop="1">
      <c r="B83" s="174"/>
      <c r="C83" s="146">
        <f>'Budget Detail FY 2012-19'!N324</f>
        <v>17071</v>
      </c>
      <c r="D83" s="146">
        <f>'Budget Detail FY 2012-19'!O324</f>
        <v>15124</v>
      </c>
      <c r="E83" s="146">
        <f>'Budget Detail FY 2012-19'!P324</f>
        <v>11677</v>
      </c>
      <c r="F83" s="146">
        <f>'Budget Detail FY 2012-19'!Q324</f>
        <v>11221</v>
      </c>
      <c r="G83" s="146">
        <f>'Budget Detail FY 2012-19'!R324</f>
        <v>154</v>
      </c>
      <c r="H83" s="146">
        <f>'Budget Detail FY 2012-19'!S324</f>
        <v>-10913</v>
      </c>
      <c r="I83" s="146">
        <f>'Budget Detail FY 2012-19'!T324</f>
        <v>-6980</v>
      </c>
      <c r="J83" s="146">
        <f>'Budget Detail FY 2012-19'!U324</f>
        <v>-3047</v>
      </c>
      <c r="K83" s="146">
        <f>'Budget Detail FY 2012-19'!V324</f>
        <v>886</v>
      </c>
      <c r="L83" s="586" t="s">
        <v>1299</v>
      </c>
    </row>
    <row r="84" spans="2:12" s="175" customFormat="1" ht="14.25" hidden="1">
      <c r="B84" s="176"/>
      <c r="C84" s="147">
        <f>C82-C83</f>
        <v>0</v>
      </c>
      <c r="D84" s="147">
        <f t="shared" ref="D84:K84" si="14">D82-D83</f>
        <v>0</v>
      </c>
      <c r="E84" s="147">
        <f t="shared" si="14"/>
        <v>0</v>
      </c>
      <c r="F84" s="147">
        <f t="shared" si="14"/>
        <v>0</v>
      </c>
      <c r="G84" s="147">
        <f t="shared" si="14"/>
        <v>0</v>
      </c>
      <c r="H84" s="147">
        <f t="shared" si="14"/>
        <v>0</v>
      </c>
      <c r="I84" s="147">
        <f t="shared" si="14"/>
        <v>0</v>
      </c>
      <c r="J84" s="147">
        <f t="shared" si="14"/>
        <v>0</v>
      </c>
      <c r="K84" s="147">
        <f t="shared" si="14"/>
        <v>0</v>
      </c>
      <c r="L84" s="587" t="s">
        <v>1300</v>
      </c>
    </row>
    <row r="85" spans="2:12" ht="15.75" thickTop="1">
      <c r="B85" s="184"/>
      <c r="C85" s="185">
        <f>C82/C74</f>
        <v>3.6601629502572899</v>
      </c>
      <c r="D85" s="185">
        <f t="shared" ref="D85:K85" si="15">D82/D74</f>
        <v>2.6334668291833538</v>
      </c>
      <c r="E85" s="185">
        <f t="shared" si="15"/>
        <v>1.5569333333333333</v>
      </c>
      <c r="F85" s="185">
        <f t="shared" si="15"/>
        <v>1.4591677503250975</v>
      </c>
      <c r="G85" s="185">
        <f t="shared" si="15"/>
        <v>7.8559404172830697E-3</v>
      </c>
      <c r="H85" s="185">
        <f t="shared" si="15"/>
        <v>-0.55670050502474111</v>
      </c>
      <c r="I85" s="185">
        <f t="shared" si="15"/>
        <v>-1.516402346295894</v>
      </c>
      <c r="J85" s="185">
        <f t="shared" si="15"/>
        <v>-0.66195959157071471</v>
      </c>
      <c r="K85" s="185">
        <f t="shared" si="15"/>
        <v>0.19248316315446448</v>
      </c>
    </row>
    <row r="86" spans="2:12" ht="15">
      <c r="B86" s="184"/>
      <c r="C86" s="3"/>
      <c r="D86" s="3"/>
      <c r="E86" s="3"/>
      <c r="F86" s="2"/>
      <c r="G86" s="2"/>
      <c r="H86" s="2"/>
      <c r="I86" s="2"/>
      <c r="J86" s="2"/>
      <c r="K86" s="2"/>
    </row>
    <row r="87" spans="2:12" ht="15">
      <c r="B87" s="1"/>
      <c r="C87" s="2"/>
      <c r="D87" s="2"/>
      <c r="E87" s="2"/>
      <c r="F87" s="2"/>
      <c r="G87" s="2"/>
      <c r="H87" s="2"/>
      <c r="I87" s="2"/>
      <c r="J87" s="2"/>
      <c r="K87" s="2"/>
    </row>
    <row r="88" spans="2:12" ht="15">
      <c r="B88" s="1"/>
      <c r="C88" s="2"/>
      <c r="D88" s="2"/>
      <c r="E88" s="2"/>
      <c r="F88" s="2"/>
      <c r="G88" s="2"/>
      <c r="H88" s="2"/>
      <c r="I88" s="2"/>
      <c r="J88" s="2"/>
      <c r="K88" s="2"/>
    </row>
    <row r="89" spans="2:12" ht="15">
      <c r="B89" s="1"/>
      <c r="C89" s="2"/>
      <c r="D89" s="2"/>
      <c r="E89" s="2"/>
      <c r="F89" s="2"/>
      <c r="G89" s="2"/>
      <c r="H89" s="2"/>
      <c r="I89" s="2"/>
      <c r="J89" s="2"/>
      <c r="K89" s="2"/>
    </row>
    <row r="90" spans="2:12" ht="15">
      <c r="B90" s="1"/>
      <c r="C90" s="2"/>
      <c r="D90" s="2"/>
      <c r="E90" s="2"/>
      <c r="F90" s="2"/>
      <c r="G90" s="2"/>
      <c r="H90" s="2"/>
      <c r="I90" s="2"/>
      <c r="J90" s="2"/>
      <c r="K90" s="2"/>
    </row>
    <row r="91" spans="2:12" ht="15">
      <c r="B91" s="1"/>
      <c r="C91" s="2"/>
      <c r="D91" s="2"/>
      <c r="E91" s="2"/>
      <c r="F91" s="2"/>
      <c r="G91" s="2"/>
      <c r="H91" s="2"/>
      <c r="I91" s="2"/>
      <c r="J91" s="2"/>
      <c r="K91" s="2"/>
    </row>
    <row r="92" spans="2:12" ht="15">
      <c r="B92" s="1"/>
      <c r="C92" s="2"/>
      <c r="D92" s="2"/>
      <c r="E92" s="2"/>
      <c r="F92" s="2"/>
      <c r="G92" s="2"/>
      <c r="H92" s="2"/>
      <c r="I92" s="2"/>
      <c r="J92" s="2"/>
      <c r="K92" s="2"/>
    </row>
    <row r="93" spans="2:12" ht="15">
      <c r="B93" s="1"/>
      <c r="C93" s="2"/>
      <c r="D93" s="2"/>
      <c r="E93" s="2"/>
      <c r="F93" s="2"/>
      <c r="G93" s="2"/>
      <c r="H93" s="2"/>
      <c r="I93" s="2"/>
      <c r="J93" s="2"/>
      <c r="K93" s="2"/>
    </row>
    <row r="94" spans="2:12" ht="15">
      <c r="B94" s="1"/>
      <c r="C94" s="2"/>
      <c r="D94" s="2"/>
      <c r="E94" s="2"/>
      <c r="F94" s="2"/>
      <c r="G94" s="2"/>
      <c r="H94" s="2"/>
      <c r="I94" s="2"/>
      <c r="J94" s="2"/>
      <c r="K94" s="2"/>
    </row>
    <row r="95" spans="2:12" ht="15">
      <c r="B95" s="1"/>
      <c r="C95" s="2"/>
      <c r="D95" s="2"/>
      <c r="E95" s="2"/>
      <c r="F95" s="2"/>
      <c r="G95" s="2"/>
      <c r="H95" s="2"/>
      <c r="I95" s="2"/>
      <c r="J95" s="2"/>
      <c r="K95" s="2"/>
    </row>
    <row r="96" spans="2:12" ht="15">
      <c r="B96" s="1"/>
      <c r="C96" s="2"/>
      <c r="D96" s="2"/>
      <c r="E96" s="2"/>
      <c r="F96" s="2"/>
      <c r="G96" s="2"/>
      <c r="H96" s="2"/>
      <c r="I96" s="2"/>
      <c r="J96" s="2"/>
      <c r="K96" s="2"/>
    </row>
    <row r="97" spans="2:12" ht="15">
      <c r="B97" s="1"/>
      <c r="C97" s="2"/>
      <c r="D97" s="2"/>
      <c r="E97" s="2"/>
      <c r="F97" s="2"/>
      <c r="G97" s="2"/>
      <c r="H97" s="2"/>
      <c r="I97" s="2"/>
      <c r="J97" s="2"/>
      <c r="K97" s="2"/>
    </row>
    <row r="98" spans="2:12" ht="15">
      <c r="B98" s="1"/>
      <c r="C98" s="2"/>
      <c r="D98" s="2"/>
      <c r="E98" s="2"/>
      <c r="F98" s="2"/>
      <c r="G98" s="2"/>
      <c r="H98" s="2"/>
      <c r="I98" s="2"/>
      <c r="J98" s="2"/>
      <c r="K98" s="2"/>
    </row>
    <row r="100" spans="2:12" ht="18.75">
      <c r="B100" s="722" t="s">
        <v>941</v>
      </c>
      <c r="C100" s="722"/>
      <c r="D100" s="722"/>
      <c r="E100" s="722"/>
      <c r="F100" s="722"/>
      <c r="G100" s="722"/>
      <c r="H100" s="722"/>
      <c r="I100" s="722"/>
      <c r="J100" s="722"/>
      <c r="K100" s="722"/>
    </row>
    <row r="101" spans="2:12" ht="15">
      <c r="B101" s="72"/>
      <c r="C101" s="3"/>
      <c r="D101" s="2"/>
      <c r="E101" s="2"/>
      <c r="F101" s="2"/>
      <c r="G101" s="2"/>
      <c r="H101" s="2"/>
      <c r="I101" s="2"/>
      <c r="J101" s="2"/>
      <c r="K101" s="2"/>
    </row>
    <row r="102" spans="2:12" ht="12.75" customHeight="1">
      <c r="B102" s="715" t="s">
        <v>942</v>
      </c>
      <c r="C102" s="715"/>
      <c r="D102" s="715"/>
      <c r="E102" s="715"/>
      <c r="F102" s="715"/>
      <c r="G102" s="715"/>
      <c r="H102" s="715"/>
      <c r="I102" s="715"/>
      <c r="J102" s="715"/>
      <c r="K102" s="715"/>
    </row>
    <row r="103" spans="2:12" ht="18" customHeight="1">
      <c r="B103" s="715"/>
      <c r="C103" s="715"/>
      <c r="D103" s="715"/>
      <c r="E103" s="715"/>
      <c r="F103" s="715"/>
      <c r="G103" s="715"/>
      <c r="H103" s="715"/>
      <c r="I103" s="715"/>
      <c r="J103" s="715"/>
      <c r="K103" s="715"/>
    </row>
    <row r="104" spans="2:12" ht="15">
      <c r="B104" s="686"/>
      <c r="C104" s="25"/>
      <c r="D104" s="25"/>
      <c r="E104" s="25"/>
      <c r="F104" s="2"/>
      <c r="G104" s="2"/>
      <c r="H104" s="2"/>
      <c r="I104" s="2"/>
      <c r="J104" s="2"/>
      <c r="K104" s="2"/>
    </row>
    <row r="105" spans="2:12" ht="15">
      <c r="B105" s="5"/>
      <c r="C105" s="72"/>
      <c r="D105" s="73"/>
      <c r="E105" s="72" t="s">
        <v>283</v>
      </c>
      <c r="F105" s="1"/>
      <c r="G105" s="1"/>
      <c r="H105" s="1"/>
      <c r="I105" s="1"/>
      <c r="J105" s="1"/>
      <c r="K105" s="1"/>
    </row>
    <row r="106" spans="2:12" ht="15">
      <c r="B106" s="73"/>
      <c r="C106" s="72" t="s">
        <v>229</v>
      </c>
      <c r="D106" s="96" t="s">
        <v>282</v>
      </c>
      <c r="E106" s="73" t="s">
        <v>917</v>
      </c>
      <c r="F106" s="73" t="s">
        <v>283</v>
      </c>
      <c r="G106" s="73" t="s">
        <v>298</v>
      </c>
      <c r="H106" s="73" t="s">
        <v>299</v>
      </c>
      <c r="I106" s="73" t="s">
        <v>300</v>
      </c>
      <c r="J106" s="73" t="s">
        <v>1087</v>
      </c>
      <c r="K106" s="73" t="s">
        <v>1224</v>
      </c>
    </row>
    <row r="107" spans="2:12" ht="15.75" thickBot="1">
      <c r="B107" s="188"/>
      <c r="C107" s="75" t="s">
        <v>1</v>
      </c>
      <c r="D107" s="75" t="s">
        <v>1</v>
      </c>
      <c r="E107" s="75" t="s">
        <v>871</v>
      </c>
      <c r="F107" s="75" t="s">
        <v>20</v>
      </c>
      <c r="G107" s="75" t="s">
        <v>917</v>
      </c>
      <c r="H107" s="75" t="s">
        <v>20</v>
      </c>
      <c r="I107" s="75" t="s">
        <v>20</v>
      </c>
      <c r="J107" s="75" t="s">
        <v>20</v>
      </c>
      <c r="K107" s="75" t="s">
        <v>20</v>
      </c>
    </row>
    <row r="108" spans="2:12" ht="15">
      <c r="B108" s="71"/>
      <c r="C108" s="189"/>
      <c r="D108" s="2"/>
      <c r="E108" s="2"/>
      <c r="F108" s="2"/>
      <c r="G108" s="2"/>
      <c r="H108" s="2"/>
      <c r="I108" s="2"/>
      <c r="J108" s="2"/>
      <c r="K108" s="2"/>
    </row>
    <row r="109" spans="2:12" ht="15">
      <c r="B109" s="177" t="s">
        <v>918</v>
      </c>
      <c r="C109" s="2"/>
      <c r="D109" s="2"/>
      <c r="E109" s="2"/>
      <c r="F109" s="2"/>
      <c r="G109" s="2"/>
      <c r="H109" s="2"/>
      <c r="I109" s="2"/>
      <c r="J109" s="2"/>
      <c r="K109" s="2"/>
    </row>
    <row r="110" spans="2:12" ht="20.100000000000001" customHeight="1">
      <c r="B110" s="687" t="s">
        <v>919</v>
      </c>
      <c r="C110" s="2">
        <f>'Budget Detail FY 2012-19'!N329</f>
        <v>7530</v>
      </c>
      <c r="D110" s="2">
        <f>'Budget Detail FY 2012-19'!O329</f>
        <v>7530</v>
      </c>
      <c r="E110" s="2">
        <f>'Budget Detail FY 2012-19'!P329</f>
        <v>7531</v>
      </c>
      <c r="F110" s="2">
        <f>'Budget Detail FY 2012-19'!Q329</f>
        <v>7467</v>
      </c>
      <c r="G110" s="2">
        <f>'Budget Detail FY 2012-19'!R329</f>
        <v>17416</v>
      </c>
      <c r="H110" s="2">
        <f>'Budget Detail FY 2012-19'!S329</f>
        <v>17416</v>
      </c>
      <c r="I110" s="2">
        <f>'Budget Detail FY 2012-19'!T329</f>
        <v>17416</v>
      </c>
      <c r="J110" s="2">
        <f>'Budget Detail FY 2012-19'!U329</f>
        <v>17416</v>
      </c>
      <c r="K110" s="2">
        <f>'Budget Detail FY 2012-19'!V329</f>
        <v>17416</v>
      </c>
    </row>
    <row r="111" spans="2:12" ht="20.100000000000001" customHeight="1">
      <c r="B111" s="687" t="s">
        <v>924</v>
      </c>
      <c r="C111" s="2">
        <f>'Budget Detail FY 2012-19'!N330</f>
        <v>7</v>
      </c>
      <c r="D111" s="2">
        <f>'Budget Detail FY 2012-19'!O330</f>
        <v>14</v>
      </c>
      <c r="E111" s="2">
        <f>'Budget Detail FY 2012-19'!P330</f>
        <v>0</v>
      </c>
      <c r="F111" s="2">
        <f>'Budget Detail FY 2012-19'!Q330</f>
        <v>2</v>
      </c>
      <c r="G111" s="2">
        <f>'Budget Detail FY 2012-19'!R330</f>
        <v>0</v>
      </c>
      <c r="H111" s="2">
        <f>'Budget Detail FY 2012-19'!S330</f>
        <v>0</v>
      </c>
      <c r="I111" s="2">
        <f>'Budget Detail FY 2012-19'!T330</f>
        <v>0</v>
      </c>
      <c r="J111" s="2">
        <f>'Budget Detail FY 2012-19'!U330</f>
        <v>0</v>
      </c>
      <c r="K111" s="2">
        <f>'Budget Detail FY 2012-19'!V330</f>
        <v>0</v>
      </c>
    </row>
    <row r="112" spans="2:12" ht="20.100000000000001" customHeight="1" thickBot="1">
      <c r="B112" s="172" t="s">
        <v>928</v>
      </c>
      <c r="C112" s="169">
        <f t="shared" ref="C112:J112" si="16">SUM(C110:C111)</f>
        <v>7537</v>
      </c>
      <c r="D112" s="169">
        <f t="shared" si="16"/>
        <v>7544</v>
      </c>
      <c r="E112" s="169">
        <f t="shared" si="16"/>
        <v>7531</v>
      </c>
      <c r="F112" s="169">
        <f t="shared" si="16"/>
        <v>7469</v>
      </c>
      <c r="G112" s="169">
        <f t="shared" si="16"/>
        <v>17416</v>
      </c>
      <c r="H112" s="169">
        <f t="shared" si="16"/>
        <v>17416</v>
      </c>
      <c r="I112" s="169">
        <f t="shared" si="16"/>
        <v>17416</v>
      </c>
      <c r="J112" s="169">
        <f t="shared" si="16"/>
        <v>17416</v>
      </c>
      <c r="K112" s="169">
        <f>SUM(K110:K111)</f>
        <v>17416</v>
      </c>
      <c r="L112" s="173"/>
    </row>
    <row r="113" spans="2:12" s="173" customFormat="1" ht="15" hidden="1">
      <c r="B113" s="174"/>
      <c r="C113" s="146">
        <f>'Budget Detail FY 2012-19'!N332</f>
        <v>7537</v>
      </c>
      <c r="D113" s="146">
        <f>'Budget Detail FY 2012-19'!O332</f>
        <v>7544</v>
      </c>
      <c r="E113" s="146">
        <f>'Budget Detail FY 2012-19'!P332</f>
        <v>7531</v>
      </c>
      <c r="F113" s="146">
        <f>'Budget Detail FY 2012-19'!Q332</f>
        <v>7469</v>
      </c>
      <c r="G113" s="146">
        <f>'Budget Detail FY 2012-19'!R332</f>
        <v>17416</v>
      </c>
      <c r="H113" s="146">
        <f>'Budget Detail FY 2012-19'!S332</f>
        <v>17416</v>
      </c>
      <c r="I113" s="146">
        <f>'Budget Detail FY 2012-19'!T332</f>
        <v>17416</v>
      </c>
      <c r="J113" s="146">
        <f>'Budget Detail FY 2012-19'!U332</f>
        <v>17416</v>
      </c>
      <c r="K113" s="146">
        <f>'Budget Detail FY 2012-19'!V332</f>
        <v>17416</v>
      </c>
      <c r="L113" s="586" t="s">
        <v>1299</v>
      </c>
    </row>
    <row r="114" spans="2:12" s="175" customFormat="1" ht="14.25" hidden="1">
      <c r="B114" s="176"/>
      <c r="C114" s="147">
        <f>C112-C113</f>
        <v>0</v>
      </c>
      <c r="D114" s="147">
        <f t="shared" ref="D114:K114" si="17">D112-D113</f>
        <v>0</v>
      </c>
      <c r="E114" s="147">
        <f t="shared" si="17"/>
        <v>0</v>
      </c>
      <c r="F114" s="147">
        <f t="shared" si="17"/>
        <v>0</v>
      </c>
      <c r="G114" s="147">
        <f t="shared" si="17"/>
        <v>0</v>
      </c>
      <c r="H114" s="147">
        <f t="shared" si="17"/>
        <v>0</v>
      </c>
      <c r="I114" s="147">
        <f t="shared" si="17"/>
        <v>0</v>
      </c>
      <c r="J114" s="147">
        <f t="shared" si="17"/>
        <v>0</v>
      </c>
      <c r="K114" s="147">
        <f t="shared" si="17"/>
        <v>0</v>
      </c>
      <c r="L114" s="587" t="s">
        <v>1300</v>
      </c>
    </row>
    <row r="115" spans="2:12" ht="15">
      <c r="B115" s="1"/>
      <c r="C115" s="2"/>
      <c r="D115" s="2"/>
      <c r="E115" s="2"/>
      <c r="F115" s="2"/>
      <c r="G115" s="2"/>
      <c r="H115" s="2"/>
      <c r="I115" s="2"/>
      <c r="J115" s="2"/>
      <c r="K115" s="2"/>
    </row>
    <row r="116" spans="2:12" ht="15">
      <c r="B116" s="177" t="s">
        <v>659</v>
      </c>
      <c r="C116" s="2"/>
      <c r="D116" s="2"/>
      <c r="E116" s="2"/>
      <c r="F116" s="2"/>
      <c r="G116" s="2"/>
      <c r="H116" s="2"/>
      <c r="I116" s="2"/>
      <c r="J116" s="2"/>
      <c r="K116" s="2"/>
    </row>
    <row r="117" spans="2:12" ht="20.100000000000001" customHeight="1">
      <c r="B117" s="689" t="s">
        <v>931</v>
      </c>
      <c r="C117" s="2">
        <f>SUM('Budget Detail FY 2012-19'!N334:N335)</f>
        <v>7272</v>
      </c>
      <c r="D117" s="2">
        <f>SUM('Budget Detail FY 2012-19'!O334:O335)</f>
        <v>11992</v>
      </c>
      <c r="E117" s="2">
        <f>SUM('Budget Detail FY 2012-19'!P334:P335)</f>
        <v>14985</v>
      </c>
      <c r="F117" s="2">
        <f>SUM('Budget Detail FY 2012-19'!Q334:Q335)</f>
        <v>14985</v>
      </c>
      <c r="G117" s="2">
        <f>SUM('Budget Detail FY 2012-19'!R334:R335)</f>
        <v>35985</v>
      </c>
      <c r="H117" s="2">
        <f>SUM('Budget Detail FY 2012-19'!S334:S335)</f>
        <v>35985</v>
      </c>
      <c r="I117" s="2">
        <f>SUM('Budget Detail FY 2012-19'!T334:T335)</f>
        <v>10985</v>
      </c>
      <c r="J117" s="2">
        <f>SUM('Budget Detail FY 2012-19'!U334:U335)</f>
        <v>10985</v>
      </c>
      <c r="K117" s="2">
        <f>SUM('Budget Detail FY 2012-19'!V334:V335)</f>
        <v>10985</v>
      </c>
    </row>
    <row r="118" spans="2:12" ht="20.100000000000001" customHeight="1" thickBot="1">
      <c r="B118" s="172" t="s">
        <v>936</v>
      </c>
      <c r="C118" s="169">
        <f t="shared" ref="C118:J118" si="18">SUM(C117:C117)</f>
        <v>7272</v>
      </c>
      <c r="D118" s="169">
        <f t="shared" si="18"/>
        <v>11992</v>
      </c>
      <c r="E118" s="169">
        <f t="shared" si="18"/>
        <v>14985</v>
      </c>
      <c r="F118" s="169">
        <f t="shared" si="18"/>
        <v>14985</v>
      </c>
      <c r="G118" s="169">
        <f t="shared" si="18"/>
        <v>35985</v>
      </c>
      <c r="H118" s="169">
        <f t="shared" si="18"/>
        <v>35985</v>
      </c>
      <c r="I118" s="169">
        <f t="shared" si="18"/>
        <v>10985</v>
      </c>
      <c r="J118" s="169">
        <f t="shared" si="18"/>
        <v>10985</v>
      </c>
      <c r="K118" s="169">
        <f>SUM(K117:K117)</f>
        <v>10985</v>
      </c>
      <c r="L118" s="173"/>
    </row>
    <row r="119" spans="2:12" s="173" customFormat="1" ht="15" hidden="1">
      <c r="B119" s="174"/>
      <c r="C119" s="146">
        <f>'Budget Detail FY 2012-19'!N337</f>
        <v>7272</v>
      </c>
      <c r="D119" s="146">
        <f>'Budget Detail FY 2012-19'!O337</f>
        <v>11992</v>
      </c>
      <c r="E119" s="146">
        <f>'Budget Detail FY 2012-19'!P337</f>
        <v>14985</v>
      </c>
      <c r="F119" s="146">
        <f>'Budget Detail FY 2012-19'!Q337</f>
        <v>14985</v>
      </c>
      <c r="G119" s="146">
        <f>'Budget Detail FY 2012-19'!R337</f>
        <v>35985</v>
      </c>
      <c r="H119" s="146">
        <f>'Budget Detail FY 2012-19'!S337</f>
        <v>35985</v>
      </c>
      <c r="I119" s="146">
        <f>'Budget Detail FY 2012-19'!T337</f>
        <v>10985</v>
      </c>
      <c r="J119" s="146">
        <f>'Budget Detail FY 2012-19'!U337</f>
        <v>10985</v>
      </c>
      <c r="K119" s="146">
        <f>'Budget Detail FY 2012-19'!V337</f>
        <v>10985</v>
      </c>
      <c r="L119" s="586" t="s">
        <v>1299</v>
      </c>
    </row>
    <row r="120" spans="2:12" s="175" customFormat="1" ht="14.25" hidden="1">
      <c r="B120" s="176"/>
      <c r="C120" s="147">
        <f>C118-C119</f>
        <v>0</v>
      </c>
      <c r="D120" s="147">
        <f t="shared" ref="D120:K120" si="19">D118-D119</f>
        <v>0</v>
      </c>
      <c r="E120" s="147">
        <f t="shared" si="19"/>
        <v>0</v>
      </c>
      <c r="F120" s="147">
        <f t="shared" si="19"/>
        <v>0</v>
      </c>
      <c r="G120" s="147">
        <f t="shared" si="19"/>
        <v>0</v>
      </c>
      <c r="H120" s="147">
        <f t="shared" si="19"/>
        <v>0</v>
      </c>
      <c r="I120" s="147">
        <f t="shared" si="19"/>
        <v>0</v>
      </c>
      <c r="J120" s="147">
        <f t="shared" si="19"/>
        <v>0</v>
      </c>
      <c r="K120" s="147">
        <f t="shared" si="19"/>
        <v>0</v>
      </c>
      <c r="L120" s="587" t="s">
        <v>1300</v>
      </c>
    </row>
    <row r="121" spans="2:12" ht="15">
      <c r="B121" s="179"/>
      <c r="C121" s="3"/>
      <c r="D121" s="2"/>
      <c r="E121" s="2"/>
      <c r="F121" s="2"/>
      <c r="G121" s="2"/>
      <c r="H121" s="2"/>
      <c r="I121" s="2"/>
      <c r="J121" s="2"/>
      <c r="K121" s="2"/>
    </row>
    <row r="122" spans="2:12" ht="20.100000000000001" customHeight="1">
      <c r="B122" s="691" t="s">
        <v>937</v>
      </c>
      <c r="C122" s="3">
        <f t="shared" ref="C122:J122" si="20">+C112-C118</f>
        <v>265</v>
      </c>
      <c r="D122" s="3">
        <f t="shared" si="20"/>
        <v>-4448</v>
      </c>
      <c r="E122" s="3">
        <f t="shared" si="20"/>
        <v>-7454</v>
      </c>
      <c r="F122" s="3">
        <f t="shared" si="20"/>
        <v>-7516</v>
      </c>
      <c r="G122" s="3">
        <f t="shared" si="20"/>
        <v>-18569</v>
      </c>
      <c r="H122" s="3">
        <f t="shared" si="20"/>
        <v>-18569</v>
      </c>
      <c r="I122" s="3">
        <f t="shared" si="20"/>
        <v>6431</v>
      </c>
      <c r="J122" s="3">
        <f t="shared" si="20"/>
        <v>6431</v>
      </c>
      <c r="K122" s="3">
        <f>+K112-K118</f>
        <v>6431</v>
      </c>
      <c r="L122" s="173"/>
    </row>
    <row r="123" spans="2:12" s="173" customFormat="1" ht="15" hidden="1" customHeight="1">
      <c r="B123" s="180"/>
      <c r="C123" s="146">
        <f>'Budget Detail FY 2012-19'!N339</f>
        <v>265</v>
      </c>
      <c r="D123" s="146">
        <f>'Budget Detail FY 2012-19'!O339</f>
        <v>-4448</v>
      </c>
      <c r="E123" s="146">
        <f>'Budget Detail FY 2012-19'!P339</f>
        <v>-7454</v>
      </c>
      <c r="F123" s="146">
        <f>'Budget Detail FY 2012-19'!Q339</f>
        <v>-7516</v>
      </c>
      <c r="G123" s="146">
        <f>'Budget Detail FY 2012-19'!R339</f>
        <v>-18569</v>
      </c>
      <c r="H123" s="146">
        <f>'Budget Detail FY 2012-19'!S339</f>
        <v>-18569</v>
      </c>
      <c r="I123" s="146">
        <f>'Budget Detail FY 2012-19'!T339</f>
        <v>6431</v>
      </c>
      <c r="J123" s="146">
        <f>'Budget Detail FY 2012-19'!U339</f>
        <v>6431</v>
      </c>
      <c r="K123" s="146">
        <f>'Budget Detail FY 2012-19'!V339</f>
        <v>6431</v>
      </c>
      <c r="L123" s="586" t="s">
        <v>1299</v>
      </c>
    </row>
    <row r="124" spans="2:12" s="175" customFormat="1" ht="15" hidden="1" customHeight="1">
      <c r="B124" s="181"/>
      <c r="C124" s="190">
        <f>C122-C123</f>
        <v>0</v>
      </c>
      <c r="D124" s="190">
        <f t="shared" ref="D124:K124" si="21">D122-D123</f>
        <v>0</v>
      </c>
      <c r="E124" s="190">
        <f t="shared" si="21"/>
        <v>0</v>
      </c>
      <c r="F124" s="190">
        <f t="shared" si="21"/>
        <v>0</v>
      </c>
      <c r="G124" s="190">
        <f t="shared" si="21"/>
        <v>0</v>
      </c>
      <c r="H124" s="190">
        <f t="shared" si="21"/>
        <v>0</v>
      </c>
      <c r="I124" s="190">
        <f t="shared" si="21"/>
        <v>0</v>
      </c>
      <c r="J124" s="190">
        <f t="shared" si="21"/>
        <v>0</v>
      </c>
      <c r="K124" s="190">
        <f t="shared" si="21"/>
        <v>0</v>
      </c>
      <c r="L124" s="587" t="s">
        <v>1300</v>
      </c>
    </row>
    <row r="125" spans="2:12" ht="15">
      <c r="B125" s="183"/>
      <c r="C125" s="3"/>
      <c r="D125" s="2"/>
      <c r="E125" s="2"/>
      <c r="F125" s="2"/>
      <c r="G125" s="2"/>
      <c r="H125" s="2"/>
      <c r="I125" s="2"/>
      <c r="J125" s="2"/>
      <c r="K125" s="2"/>
    </row>
    <row r="126" spans="2:12" ht="20.100000000000001" customHeight="1" thickBot="1">
      <c r="B126" s="171" t="s">
        <v>938</v>
      </c>
      <c r="C126" s="91">
        <v>12188</v>
      </c>
      <c r="D126" s="91">
        <v>7740</v>
      </c>
      <c r="E126" s="91">
        <v>560</v>
      </c>
      <c r="F126" s="91">
        <f>D126+F122</f>
        <v>224</v>
      </c>
      <c r="G126" s="91">
        <f>F126+G122</f>
        <v>-18345</v>
      </c>
      <c r="H126" s="91">
        <f>G126+H122</f>
        <v>-36914</v>
      </c>
      <c r="I126" s="91">
        <f>H126+I122</f>
        <v>-30483</v>
      </c>
      <c r="J126" s="91">
        <f>I126+J122</f>
        <v>-24052</v>
      </c>
      <c r="K126" s="91">
        <f>J126+K122</f>
        <v>-17621</v>
      </c>
      <c r="L126" s="173"/>
    </row>
    <row r="127" spans="2:12" s="173" customFormat="1" ht="15.75" hidden="1" customHeight="1" thickTop="1">
      <c r="B127" s="174"/>
      <c r="C127" s="146">
        <f>'Budget Detail FY 2012-19'!N341</f>
        <v>12188</v>
      </c>
      <c r="D127" s="146">
        <f>'Budget Detail FY 2012-19'!O341</f>
        <v>7740</v>
      </c>
      <c r="E127" s="146">
        <f>'Budget Detail FY 2012-19'!P341</f>
        <v>560</v>
      </c>
      <c r="F127" s="146">
        <f>'Budget Detail FY 2012-19'!Q341</f>
        <v>224</v>
      </c>
      <c r="G127" s="146">
        <f>'Budget Detail FY 2012-19'!R341</f>
        <v>-18345</v>
      </c>
      <c r="H127" s="146">
        <f>'Budget Detail FY 2012-19'!S341</f>
        <v>-36914</v>
      </c>
      <c r="I127" s="146">
        <f>'Budget Detail FY 2012-19'!T341</f>
        <v>-30483</v>
      </c>
      <c r="J127" s="146">
        <f>'Budget Detail FY 2012-19'!U341</f>
        <v>-24052</v>
      </c>
      <c r="K127" s="146">
        <f>'Budget Detail FY 2012-19'!V341</f>
        <v>-17621</v>
      </c>
      <c r="L127" s="586" t="s">
        <v>1299</v>
      </c>
    </row>
    <row r="128" spans="2:12" s="175" customFormat="1" ht="14.25" hidden="1" customHeight="1">
      <c r="B128" s="176"/>
      <c r="C128" s="147">
        <f>C126-C127</f>
        <v>0</v>
      </c>
      <c r="D128" s="147">
        <f t="shared" ref="D128:K128" si="22">D126-D127</f>
        <v>0</v>
      </c>
      <c r="E128" s="147">
        <f t="shared" si="22"/>
        <v>0</v>
      </c>
      <c r="F128" s="147">
        <f t="shared" si="22"/>
        <v>0</v>
      </c>
      <c r="G128" s="147">
        <f t="shared" si="22"/>
        <v>0</v>
      </c>
      <c r="H128" s="147">
        <f t="shared" si="22"/>
        <v>0</v>
      </c>
      <c r="I128" s="147">
        <f t="shared" si="22"/>
        <v>0</v>
      </c>
      <c r="J128" s="147">
        <f t="shared" si="22"/>
        <v>0</v>
      </c>
      <c r="K128" s="147">
        <f t="shared" si="22"/>
        <v>0</v>
      </c>
      <c r="L128" s="587" t="s">
        <v>1300</v>
      </c>
    </row>
    <row r="129" spans="2:12" s="191" customFormat="1" ht="15.75" thickTop="1">
      <c r="B129" s="179"/>
      <c r="C129" s="185">
        <f>C126/C118</f>
        <v>1.676017601760176</v>
      </c>
      <c r="D129" s="185">
        <f t="shared" ref="D129:K129" si="23">D126/D118</f>
        <v>0.64543028685790527</v>
      </c>
      <c r="E129" s="185">
        <f t="shared" si="23"/>
        <v>3.7370704037370701E-2</v>
      </c>
      <c r="F129" s="185">
        <f t="shared" si="23"/>
        <v>1.4948281614948282E-2</v>
      </c>
      <c r="G129" s="185">
        <f t="shared" si="23"/>
        <v>-0.50979574822842855</v>
      </c>
      <c r="H129" s="185">
        <f t="shared" si="23"/>
        <v>-1.0258163123523691</v>
      </c>
      <c r="I129" s="185">
        <f t="shared" si="23"/>
        <v>-2.774965862539827</v>
      </c>
      <c r="J129" s="185">
        <f t="shared" si="23"/>
        <v>-2.1895311788802911</v>
      </c>
      <c r="K129" s="185">
        <f t="shared" si="23"/>
        <v>-1.6040964952207555</v>
      </c>
      <c r="L129" s="692"/>
    </row>
    <row r="130" spans="2:12" ht="15">
      <c r="B130" s="184"/>
      <c r="C130" s="192"/>
      <c r="D130" s="192"/>
      <c r="E130" s="192"/>
      <c r="F130" s="192"/>
      <c r="G130" s="192"/>
      <c r="H130" s="192"/>
      <c r="I130" s="192"/>
      <c r="J130" s="192"/>
      <c r="K130" s="192"/>
    </row>
    <row r="131" spans="2:12" ht="15">
      <c r="B131" s="1"/>
      <c r="C131" s="2"/>
      <c r="D131" s="2"/>
      <c r="E131" s="2"/>
      <c r="F131" s="2"/>
      <c r="G131" s="2"/>
      <c r="H131" s="2"/>
      <c r="I131" s="2"/>
      <c r="J131" s="2"/>
      <c r="K131" s="2"/>
    </row>
    <row r="132" spans="2:12" ht="15">
      <c r="B132" s="1"/>
      <c r="C132" s="2"/>
      <c r="D132" s="2"/>
      <c r="E132" s="2"/>
      <c r="F132" s="2"/>
      <c r="G132" s="2"/>
      <c r="H132" s="2"/>
      <c r="I132" s="2"/>
      <c r="J132" s="2"/>
      <c r="K132" s="2"/>
    </row>
    <row r="133" spans="2:12" ht="15">
      <c r="B133" s="1"/>
      <c r="C133" s="2"/>
      <c r="D133" s="2"/>
      <c r="E133" s="2"/>
      <c r="F133" s="2"/>
      <c r="G133" s="2"/>
      <c r="H133" s="2"/>
      <c r="I133" s="2"/>
      <c r="J133" s="2"/>
      <c r="K133" s="2"/>
    </row>
    <row r="134" spans="2:12" ht="15">
      <c r="B134" s="1"/>
      <c r="C134" s="2"/>
      <c r="D134" s="2"/>
      <c r="E134" s="2"/>
      <c r="F134" s="2"/>
      <c r="G134" s="2"/>
      <c r="H134" s="2"/>
      <c r="I134" s="2"/>
      <c r="J134" s="2"/>
      <c r="K134" s="2"/>
    </row>
    <row r="135" spans="2:12" ht="15">
      <c r="B135" s="1"/>
      <c r="C135" s="2"/>
      <c r="D135" s="2"/>
      <c r="E135" s="2"/>
      <c r="F135" s="2"/>
      <c r="G135" s="2"/>
      <c r="H135" s="2"/>
      <c r="I135" s="2"/>
      <c r="J135" s="2"/>
      <c r="K135" s="2"/>
    </row>
    <row r="136" spans="2:12" ht="15">
      <c r="B136" s="1"/>
      <c r="C136" s="2"/>
      <c r="D136" s="2"/>
      <c r="E136" s="2"/>
      <c r="F136" s="2"/>
      <c r="G136" s="2"/>
      <c r="H136" s="2"/>
      <c r="I136" s="2"/>
      <c r="J136" s="2"/>
      <c r="K136" s="2"/>
    </row>
    <row r="137" spans="2:12" ht="15">
      <c r="B137" s="1"/>
      <c r="C137" s="2"/>
      <c r="D137" s="2"/>
      <c r="E137" s="2"/>
      <c r="F137" s="2"/>
      <c r="G137" s="2"/>
      <c r="H137" s="2"/>
      <c r="I137" s="2"/>
      <c r="J137" s="2"/>
      <c r="K137" s="2"/>
    </row>
    <row r="138" spans="2:12" ht="15">
      <c r="B138" s="1"/>
      <c r="C138" s="2"/>
      <c r="D138" s="2"/>
      <c r="E138" s="2"/>
      <c r="F138" s="2"/>
      <c r="G138" s="2"/>
      <c r="H138" s="2"/>
      <c r="I138" s="2"/>
      <c r="J138" s="2"/>
      <c r="K138" s="2"/>
    </row>
    <row r="139" spans="2:12" ht="15">
      <c r="B139" s="1"/>
      <c r="C139" s="2"/>
      <c r="D139" s="2"/>
      <c r="E139" s="2"/>
      <c r="F139" s="2"/>
      <c r="G139" s="2"/>
      <c r="H139" s="2"/>
      <c r="I139" s="2"/>
      <c r="J139" s="2"/>
      <c r="K139" s="2"/>
    </row>
    <row r="140" spans="2:12" ht="15">
      <c r="B140" s="1"/>
      <c r="C140" s="2"/>
      <c r="D140" s="2"/>
      <c r="E140" s="2"/>
      <c r="F140" s="2"/>
      <c r="G140" s="2"/>
      <c r="H140" s="2"/>
      <c r="I140" s="2"/>
      <c r="J140" s="2"/>
      <c r="K140" s="2"/>
    </row>
    <row r="141" spans="2:12" ht="21" customHeight="1">
      <c r="B141" s="1"/>
      <c r="C141" s="2"/>
      <c r="D141" s="2"/>
      <c r="E141" s="2"/>
      <c r="F141" s="2"/>
      <c r="G141" s="2"/>
      <c r="H141" s="2"/>
      <c r="I141" s="2"/>
      <c r="J141" s="2"/>
      <c r="K141" s="2"/>
    </row>
    <row r="143" spans="2:12" ht="18.75">
      <c r="B143" s="722" t="s">
        <v>943</v>
      </c>
      <c r="C143" s="722"/>
      <c r="D143" s="722"/>
      <c r="E143" s="722"/>
      <c r="F143" s="722"/>
      <c r="G143" s="722"/>
      <c r="H143" s="722"/>
      <c r="I143" s="722"/>
      <c r="J143" s="722"/>
      <c r="K143" s="722"/>
    </row>
    <row r="144" spans="2:12" ht="15">
      <c r="B144" s="72"/>
      <c r="C144" s="3"/>
      <c r="D144" s="2"/>
      <c r="E144" s="2"/>
      <c r="F144" s="2"/>
      <c r="G144" s="2"/>
      <c r="H144" s="2"/>
      <c r="I144" s="2"/>
      <c r="J144" s="2"/>
      <c r="K144" s="2"/>
    </row>
    <row r="145" spans="2:12" ht="12.75" customHeight="1">
      <c r="B145" s="715" t="s">
        <v>1482</v>
      </c>
      <c r="C145" s="715"/>
      <c r="D145" s="715"/>
      <c r="E145" s="715"/>
      <c r="F145" s="715"/>
      <c r="G145" s="715"/>
      <c r="H145" s="715"/>
      <c r="I145" s="715"/>
      <c r="J145" s="715"/>
      <c r="K145" s="715"/>
    </row>
    <row r="146" spans="2:12" ht="18.75" customHeight="1">
      <c r="B146" s="715"/>
      <c r="C146" s="715"/>
      <c r="D146" s="715"/>
      <c r="E146" s="715"/>
      <c r="F146" s="715"/>
      <c r="G146" s="715"/>
      <c r="H146" s="715"/>
      <c r="I146" s="715"/>
      <c r="J146" s="715"/>
      <c r="K146" s="715"/>
    </row>
    <row r="147" spans="2:12" ht="7.5" customHeight="1">
      <c r="B147" s="20"/>
      <c r="C147" s="27"/>
      <c r="D147" s="27"/>
      <c r="E147" s="28"/>
      <c r="F147" s="2"/>
      <c r="G147" s="2"/>
      <c r="H147" s="2"/>
      <c r="I147" s="2"/>
      <c r="J147" s="2"/>
      <c r="K147" s="2"/>
    </row>
    <row r="148" spans="2:12" ht="15">
      <c r="B148" s="21"/>
      <c r="C148" s="72"/>
      <c r="D148" s="73"/>
      <c r="E148" s="72" t="s">
        <v>283</v>
      </c>
      <c r="F148" s="1"/>
      <c r="G148" s="1"/>
      <c r="H148" s="1"/>
      <c r="I148" s="1"/>
      <c r="J148" s="1"/>
      <c r="K148" s="1"/>
    </row>
    <row r="149" spans="2:12" ht="15">
      <c r="B149" s="73"/>
      <c r="C149" s="72" t="s">
        <v>229</v>
      </c>
      <c r="D149" s="96" t="s">
        <v>282</v>
      </c>
      <c r="E149" s="73" t="s">
        <v>917</v>
      </c>
      <c r="F149" s="73" t="s">
        <v>283</v>
      </c>
      <c r="G149" s="73" t="s">
        <v>298</v>
      </c>
      <c r="H149" s="73" t="s">
        <v>299</v>
      </c>
      <c r="I149" s="73" t="s">
        <v>300</v>
      </c>
      <c r="J149" s="73" t="s">
        <v>1087</v>
      </c>
      <c r="K149" s="73" t="s">
        <v>1224</v>
      </c>
    </row>
    <row r="150" spans="2:12" ht="15.75" thickBot="1">
      <c r="B150" s="188"/>
      <c r="C150" s="75" t="s">
        <v>1</v>
      </c>
      <c r="D150" s="75" t="s">
        <v>1</v>
      </c>
      <c r="E150" s="75" t="s">
        <v>871</v>
      </c>
      <c r="F150" s="75" t="s">
        <v>20</v>
      </c>
      <c r="G150" s="75" t="s">
        <v>917</v>
      </c>
      <c r="H150" s="75" t="s">
        <v>20</v>
      </c>
      <c r="I150" s="75" t="s">
        <v>20</v>
      </c>
      <c r="J150" s="75" t="s">
        <v>20</v>
      </c>
      <c r="K150" s="75" t="s">
        <v>20</v>
      </c>
    </row>
    <row r="151" spans="2:12" ht="15">
      <c r="B151" s="71"/>
      <c r="C151" s="189"/>
      <c r="D151" s="2"/>
      <c r="E151" s="2"/>
      <c r="F151" s="2"/>
      <c r="G151" s="2"/>
      <c r="H151" s="2"/>
      <c r="I151" s="2"/>
      <c r="J151" s="2"/>
      <c r="K151" s="2"/>
    </row>
    <row r="152" spans="2:12" ht="15">
      <c r="B152" s="177" t="s">
        <v>918</v>
      </c>
      <c r="C152" s="2"/>
      <c r="D152" s="2"/>
      <c r="E152" s="2"/>
      <c r="F152" s="2"/>
      <c r="G152" s="2"/>
      <c r="H152" s="2"/>
      <c r="I152" s="2"/>
      <c r="J152" s="2"/>
      <c r="K152" s="2"/>
    </row>
    <row r="153" spans="2:12" ht="20.100000000000001" customHeight="1">
      <c r="B153" s="687" t="s">
        <v>920</v>
      </c>
      <c r="C153" s="2">
        <f>SUM('Budget Detail FY 2012-19'!N346:N351)</f>
        <v>560028</v>
      </c>
      <c r="D153" s="2">
        <f>SUM('Budget Detail FY 2012-19'!O346:O351)</f>
        <v>515218</v>
      </c>
      <c r="E153" s="2">
        <f>SUM('Budget Detail FY 2012-19'!P346:P351)</f>
        <v>942000</v>
      </c>
      <c r="F153" s="2">
        <f>SUM('Budget Detail FY 2012-19'!Q346:Q351)</f>
        <v>1113186</v>
      </c>
      <c r="G153" s="2">
        <f>SUM('Budget Detail FY 2012-19'!R346:R351)</f>
        <v>480000</v>
      </c>
      <c r="H153" s="2">
        <f>SUM('Budget Detail FY 2012-19'!S346:S351)</f>
        <v>440000</v>
      </c>
      <c r="I153" s="2">
        <f>SUM('Budget Detail FY 2012-19'!T346:T351)</f>
        <v>440000</v>
      </c>
      <c r="J153" s="2">
        <f>SUM('Budget Detail FY 2012-19'!U346:U351)</f>
        <v>440000</v>
      </c>
      <c r="K153" s="2">
        <f>SUM('Budget Detail FY 2012-19'!V346:V351)</f>
        <v>440000</v>
      </c>
    </row>
    <row r="154" spans="2:12" ht="20.100000000000001" customHeight="1">
      <c r="B154" s="688" t="s">
        <v>924</v>
      </c>
      <c r="C154" s="2">
        <f>'Budget Detail FY 2012-19'!N352</f>
        <v>570</v>
      </c>
      <c r="D154" s="2">
        <f>'Budget Detail FY 2012-19'!O352</f>
        <v>3368</v>
      </c>
      <c r="E154" s="2">
        <f>'Budget Detail FY 2012-19'!P352</f>
        <v>2000</v>
      </c>
      <c r="F154" s="2">
        <f>'Budget Detail FY 2012-19'!Q352</f>
        <v>3500</v>
      </c>
      <c r="G154" s="2">
        <f>'Budget Detail FY 2012-19'!R352</f>
        <v>3000</v>
      </c>
      <c r="H154" s="2">
        <f>'Budget Detail FY 2012-19'!S352</f>
        <v>3000</v>
      </c>
      <c r="I154" s="2">
        <f>'Budget Detail FY 2012-19'!T352</f>
        <v>3000</v>
      </c>
      <c r="J154" s="2">
        <f>'Budget Detail FY 2012-19'!U352</f>
        <v>3000</v>
      </c>
      <c r="K154" s="2">
        <f>'Budget Detail FY 2012-19'!V352</f>
        <v>3000</v>
      </c>
    </row>
    <row r="155" spans="2:12" ht="20.100000000000001" customHeight="1">
      <c r="B155" s="688" t="s">
        <v>925</v>
      </c>
      <c r="C155" s="2">
        <f>SUM('Budget Detail FY 2012-19'!N353:N353)</f>
        <v>0</v>
      </c>
      <c r="D155" s="2">
        <f>SUM('Budget Detail FY 2012-19'!O353:O353)</f>
        <v>257</v>
      </c>
      <c r="E155" s="2">
        <f>SUM('Budget Detail FY 2012-19'!P353:P353)</f>
        <v>0</v>
      </c>
      <c r="F155" s="2">
        <f>SUM('Budget Detail FY 2012-19'!Q353:Q353)</f>
        <v>110</v>
      </c>
      <c r="G155" s="2">
        <f>SUM('Budget Detail FY 2012-19'!R353:R353)</f>
        <v>0</v>
      </c>
      <c r="H155" s="2">
        <f>SUM('Budget Detail FY 2012-19'!S353:S353)</f>
        <v>0</v>
      </c>
      <c r="I155" s="2">
        <f>SUM('Budget Detail FY 2012-19'!T353:T353)</f>
        <v>0</v>
      </c>
      <c r="J155" s="2">
        <f>SUM('Budget Detail FY 2012-19'!U353:U353)</f>
        <v>0</v>
      </c>
      <c r="K155" s="2">
        <f>SUM('Budget Detail FY 2012-19'!V353:V353)</f>
        <v>0</v>
      </c>
    </row>
    <row r="156" spans="2:12" ht="20.100000000000001" customHeight="1" thickBot="1">
      <c r="B156" s="172" t="s">
        <v>928</v>
      </c>
      <c r="C156" s="169">
        <f t="shared" ref="C156:K156" si="24">SUM(C153:C155)</f>
        <v>560598</v>
      </c>
      <c r="D156" s="169">
        <f t="shared" si="24"/>
        <v>518843</v>
      </c>
      <c r="E156" s="169">
        <f t="shared" si="24"/>
        <v>944000</v>
      </c>
      <c r="F156" s="169">
        <f t="shared" si="24"/>
        <v>1116796</v>
      </c>
      <c r="G156" s="169">
        <f t="shared" si="24"/>
        <v>483000</v>
      </c>
      <c r="H156" s="169">
        <f t="shared" si="24"/>
        <v>443000</v>
      </c>
      <c r="I156" s="169">
        <f t="shared" si="24"/>
        <v>443000</v>
      </c>
      <c r="J156" s="169">
        <f t="shared" si="24"/>
        <v>443000</v>
      </c>
      <c r="K156" s="169">
        <f t="shared" si="24"/>
        <v>443000</v>
      </c>
      <c r="L156" s="173"/>
    </row>
    <row r="157" spans="2:12" s="173" customFormat="1" ht="15" hidden="1">
      <c r="B157" s="174"/>
      <c r="C157" s="146">
        <f>'Budget Detail FY 2012-19'!N355</f>
        <v>560598</v>
      </c>
      <c r="D157" s="146">
        <f>'Budget Detail FY 2012-19'!O355</f>
        <v>518843</v>
      </c>
      <c r="E157" s="146">
        <f>'Budget Detail FY 2012-19'!P355</f>
        <v>944000</v>
      </c>
      <c r="F157" s="146">
        <f>'Budget Detail FY 2012-19'!Q355</f>
        <v>1116796</v>
      </c>
      <c r="G157" s="146">
        <f>'Budget Detail FY 2012-19'!R355</f>
        <v>483000</v>
      </c>
      <c r="H157" s="146">
        <f>'Budget Detail FY 2012-19'!S355</f>
        <v>443000</v>
      </c>
      <c r="I157" s="146">
        <f>'Budget Detail FY 2012-19'!T355</f>
        <v>443000</v>
      </c>
      <c r="J157" s="146">
        <f>'Budget Detail FY 2012-19'!U355</f>
        <v>443000</v>
      </c>
      <c r="K157" s="146">
        <f>'Budget Detail FY 2012-19'!V355</f>
        <v>443000</v>
      </c>
      <c r="L157" s="586" t="s">
        <v>1299</v>
      </c>
    </row>
    <row r="158" spans="2:12" s="175" customFormat="1" ht="14.25" hidden="1">
      <c r="B158" s="176"/>
      <c r="C158" s="147">
        <f>C156-C157</f>
        <v>0</v>
      </c>
      <c r="D158" s="147">
        <f t="shared" ref="D158:K158" si="25">D156-D157</f>
        <v>0</v>
      </c>
      <c r="E158" s="147">
        <f t="shared" si="25"/>
        <v>0</v>
      </c>
      <c r="F158" s="147">
        <f t="shared" si="25"/>
        <v>0</v>
      </c>
      <c r="G158" s="147">
        <f t="shared" si="25"/>
        <v>0</v>
      </c>
      <c r="H158" s="147">
        <f t="shared" si="25"/>
        <v>0</v>
      </c>
      <c r="I158" s="147">
        <f t="shared" si="25"/>
        <v>0</v>
      </c>
      <c r="J158" s="147">
        <f t="shared" si="25"/>
        <v>0</v>
      </c>
      <c r="K158" s="147">
        <f t="shared" si="25"/>
        <v>0</v>
      </c>
      <c r="L158" s="587" t="s">
        <v>1300</v>
      </c>
    </row>
    <row r="159" spans="2:12" ht="7.5" customHeight="1">
      <c r="B159" s="1"/>
      <c r="C159" s="2"/>
      <c r="D159" s="2"/>
      <c r="E159" s="2"/>
      <c r="F159" s="2"/>
      <c r="G159" s="2"/>
      <c r="H159" s="2"/>
      <c r="I159" s="2"/>
      <c r="J159" s="2"/>
      <c r="K159" s="2"/>
    </row>
    <row r="160" spans="2:12" ht="15">
      <c r="B160" s="177" t="s">
        <v>659</v>
      </c>
      <c r="C160" s="2"/>
      <c r="D160" s="2"/>
      <c r="E160" s="2"/>
      <c r="F160" s="2"/>
      <c r="G160" s="2"/>
      <c r="H160" s="2"/>
      <c r="I160" s="2"/>
      <c r="J160" s="2"/>
      <c r="K160" s="2"/>
    </row>
    <row r="161" spans="2:12" ht="20.100000000000001" customHeight="1">
      <c r="B161" s="689" t="s">
        <v>931</v>
      </c>
      <c r="C161" s="2">
        <f>SUM('Budget Detail FY 2012-19'!N357:N359)</f>
        <v>0</v>
      </c>
      <c r="D161" s="2">
        <f>SUM('Budget Detail FY 2012-19'!O357:O359)</f>
        <v>7500</v>
      </c>
      <c r="E161" s="2">
        <f>SUM('Budget Detail FY 2012-19'!P357:P359)</f>
        <v>23500</v>
      </c>
      <c r="F161" s="2">
        <f>SUM('Budget Detail FY 2012-19'!Q357:Q359)</f>
        <v>23500</v>
      </c>
      <c r="G161" s="2">
        <f>SUM('Budget Detail FY 2012-19'!R357:R359)</f>
        <v>111000</v>
      </c>
      <c r="H161" s="2">
        <f>SUM('Budget Detail FY 2012-19'!S357:S359)</f>
        <v>117210</v>
      </c>
      <c r="I161" s="2">
        <f>SUM('Budget Detail FY 2012-19'!T357:T359)</f>
        <v>123793</v>
      </c>
      <c r="J161" s="2">
        <f>SUM('Budget Detail FY 2012-19'!U357:U359)</f>
        <v>130771</v>
      </c>
      <c r="K161" s="2">
        <f>SUM('Budget Detail FY 2012-19'!V357:V359)</f>
        <v>130667</v>
      </c>
    </row>
    <row r="162" spans="2:12" ht="20.100000000000001" customHeight="1">
      <c r="B162" s="689" t="s">
        <v>932</v>
      </c>
      <c r="C162" s="2">
        <f>SUM('Budget Detail FY 2012-19'!N360:N364)</f>
        <v>200355</v>
      </c>
      <c r="D162" s="2">
        <f>SUM('Budget Detail FY 2012-19'!O360:O364)</f>
        <v>142773</v>
      </c>
      <c r="E162" s="2">
        <f>SUM('Budget Detail FY 2012-19'!P360:P364)</f>
        <v>219556</v>
      </c>
      <c r="F162" s="2">
        <f>SUM('Budget Detail FY 2012-19'!Q360:Q364)</f>
        <v>143556</v>
      </c>
      <c r="G162" s="2">
        <f>SUM('Budget Detail FY 2012-19'!R360:R364)</f>
        <v>178712</v>
      </c>
      <c r="H162" s="2">
        <f>SUM('Budget Detail FY 2012-19'!S360:S364)</f>
        <v>188468</v>
      </c>
      <c r="I162" s="2">
        <f>SUM('Budget Detail FY 2012-19'!T360:T364)</f>
        <v>198869</v>
      </c>
      <c r="J162" s="2">
        <f>SUM('Budget Detail FY 2012-19'!U360:U364)</f>
        <v>209963</v>
      </c>
      <c r="K162" s="2">
        <f>SUM('Budget Detail FY 2012-19'!V360:V364)</f>
        <v>214144</v>
      </c>
    </row>
    <row r="163" spans="2:12" ht="20.100000000000001" customHeight="1">
      <c r="B163" s="689" t="s">
        <v>933</v>
      </c>
      <c r="C163" s="2">
        <f>SUM('Budget Detail FY 2012-19'!N365:N372)</f>
        <v>75786</v>
      </c>
      <c r="D163" s="2">
        <f>SUM('Budget Detail FY 2012-19'!O365:O372)</f>
        <v>130923</v>
      </c>
      <c r="E163" s="2">
        <f>SUM('Budget Detail FY 2012-19'!P365:P372)</f>
        <v>1186400</v>
      </c>
      <c r="F163" s="2">
        <f>SUM('Budget Detail FY 2012-19'!Q365:Q372)</f>
        <v>1111400</v>
      </c>
      <c r="G163" s="2">
        <f>SUM('Budget Detail FY 2012-19'!R365:R372)</f>
        <v>573787</v>
      </c>
      <c r="H163" s="2">
        <f>SUM('Budget Detail FY 2012-19'!S365:S372)</f>
        <v>373787</v>
      </c>
      <c r="I163" s="2">
        <f>SUM('Budget Detail FY 2012-19'!T365:T372)</f>
        <v>373787</v>
      </c>
      <c r="J163" s="2">
        <f>SUM('Budget Detail FY 2012-19'!U365:U372)</f>
        <v>227787</v>
      </c>
      <c r="K163" s="2">
        <f>SUM('Budget Detail FY 2012-19'!V365:V372)</f>
        <v>177787</v>
      </c>
    </row>
    <row r="164" spans="2:12" ht="20.100000000000001" customHeight="1" thickBot="1">
      <c r="B164" s="172" t="s">
        <v>936</v>
      </c>
      <c r="C164" s="169">
        <f t="shared" ref="C164:K164" si="26">SUM(C161:C163)</f>
        <v>276141</v>
      </c>
      <c r="D164" s="169">
        <f t="shared" si="26"/>
        <v>281196</v>
      </c>
      <c r="E164" s="169">
        <f t="shared" si="26"/>
        <v>1429456</v>
      </c>
      <c r="F164" s="169">
        <f t="shared" si="26"/>
        <v>1278456</v>
      </c>
      <c r="G164" s="169">
        <f t="shared" si="26"/>
        <v>863499</v>
      </c>
      <c r="H164" s="169">
        <f t="shared" si="26"/>
        <v>679465</v>
      </c>
      <c r="I164" s="169">
        <f t="shared" si="26"/>
        <v>696449</v>
      </c>
      <c r="J164" s="169">
        <f t="shared" si="26"/>
        <v>568521</v>
      </c>
      <c r="K164" s="169">
        <f t="shared" si="26"/>
        <v>522598</v>
      </c>
      <c r="L164" s="173"/>
    </row>
    <row r="165" spans="2:12" s="173" customFormat="1" ht="15" hidden="1">
      <c r="B165" s="174"/>
      <c r="C165" s="146">
        <f>'Budget Detail FY 2012-19'!N374</f>
        <v>276141</v>
      </c>
      <c r="D165" s="146">
        <f>'Budget Detail FY 2012-19'!O374</f>
        <v>281196</v>
      </c>
      <c r="E165" s="146">
        <f>'Budget Detail FY 2012-19'!P374</f>
        <v>1429456</v>
      </c>
      <c r="F165" s="146">
        <f>'Budget Detail FY 2012-19'!Q374</f>
        <v>1278456</v>
      </c>
      <c r="G165" s="146">
        <f>'Budget Detail FY 2012-19'!R374</f>
        <v>863499</v>
      </c>
      <c r="H165" s="146">
        <f>'Budget Detail FY 2012-19'!S374</f>
        <v>679465</v>
      </c>
      <c r="I165" s="146">
        <f>'Budget Detail FY 2012-19'!T374</f>
        <v>696449</v>
      </c>
      <c r="J165" s="146">
        <f>'Budget Detail FY 2012-19'!U374</f>
        <v>568521</v>
      </c>
      <c r="K165" s="146">
        <f>'Budget Detail FY 2012-19'!V374</f>
        <v>522598</v>
      </c>
      <c r="L165" s="586" t="s">
        <v>1299</v>
      </c>
    </row>
    <row r="166" spans="2:12" s="175" customFormat="1" ht="14.25" hidden="1">
      <c r="B166" s="176"/>
      <c r="C166" s="147">
        <f>C164-C165</f>
        <v>0</v>
      </c>
      <c r="D166" s="147">
        <f t="shared" ref="D166:K166" si="27">D164-D165</f>
        <v>0</v>
      </c>
      <c r="E166" s="147">
        <f t="shared" si="27"/>
        <v>0</v>
      </c>
      <c r="F166" s="147">
        <f t="shared" si="27"/>
        <v>0</v>
      </c>
      <c r="G166" s="147">
        <f t="shared" si="27"/>
        <v>0</v>
      </c>
      <c r="H166" s="147">
        <f t="shared" si="27"/>
        <v>0</v>
      </c>
      <c r="I166" s="147">
        <f t="shared" si="27"/>
        <v>0</v>
      </c>
      <c r="J166" s="147">
        <f t="shared" si="27"/>
        <v>0</v>
      </c>
      <c r="K166" s="147">
        <f t="shared" si="27"/>
        <v>0</v>
      </c>
      <c r="L166" s="587" t="s">
        <v>1300</v>
      </c>
    </row>
    <row r="167" spans="2:12" ht="7.5" customHeight="1">
      <c r="B167" s="179"/>
      <c r="C167" s="3"/>
      <c r="D167" s="2"/>
      <c r="E167" s="2"/>
      <c r="F167" s="2"/>
      <c r="G167" s="2"/>
      <c r="H167" s="2"/>
      <c r="I167" s="2"/>
      <c r="J167" s="2"/>
      <c r="K167" s="2"/>
    </row>
    <row r="168" spans="2:12" ht="20.100000000000001" customHeight="1">
      <c r="B168" s="691" t="s">
        <v>937</v>
      </c>
      <c r="C168" s="3">
        <f t="shared" ref="C168:K168" si="28">+C156-C164</f>
        <v>284457</v>
      </c>
      <c r="D168" s="3">
        <f t="shared" si="28"/>
        <v>237647</v>
      </c>
      <c r="E168" s="3">
        <f t="shared" si="28"/>
        <v>-485456</v>
      </c>
      <c r="F168" s="3">
        <f t="shared" si="28"/>
        <v>-161660</v>
      </c>
      <c r="G168" s="3">
        <f t="shared" si="28"/>
        <v>-380499</v>
      </c>
      <c r="H168" s="3">
        <f t="shared" si="28"/>
        <v>-236465</v>
      </c>
      <c r="I168" s="3">
        <f t="shared" si="28"/>
        <v>-253449</v>
      </c>
      <c r="J168" s="3">
        <f t="shared" si="28"/>
        <v>-125521</v>
      </c>
      <c r="K168" s="3">
        <f t="shared" si="28"/>
        <v>-79598</v>
      </c>
      <c r="L168" s="173"/>
    </row>
    <row r="169" spans="2:12" s="173" customFormat="1" ht="15" hidden="1">
      <c r="B169" s="180"/>
      <c r="C169" s="146">
        <f>'Budget Detail FY 2012-19'!N376</f>
        <v>284457</v>
      </c>
      <c r="D169" s="146">
        <f>'Budget Detail FY 2012-19'!O376</f>
        <v>237647</v>
      </c>
      <c r="E169" s="146">
        <f>'Budget Detail FY 2012-19'!P376</f>
        <v>-485456</v>
      </c>
      <c r="F169" s="146">
        <f>'Budget Detail FY 2012-19'!Q376</f>
        <v>-161660</v>
      </c>
      <c r="G169" s="146">
        <f>'Budget Detail FY 2012-19'!R376</f>
        <v>-380499</v>
      </c>
      <c r="H169" s="146">
        <f>'Budget Detail FY 2012-19'!S376</f>
        <v>-236465</v>
      </c>
      <c r="I169" s="146">
        <f>'Budget Detail FY 2012-19'!T376</f>
        <v>-253449</v>
      </c>
      <c r="J169" s="146">
        <f>'Budget Detail FY 2012-19'!U376</f>
        <v>-125521</v>
      </c>
      <c r="K169" s="146">
        <f>'Budget Detail FY 2012-19'!V376</f>
        <v>-79598</v>
      </c>
      <c r="L169" s="586" t="s">
        <v>1299</v>
      </c>
    </row>
    <row r="170" spans="2:12" s="175" customFormat="1" ht="15" hidden="1">
      <c r="B170" s="181"/>
      <c r="C170" s="190">
        <f>C168-C169</f>
        <v>0</v>
      </c>
      <c r="D170" s="190">
        <f t="shared" ref="D170:K170" si="29">D168-D169</f>
        <v>0</v>
      </c>
      <c r="E170" s="190">
        <f t="shared" si="29"/>
        <v>0</v>
      </c>
      <c r="F170" s="190">
        <f t="shared" si="29"/>
        <v>0</v>
      </c>
      <c r="G170" s="190">
        <f t="shared" si="29"/>
        <v>0</v>
      </c>
      <c r="H170" s="190">
        <f t="shared" si="29"/>
        <v>0</v>
      </c>
      <c r="I170" s="190">
        <f t="shared" si="29"/>
        <v>0</v>
      </c>
      <c r="J170" s="190">
        <f t="shared" si="29"/>
        <v>0</v>
      </c>
      <c r="K170" s="190">
        <f t="shared" si="29"/>
        <v>0</v>
      </c>
      <c r="L170" s="587" t="s">
        <v>1300</v>
      </c>
    </row>
    <row r="171" spans="2:12" ht="7.5" customHeight="1">
      <c r="B171" s="183"/>
      <c r="C171" s="3"/>
      <c r="D171" s="2"/>
      <c r="E171" s="2"/>
      <c r="F171" s="2"/>
      <c r="G171" s="2"/>
      <c r="H171" s="2"/>
      <c r="I171" s="2"/>
      <c r="J171" s="2"/>
      <c r="K171" s="2"/>
    </row>
    <row r="172" spans="2:12" ht="20.100000000000001" customHeight="1" thickBot="1">
      <c r="B172" s="171" t="s">
        <v>938</v>
      </c>
      <c r="C172" s="91">
        <v>924857</v>
      </c>
      <c r="D172" s="91">
        <v>1162506</v>
      </c>
      <c r="E172" s="91">
        <v>605132</v>
      </c>
      <c r="F172" s="91">
        <f>D172+F168</f>
        <v>1000846</v>
      </c>
      <c r="G172" s="91">
        <f>F172+G168</f>
        <v>620347</v>
      </c>
      <c r="H172" s="91">
        <f>G172+H168</f>
        <v>383882</v>
      </c>
      <c r="I172" s="91">
        <f>H172+I168</f>
        <v>130433</v>
      </c>
      <c r="J172" s="91">
        <f>I172+J168</f>
        <v>4912</v>
      </c>
      <c r="K172" s="91">
        <f>J172+K168</f>
        <v>-74686</v>
      </c>
      <c r="L172" s="173"/>
    </row>
    <row r="173" spans="2:12" s="173" customFormat="1" ht="15.75" hidden="1" thickTop="1">
      <c r="B173" s="174"/>
      <c r="C173" s="146">
        <f>'Budget Detail FY 2012-19'!N378</f>
        <v>924857</v>
      </c>
      <c r="D173" s="146">
        <f>'Budget Detail FY 2012-19'!O378</f>
        <v>1162506</v>
      </c>
      <c r="E173" s="146">
        <f>'Budget Detail FY 2012-19'!P378</f>
        <v>605132</v>
      </c>
      <c r="F173" s="146">
        <f>'Budget Detail FY 2012-19'!Q378</f>
        <v>1000846</v>
      </c>
      <c r="G173" s="146">
        <f>'Budget Detail FY 2012-19'!R378</f>
        <v>620347</v>
      </c>
      <c r="H173" s="146">
        <f>'Budget Detail FY 2012-19'!S378</f>
        <v>383882</v>
      </c>
      <c r="I173" s="146">
        <f>'Budget Detail FY 2012-19'!T378</f>
        <v>130433</v>
      </c>
      <c r="J173" s="146">
        <f>'Budget Detail FY 2012-19'!U378</f>
        <v>4912</v>
      </c>
      <c r="K173" s="146">
        <f>'Budget Detail FY 2012-19'!V378</f>
        <v>-74686</v>
      </c>
      <c r="L173" s="586" t="s">
        <v>1299</v>
      </c>
    </row>
    <row r="174" spans="2:12" s="175" customFormat="1" ht="14.25" hidden="1">
      <c r="B174" s="176"/>
      <c r="C174" s="147">
        <f>C172-C173</f>
        <v>0</v>
      </c>
      <c r="D174" s="147">
        <f t="shared" ref="D174:K174" si="30">D172-D173</f>
        <v>0</v>
      </c>
      <c r="E174" s="147">
        <f t="shared" si="30"/>
        <v>0</v>
      </c>
      <c r="F174" s="147">
        <f t="shared" si="30"/>
        <v>0</v>
      </c>
      <c r="G174" s="147">
        <f t="shared" si="30"/>
        <v>0</v>
      </c>
      <c r="H174" s="147">
        <f t="shared" si="30"/>
        <v>0</v>
      </c>
      <c r="I174" s="147">
        <f t="shared" si="30"/>
        <v>0</v>
      </c>
      <c r="J174" s="147">
        <f t="shared" si="30"/>
        <v>0</v>
      </c>
      <c r="K174" s="147">
        <f t="shared" si="30"/>
        <v>0</v>
      </c>
      <c r="L174" s="587" t="s">
        <v>1300</v>
      </c>
    </row>
    <row r="175" spans="2:12" ht="15.75" thickTop="1">
      <c r="B175" s="184"/>
      <c r="C175" s="192"/>
      <c r="D175" s="192"/>
      <c r="E175" s="192"/>
      <c r="F175" s="192"/>
      <c r="G175" s="192"/>
      <c r="H175" s="192"/>
      <c r="I175" s="192"/>
      <c r="J175" s="192"/>
      <c r="K175" s="192"/>
    </row>
    <row r="176" spans="2:12" ht="15">
      <c r="B176" s="1"/>
      <c r="C176" s="2"/>
      <c r="D176" s="2"/>
      <c r="E176" s="2"/>
      <c r="F176" s="2"/>
      <c r="G176" s="2"/>
      <c r="H176" s="2"/>
      <c r="I176" s="2"/>
      <c r="J176" s="2"/>
      <c r="K176" s="2"/>
    </row>
    <row r="177" spans="2:11" ht="15">
      <c r="B177" s="1"/>
      <c r="C177" s="2"/>
      <c r="D177" s="2"/>
      <c r="E177" s="2"/>
      <c r="F177" s="2"/>
      <c r="G177" s="2"/>
      <c r="H177" s="2"/>
      <c r="I177" s="2"/>
      <c r="J177" s="2"/>
      <c r="K177" s="2"/>
    </row>
    <row r="178" spans="2:11" ht="15">
      <c r="B178" s="1"/>
      <c r="C178" s="2"/>
      <c r="D178" s="2"/>
      <c r="E178" s="2"/>
      <c r="F178" s="2"/>
      <c r="G178" s="2"/>
      <c r="H178" s="2"/>
      <c r="I178" s="2"/>
      <c r="J178" s="2"/>
      <c r="K178" s="2"/>
    </row>
    <row r="179" spans="2:11" ht="15">
      <c r="B179" s="1"/>
      <c r="C179" s="2"/>
      <c r="D179" s="2"/>
      <c r="E179" s="2"/>
      <c r="F179" s="2"/>
      <c r="G179" s="2"/>
      <c r="H179" s="2"/>
      <c r="I179" s="2"/>
      <c r="J179" s="2"/>
      <c r="K179" s="2"/>
    </row>
    <row r="180" spans="2:11" ht="15">
      <c r="B180" s="1"/>
      <c r="C180" s="2"/>
      <c r="D180" s="2"/>
      <c r="E180" s="2"/>
      <c r="F180" s="2"/>
      <c r="G180" s="2"/>
      <c r="H180" s="2"/>
      <c r="I180" s="2"/>
      <c r="J180" s="2"/>
      <c r="K180" s="2"/>
    </row>
    <row r="181" spans="2:11" ht="15">
      <c r="B181" s="1"/>
      <c r="C181" s="2"/>
      <c r="D181" s="2"/>
      <c r="E181" s="2"/>
      <c r="F181" s="2"/>
      <c r="G181" s="2"/>
      <c r="H181" s="2"/>
      <c r="I181" s="2"/>
      <c r="J181" s="2"/>
      <c r="K181" s="2"/>
    </row>
    <row r="182" spans="2:11" ht="15">
      <c r="B182" s="1"/>
      <c r="C182" s="2"/>
      <c r="D182" s="2"/>
      <c r="E182" s="2"/>
      <c r="F182" s="2"/>
      <c r="G182" s="2"/>
      <c r="H182" s="2"/>
      <c r="I182" s="2"/>
      <c r="J182" s="2"/>
      <c r="K182" s="2"/>
    </row>
    <row r="183" spans="2:11" ht="15">
      <c r="B183" s="1"/>
      <c r="C183" s="2"/>
      <c r="D183" s="2"/>
      <c r="E183" s="2"/>
      <c r="F183" s="2"/>
      <c r="G183" s="2"/>
      <c r="H183" s="2"/>
      <c r="I183" s="2"/>
      <c r="J183" s="2"/>
      <c r="K183" s="2"/>
    </row>
    <row r="184" spans="2:11" ht="15">
      <c r="B184" s="1"/>
      <c r="C184" s="2"/>
      <c r="D184" s="2"/>
      <c r="E184" s="2"/>
      <c r="F184" s="2"/>
      <c r="G184" s="2"/>
      <c r="H184" s="2"/>
      <c r="I184" s="2"/>
      <c r="J184" s="2"/>
      <c r="K184" s="2"/>
    </row>
    <row r="185" spans="2:11" ht="15">
      <c r="B185" s="1"/>
      <c r="C185" s="2"/>
      <c r="D185" s="2"/>
      <c r="E185" s="2"/>
      <c r="F185" s="2"/>
      <c r="G185" s="2"/>
      <c r="H185" s="2"/>
      <c r="I185" s="2"/>
      <c r="J185" s="2"/>
      <c r="K185" s="2"/>
    </row>
    <row r="186" spans="2:11" ht="15">
      <c r="B186" s="1"/>
      <c r="C186" s="2"/>
      <c r="D186" s="2"/>
      <c r="E186" s="2"/>
      <c r="F186" s="2"/>
      <c r="G186" s="2"/>
      <c r="H186" s="2"/>
      <c r="I186" s="2"/>
      <c r="J186" s="2"/>
      <c r="K186" s="2"/>
    </row>
    <row r="189" spans="2:11" ht="18.75" customHeight="1">
      <c r="B189" s="722" t="s">
        <v>944</v>
      </c>
      <c r="C189" s="722"/>
      <c r="D189" s="722"/>
      <c r="E189" s="722"/>
      <c r="F189" s="722"/>
      <c r="G189" s="722"/>
      <c r="H189" s="722"/>
      <c r="I189" s="722"/>
      <c r="J189" s="722"/>
      <c r="K189" s="722"/>
    </row>
    <row r="190" spans="2:11" ht="15">
      <c r="B190" s="72"/>
      <c r="C190" s="3"/>
      <c r="D190" s="2"/>
      <c r="E190" s="2"/>
      <c r="F190" s="2"/>
      <c r="G190" s="2"/>
      <c r="H190" s="2"/>
      <c r="I190" s="2"/>
      <c r="J190" s="2"/>
      <c r="K190" s="2"/>
    </row>
    <row r="191" spans="2:11" ht="15" customHeight="1">
      <c r="B191" s="715" t="s">
        <v>1411</v>
      </c>
      <c r="C191" s="715"/>
      <c r="D191" s="715"/>
      <c r="E191" s="715"/>
      <c r="F191" s="715"/>
      <c r="G191" s="715"/>
      <c r="H191" s="715"/>
      <c r="I191" s="715"/>
      <c r="J191" s="715"/>
      <c r="K191" s="715"/>
    </row>
    <row r="192" spans="2:11" ht="15" customHeight="1">
      <c r="B192" s="715"/>
      <c r="C192" s="715"/>
      <c r="D192" s="715"/>
      <c r="E192" s="715"/>
      <c r="F192" s="715"/>
      <c r="G192" s="715"/>
      <c r="H192" s="715"/>
      <c r="I192" s="715"/>
      <c r="J192" s="715"/>
      <c r="K192" s="715"/>
    </row>
    <row r="193" spans="2:12" ht="15">
      <c r="B193" s="686"/>
      <c r="C193" s="25"/>
      <c r="D193" s="25"/>
      <c r="E193" s="25"/>
      <c r="F193" s="25"/>
      <c r="G193" s="25"/>
      <c r="H193" s="2"/>
      <c r="I193" s="2"/>
      <c r="J193" s="2"/>
      <c r="K193" s="2"/>
    </row>
    <row r="194" spans="2:12" ht="15">
      <c r="B194" s="5"/>
      <c r="C194" s="72"/>
      <c r="D194" s="73"/>
      <c r="E194" s="72" t="s">
        <v>283</v>
      </c>
      <c r="F194" s="1"/>
      <c r="G194" s="1"/>
      <c r="H194" s="1"/>
      <c r="I194" s="1"/>
      <c r="J194" s="1"/>
      <c r="K194" s="1"/>
    </row>
    <row r="195" spans="2:12" ht="15">
      <c r="B195" s="73"/>
      <c r="C195" s="72" t="s">
        <v>229</v>
      </c>
      <c r="D195" s="96" t="s">
        <v>282</v>
      </c>
      <c r="E195" s="73" t="s">
        <v>917</v>
      </c>
      <c r="F195" s="73" t="s">
        <v>283</v>
      </c>
      <c r="G195" s="73" t="s">
        <v>298</v>
      </c>
      <c r="H195" s="73" t="s">
        <v>299</v>
      </c>
      <c r="I195" s="73" t="s">
        <v>300</v>
      </c>
      <c r="J195" s="73" t="s">
        <v>1087</v>
      </c>
      <c r="K195" s="73" t="s">
        <v>1224</v>
      </c>
    </row>
    <row r="196" spans="2:12" ht="15.75" thickBot="1">
      <c r="B196" s="188"/>
      <c r="C196" s="75" t="s">
        <v>1</v>
      </c>
      <c r="D196" s="75" t="s">
        <v>1</v>
      </c>
      <c r="E196" s="75" t="s">
        <v>871</v>
      </c>
      <c r="F196" s="75" t="s">
        <v>20</v>
      </c>
      <c r="G196" s="75" t="s">
        <v>917</v>
      </c>
      <c r="H196" s="75" t="s">
        <v>20</v>
      </c>
      <c r="I196" s="75" t="s">
        <v>20</v>
      </c>
      <c r="J196" s="75" t="s">
        <v>20</v>
      </c>
      <c r="K196" s="75" t="s">
        <v>20</v>
      </c>
    </row>
    <row r="197" spans="2:12" ht="15">
      <c r="B197" s="71"/>
      <c r="C197" s="189"/>
      <c r="D197" s="2"/>
      <c r="E197" s="2"/>
      <c r="F197" s="2"/>
      <c r="G197" s="2"/>
      <c r="H197" s="2"/>
      <c r="I197" s="2"/>
      <c r="J197" s="2"/>
      <c r="K197" s="2"/>
    </row>
    <row r="198" spans="2:12" ht="15">
      <c r="B198" s="177" t="s">
        <v>918</v>
      </c>
      <c r="C198" s="2"/>
      <c r="D198" s="2"/>
      <c r="E198" s="2"/>
      <c r="F198" s="2"/>
      <c r="G198" s="2"/>
      <c r="H198" s="2"/>
      <c r="I198" s="2"/>
      <c r="J198" s="2"/>
      <c r="K198" s="2"/>
    </row>
    <row r="199" spans="2:12" ht="20.100000000000001" customHeight="1">
      <c r="B199" s="688" t="s">
        <v>921</v>
      </c>
      <c r="C199" s="2">
        <f>SUM('Budget Detail FY 2012-19'!N382:N383)</f>
        <v>8400</v>
      </c>
      <c r="D199" s="2">
        <f>SUM('Budget Detail FY 2012-19'!O382:O383)</f>
        <v>12859</v>
      </c>
      <c r="E199" s="2">
        <f>SUM('Budget Detail FY 2012-19'!P382:P383)</f>
        <v>0</v>
      </c>
      <c r="F199" s="2">
        <f>SUM('Budget Detail FY 2012-19'!Q382:Q383)</f>
        <v>0</v>
      </c>
      <c r="G199" s="2">
        <f>SUM('Budget Detail FY 2012-19'!R382:R383)</f>
        <v>0</v>
      </c>
      <c r="H199" s="2">
        <f>SUM('Budget Detail FY 2012-19'!S382:S383)</f>
        <v>0</v>
      </c>
      <c r="I199" s="2">
        <f>SUM('Budget Detail FY 2012-19'!T382:T383)</f>
        <v>0</v>
      </c>
      <c r="J199" s="2">
        <f>SUM('Budget Detail FY 2012-19'!U382:U383)</f>
        <v>0</v>
      </c>
      <c r="K199" s="2">
        <f>SUM('Budget Detail FY 2012-19'!V382:V383)</f>
        <v>0</v>
      </c>
    </row>
    <row r="200" spans="2:12" ht="20.100000000000001" customHeight="1">
      <c r="B200" s="688" t="s">
        <v>927</v>
      </c>
      <c r="C200" s="2">
        <f>'Budget Detail FY 2012-19'!N384</f>
        <v>0</v>
      </c>
      <c r="D200" s="2">
        <f>'Budget Detail FY 2012-19'!O384</f>
        <v>0</v>
      </c>
      <c r="E200" s="2">
        <f>'Budget Detail FY 2012-19'!P384</f>
        <v>573374</v>
      </c>
      <c r="F200" s="2">
        <f>'Budget Detail FY 2012-19'!Q384</f>
        <v>571615</v>
      </c>
      <c r="G200" s="2">
        <f>'Budget Detail FY 2012-19'!R384</f>
        <v>0</v>
      </c>
      <c r="H200" s="2">
        <f>'Budget Detail FY 2012-19'!S384</f>
        <v>0</v>
      </c>
      <c r="I200" s="2">
        <f>'Budget Detail FY 2012-19'!T384</f>
        <v>0</v>
      </c>
      <c r="J200" s="2">
        <f>'Budget Detail FY 2012-19'!U384</f>
        <v>0</v>
      </c>
      <c r="K200" s="2">
        <f>'Budget Detail FY 2012-19'!V384</f>
        <v>0</v>
      </c>
    </row>
    <row r="201" spans="2:12" ht="20.100000000000001" customHeight="1" thickBot="1">
      <c r="B201" s="172" t="s">
        <v>928</v>
      </c>
      <c r="C201" s="169">
        <f>SUM(C199:C200)</f>
        <v>8400</v>
      </c>
      <c r="D201" s="169">
        <f t="shared" ref="D201:K201" si="31">SUM(D199:D200)</f>
        <v>12859</v>
      </c>
      <c r="E201" s="169">
        <f t="shared" si="31"/>
        <v>573374</v>
      </c>
      <c r="F201" s="169">
        <f t="shared" si="31"/>
        <v>571615</v>
      </c>
      <c r="G201" s="169">
        <f t="shared" si="31"/>
        <v>0</v>
      </c>
      <c r="H201" s="169">
        <f t="shared" si="31"/>
        <v>0</v>
      </c>
      <c r="I201" s="169">
        <f t="shared" si="31"/>
        <v>0</v>
      </c>
      <c r="J201" s="169">
        <f t="shared" si="31"/>
        <v>0</v>
      </c>
      <c r="K201" s="169">
        <f t="shared" si="31"/>
        <v>0</v>
      </c>
      <c r="L201" s="173"/>
    </row>
    <row r="202" spans="2:12" s="173" customFormat="1" ht="15" hidden="1">
      <c r="B202" s="174"/>
      <c r="C202" s="146">
        <f>'Budget Detail FY 2012-19'!N386</f>
        <v>8400</v>
      </c>
      <c r="D202" s="146">
        <f>'Budget Detail FY 2012-19'!O386</f>
        <v>12859</v>
      </c>
      <c r="E202" s="146">
        <f>'Budget Detail FY 2012-19'!P386</f>
        <v>573374</v>
      </c>
      <c r="F202" s="146">
        <f>'Budget Detail FY 2012-19'!Q386</f>
        <v>571615</v>
      </c>
      <c r="G202" s="146">
        <f>'Budget Detail FY 2012-19'!R386</f>
        <v>0</v>
      </c>
      <c r="H202" s="146">
        <f>'Budget Detail FY 2012-19'!S386</f>
        <v>0</v>
      </c>
      <c r="I202" s="146">
        <f>'Budget Detail FY 2012-19'!T386</f>
        <v>0</v>
      </c>
      <c r="J202" s="146">
        <f>'Budget Detail FY 2012-19'!U386</f>
        <v>0</v>
      </c>
      <c r="K202" s="146">
        <f>'Budget Detail FY 2012-19'!V386</f>
        <v>0</v>
      </c>
      <c r="L202" s="586" t="s">
        <v>1299</v>
      </c>
    </row>
    <row r="203" spans="2:12" s="175" customFormat="1" ht="14.25" hidden="1">
      <c r="B203" s="176"/>
      <c r="C203" s="147">
        <f>C201-C202</f>
        <v>0</v>
      </c>
      <c r="D203" s="147">
        <f t="shared" ref="D203:K203" si="32">D201-D202</f>
        <v>0</v>
      </c>
      <c r="E203" s="147">
        <f t="shared" si="32"/>
        <v>0</v>
      </c>
      <c r="F203" s="147">
        <f t="shared" si="32"/>
        <v>0</v>
      </c>
      <c r="G203" s="147">
        <f t="shared" si="32"/>
        <v>0</v>
      </c>
      <c r="H203" s="147">
        <f t="shared" si="32"/>
        <v>0</v>
      </c>
      <c r="I203" s="147">
        <f t="shared" si="32"/>
        <v>0</v>
      </c>
      <c r="J203" s="147">
        <f t="shared" si="32"/>
        <v>0</v>
      </c>
      <c r="K203" s="147">
        <f t="shared" si="32"/>
        <v>0</v>
      </c>
      <c r="L203" s="587" t="s">
        <v>1300</v>
      </c>
    </row>
    <row r="204" spans="2:12" ht="15">
      <c r="B204" s="1"/>
      <c r="C204" s="2"/>
      <c r="D204" s="2"/>
      <c r="E204" s="2"/>
      <c r="F204" s="2"/>
      <c r="G204" s="2"/>
      <c r="H204" s="2"/>
      <c r="I204" s="2"/>
      <c r="J204" s="2"/>
      <c r="K204" s="2"/>
    </row>
    <row r="205" spans="2:12" ht="15">
      <c r="B205" s="177" t="s">
        <v>659</v>
      </c>
      <c r="C205" s="2"/>
      <c r="D205" s="2"/>
      <c r="E205" s="2"/>
      <c r="F205" s="2"/>
      <c r="G205" s="2"/>
      <c r="H205" s="2"/>
      <c r="I205" s="2"/>
      <c r="J205" s="2"/>
      <c r="K205" s="2"/>
    </row>
    <row r="206" spans="2:12" ht="20.100000000000001" customHeight="1">
      <c r="B206" s="689" t="s">
        <v>931</v>
      </c>
      <c r="C206" s="2">
        <f>'Budget Detail FY 2012-19'!N388</f>
        <v>750</v>
      </c>
      <c r="D206" s="2">
        <f>'Budget Detail FY 2012-19'!O388</f>
        <v>5100</v>
      </c>
      <c r="E206" s="2">
        <f>'Budget Detail FY 2012-19'!P388</f>
        <v>0</v>
      </c>
      <c r="F206" s="2">
        <f>'Budget Detail FY 2012-19'!Q388</f>
        <v>0</v>
      </c>
      <c r="G206" s="2">
        <f>'Budget Detail FY 2012-19'!R388</f>
        <v>0</v>
      </c>
      <c r="H206" s="2">
        <f>'Budget Detail FY 2012-19'!S388</f>
        <v>0</v>
      </c>
      <c r="I206" s="2">
        <f>'Budget Detail FY 2012-19'!T388</f>
        <v>0</v>
      </c>
      <c r="J206" s="2">
        <f>'Budget Detail FY 2012-19'!U388</f>
        <v>0</v>
      </c>
      <c r="K206" s="2">
        <f>'Budget Detail FY 2012-19'!V388</f>
        <v>0</v>
      </c>
    </row>
    <row r="207" spans="2:12" ht="20.100000000000001" customHeight="1" thickBot="1">
      <c r="B207" s="172" t="s">
        <v>936</v>
      </c>
      <c r="C207" s="169">
        <f t="shared" ref="C207:K207" si="33">SUM(C206:C206)</f>
        <v>750</v>
      </c>
      <c r="D207" s="169">
        <f t="shared" si="33"/>
        <v>5100</v>
      </c>
      <c r="E207" s="169">
        <f t="shared" si="33"/>
        <v>0</v>
      </c>
      <c r="F207" s="169">
        <f t="shared" si="33"/>
        <v>0</v>
      </c>
      <c r="G207" s="169">
        <f t="shared" si="33"/>
        <v>0</v>
      </c>
      <c r="H207" s="169">
        <f t="shared" si="33"/>
        <v>0</v>
      </c>
      <c r="I207" s="169">
        <f t="shared" si="33"/>
        <v>0</v>
      </c>
      <c r="J207" s="169">
        <f t="shared" si="33"/>
        <v>0</v>
      </c>
      <c r="K207" s="169">
        <f t="shared" si="33"/>
        <v>0</v>
      </c>
      <c r="L207" s="173"/>
    </row>
    <row r="208" spans="2:12" s="173" customFormat="1" ht="15" hidden="1">
      <c r="B208" s="174"/>
      <c r="C208" s="146">
        <f>'Budget Detail FY 2012-19'!N390</f>
        <v>750</v>
      </c>
      <c r="D208" s="146">
        <f>'Budget Detail FY 2012-19'!O390</f>
        <v>5100</v>
      </c>
      <c r="E208" s="146">
        <f>'Budget Detail FY 2012-19'!P390</f>
        <v>0</v>
      </c>
      <c r="F208" s="146">
        <f>'Budget Detail FY 2012-19'!Q390</f>
        <v>0</v>
      </c>
      <c r="G208" s="146">
        <f>'Budget Detail FY 2012-19'!R390</f>
        <v>0</v>
      </c>
      <c r="H208" s="146">
        <f>'Budget Detail FY 2012-19'!S390</f>
        <v>0</v>
      </c>
      <c r="I208" s="146">
        <f>'Budget Detail FY 2012-19'!T390</f>
        <v>0</v>
      </c>
      <c r="J208" s="146">
        <f>'Budget Detail FY 2012-19'!U390</f>
        <v>0</v>
      </c>
      <c r="K208" s="146">
        <f>'Budget Detail FY 2012-19'!V390</f>
        <v>0</v>
      </c>
      <c r="L208" s="586" t="s">
        <v>1299</v>
      </c>
    </row>
    <row r="209" spans="2:12" s="175" customFormat="1" ht="14.25" hidden="1">
      <c r="B209" s="176"/>
      <c r="C209" s="147">
        <f>C207-C208</f>
        <v>0</v>
      </c>
      <c r="D209" s="147">
        <f t="shared" ref="D209:K209" si="34">D207-D208</f>
        <v>0</v>
      </c>
      <c r="E209" s="147">
        <f t="shared" si="34"/>
        <v>0</v>
      </c>
      <c r="F209" s="147">
        <f t="shared" si="34"/>
        <v>0</v>
      </c>
      <c r="G209" s="147">
        <f t="shared" si="34"/>
        <v>0</v>
      </c>
      <c r="H209" s="147">
        <f t="shared" si="34"/>
        <v>0</v>
      </c>
      <c r="I209" s="147">
        <f t="shared" si="34"/>
        <v>0</v>
      </c>
      <c r="J209" s="147">
        <f t="shared" si="34"/>
        <v>0</v>
      </c>
      <c r="K209" s="147">
        <f t="shared" si="34"/>
        <v>0</v>
      </c>
      <c r="L209" s="587" t="s">
        <v>1300</v>
      </c>
    </row>
    <row r="210" spans="2:12" ht="15">
      <c r="B210" s="179"/>
      <c r="C210" s="3"/>
      <c r="D210" s="2"/>
      <c r="E210" s="2"/>
      <c r="F210" s="2"/>
      <c r="G210" s="2"/>
      <c r="H210" s="2"/>
      <c r="I210" s="2"/>
      <c r="J210" s="2"/>
      <c r="K210" s="2"/>
    </row>
    <row r="211" spans="2:12" ht="20.100000000000001" customHeight="1">
      <c r="B211" s="691" t="s">
        <v>937</v>
      </c>
      <c r="C211" s="3">
        <f t="shared" ref="C211:K211" si="35">+C201-C207</f>
        <v>7650</v>
      </c>
      <c r="D211" s="3">
        <f>+D201-D207</f>
        <v>7759</v>
      </c>
      <c r="E211" s="3">
        <f t="shared" si="35"/>
        <v>573374</v>
      </c>
      <c r="F211" s="3">
        <f t="shared" si="35"/>
        <v>571615</v>
      </c>
      <c r="G211" s="3">
        <f t="shared" si="35"/>
        <v>0</v>
      </c>
      <c r="H211" s="3">
        <f t="shared" si="35"/>
        <v>0</v>
      </c>
      <c r="I211" s="3">
        <f t="shared" si="35"/>
        <v>0</v>
      </c>
      <c r="J211" s="3">
        <f t="shared" si="35"/>
        <v>0</v>
      </c>
      <c r="K211" s="3">
        <f t="shared" si="35"/>
        <v>0</v>
      </c>
      <c r="L211" s="173"/>
    </row>
    <row r="212" spans="2:12" s="173" customFormat="1" ht="15" hidden="1">
      <c r="B212" s="180"/>
      <c r="C212" s="146">
        <f>'Budget Detail FY 2012-19'!N392</f>
        <v>7650</v>
      </c>
      <c r="D212" s="146">
        <f>'Budget Detail FY 2012-19'!O392</f>
        <v>7759</v>
      </c>
      <c r="E212" s="146">
        <f>'Budget Detail FY 2012-19'!P392</f>
        <v>573374</v>
      </c>
      <c r="F212" s="146">
        <f>'Budget Detail FY 2012-19'!Q392</f>
        <v>571615</v>
      </c>
      <c r="G212" s="146">
        <f>'Budget Detail FY 2012-19'!R392</f>
        <v>0</v>
      </c>
      <c r="H212" s="146">
        <f>'Budget Detail FY 2012-19'!S392</f>
        <v>0</v>
      </c>
      <c r="I212" s="146">
        <f>'Budget Detail FY 2012-19'!T392</f>
        <v>0</v>
      </c>
      <c r="J212" s="146">
        <f>'Budget Detail FY 2012-19'!U392</f>
        <v>0</v>
      </c>
      <c r="K212" s="146">
        <f>'Budget Detail FY 2012-19'!V392</f>
        <v>0</v>
      </c>
      <c r="L212" s="586" t="s">
        <v>1299</v>
      </c>
    </row>
    <row r="213" spans="2:12" s="175" customFormat="1" ht="15" hidden="1">
      <c r="B213" s="181"/>
      <c r="C213" s="190">
        <f>C211-C212</f>
        <v>0</v>
      </c>
      <c r="D213" s="190">
        <f t="shared" ref="D213:K213" si="36">D211-D212</f>
        <v>0</v>
      </c>
      <c r="E213" s="190">
        <f t="shared" si="36"/>
        <v>0</v>
      </c>
      <c r="F213" s="190">
        <f t="shared" si="36"/>
        <v>0</v>
      </c>
      <c r="G213" s="190">
        <f t="shared" si="36"/>
        <v>0</v>
      </c>
      <c r="H213" s="190">
        <f t="shared" si="36"/>
        <v>0</v>
      </c>
      <c r="I213" s="190">
        <f t="shared" si="36"/>
        <v>0</v>
      </c>
      <c r="J213" s="190">
        <f t="shared" si="36"/>
        <v>0</v>
      </c>
      <c r="K213" s="190">
        <f t="shared" si="36"/>
        <v>0</v>
      </c>
      <c r="L213" s="587" t="s">
        <v>1300</v>
      </c>
    </row>
    <row r="214" spans="2:12" ht="15">
      <c r="B214" s="183"/>
      <c r="C214" s="3"/>
      <c r="D214" s="2"/>
      <c r="E214" s="2"/>
      <c r="F214" s="2"/>
      <c r="G214" s="2"/>
      <c r="H214" s="2"/>
      <c r="I214" s="2"/>
      <c r="J214" s="2"/>
      <c r="K214" s="2"/>
    </row>
    <row r="215" spans="2:12" ht="20.100000000000001" customHeight="1" thickBot="1">
      <c r="B215" s="171" t="s">
        <v>938</v>
      </c>
      <c r="C215" s="91">
        <v>-579374</v>
      </c>
      <c r="D215" s="91">
        <v>-571615</v>
      </c>
      <c r="E215" s="91">
        <v>0</v>
      </c>
      <c r="F215" s="91">
        <f>D215+F211</f>
        <v>0</v>
      </c>
      <c r="G215" s="91">
        <f>F215+G211</f>
        <v>0</v>
      </c>
      <c r="H215" s="91">
        <f>G215+H211</f>
        <v>0</v>
      </c>
      <c r="I215" s="91">
        <f>H215+I211</f>
        <v>0</v>
      </c>
      <c r="J215" s="91">
        <f>I215+J211</f>
        <v>0</v>
      </c>
      <c r="K215" s="91">
        <f>J215+K211</f>
        <v>0</v>
      </c>
      <c r="L215" s="173"/>
    </row>
    <row r="216" spans="2:12" s="173" customFormat="1" ht="15.75" hidden="1" thickTop="1">
      <c r="B216" s="174"/>
      <c r="C216" s="146">
        <f>'Budget Detail FY 2012-19'!N394</f>
        <v>-579374</v>
      </c>
      <c r="D216" s="146">
        <f>'Budget Detail FY 2012-19'!O394</f>
        <v>-571615</v>
      </c>
      <c r="E216" s="146">
        <f>'Budget Detail FY 2012-19'!P394</f>
        <v>0</v>
      </c>
      <c r="F216" s="146">
        <f>'Budget Detail FY 2012-19'!Q394</f>
        <v>0</v>
      </c>
      <c r="G216" s="146">
        <f>'Budget Detail FY 2012-19'!R394</f>
        <v>0</v>
      </c>
      <c r="H216" s="146">
        <f>'Budget Detail FY 2012-19'!S394</f>
        <v>0</v>
      </c>
      <c r="I216" s="146">
        <f>'Budget Detail FY 2012-19'!T394</f>
        <v>0</v>
      </c>
      <c r="J216" s="146">
        <f>'Budget Detail FY 2012-19'!U394</f>
        <v>0</v>
      </c>
      <c r="K216" s="146">
        <f>'Budget Detail FY 2012-19'!V394</f>
        <v>0</v>
      </c>
      <c r="L216" s="586" t="s">
        <v>1299</v>
      </c>
    </row>
    <row r="217" spans="2:12" s="175" customFormat="1" ht="14.25" hidden="1">
      <c r="B217" s="176"/>
      <c r="C217" s="147">
        <f>C215-C216</f>
        <v>0</v>
      </c>
      <c r="D217" s="147">
        <f t="shared" ref="D217:K217" si="37">D215-D216</f>
        <v>0</v>
      </c>
      <c r="E217" s="147">
        <f t="shared" si="37"/>
        <v>0</v>
      </c>
      <c r="F217" s="147">
        <f t="shared" si="37"/>
        <v>0</v>
      </c>
      <c r="G217" s="147">
        <f t="shared" si="37"/>
        <v>0</v>
      </c>
      <c r="H217" s="147">
        <f t="shared" si="37"/>
        <v>0</v>
      </c>
      <c r="I217" s="147">
        <f t="shared" si="37"/>
        <v>0</v>
      </c>
      <c r="J217" s="147">
        <f t="shared" si="37"/>
        <v>0</v>
      </c>
      <c r="K217" s="147">
        <f t="shared" si="37"/>
        <v>0</v>
      </c>
      <c r="L217" s="587" t="s">
        <v>1300</v>
      </c>
    </row>
    <row r="218" spans="2:12" ht="15.75" thickTop="1">
      <c r="B218" s="184"/>
      <c r="C218" s="192"/>
      <c r="D218" s="192"/>
      <c r="E218" s="192"/>
      <c r="F218" s="192"/>
      <c r="G218" s="192"/>
      <c r="H218" s="192"/>
      <c r="I218" s="192"/>
      <c r="J218" s="192"/>
      <c r="K218" s="192"/>
    </row>
    <row r="219" spans="2:12" ht="15">
      <c r="B219" s="1"/>
      <c r="C219" s="2"/>
      <c r="D219" s="2"/>
      <c r="E219" s="2"/>
      <c r="F219" s="2"/>
      <c r="G219" s="2"/>
      <c r="H219" s="2"/>
      <c r="I219" s="2"/>
      <c r="J219" s="2"/>
      <c r="K219" s="2"/>
    </row>
    <row r="220" spans="2:12" ht="15">
      <c r="B220" s="1"/>
      <c r="C220" s="2"/>
      <c r="D220" s="2"/>
      <c r="E220" s="2"/>
      <c r="F220" s="2"/>
      <c r="G220" s="2"/>
      <c r="H220" s="2"/>
      <c r="I220" s="2"/>
      <c r="J220" s="2"/>
      <c r="K220" s="2"/>
    </row>
    <row r="221" spans="2:12" ht="15">
      <c r="B221" s="1"/>
      <c r="C221" s="2"/>
      <c r="D221" s="2"/>
      <c r="E221" s="2"/>
      <c r="F221" s="2"/>
      <c r="G221" s="2"/>
      <c r="H221" s="2"/>
      <c r="I221" s="2"/>
      <c r="J221" s="2"/>
      <c r="K221" s="2"/>
    </row>
    <row r="222" spans="2:12" ht="15">
      <c r="B222" s="1"/>
      <c r="C222" s="2"/>
      <c r="D222" s="2"/>
      <c r="E222" s="2"/>
      <c r="F222" s="2"/>
      <c r="G222" s="2"/>
      <c r="H222" s="2"/>
      <c r="I222" s="2"/>
      <c r="J222" s="2"/>
      <c r="K222" s="2"/>
    </row>
    <row r="223" spans="2:12" ht="15">
      <c r="B223" s="1"/>
      <c r="C223" s="2"/>
      <c r="D223" s="2"/>
      <c r="E223" s="2"/>
      <c r="F223" s="2"/>
      <c r="G223" s="2"/>
      <c r="H223" s="2"/>
      <c r="I223" s="2"/>
      <c r="J223" s="2"/>
      <c r="K223" s="2"/>
    </row>
    <row r="224" spans="2:12" ht="15">
      <c r="B224" s="1"/>
      <c r="C224" s="2"/>
      <c r="D224" s="2"/>
      <c r="E224" s="2"/>
      <c r="F224" s="2"/>
      <c r="G224" s="2"/>
      <c r="H224" s="2"/>
      <c r="I224" s="2"/>
      <c r="J224" s="2"/>
      <c r="K224" s="2"/>
    </row>
    <row r="225" spans="2:11" ht="15">
      <c r="B225" s="1"/>
      <c r="C225" s="2"/>
      <c r="D225" s="2"/>
      <c r="E225" s="2"/>
      <c r="F225" s="2"/>
      <c r="G225" s="2"/>
      <c r="H225" s="2"/>
      <c r="I225" s="2"/>
      <c r="J225" s="2"/>
      <c r="K225" s="2"/>
    </row>
    <row r="226" spans="2:11" ht="15">
      <c r="B226" s="1"/>
      <c r="C226" s="2"/>
      <c r="D226" s="2"/>
      <c r="E226" s="2"/>
      <c r="F226" s="2"/>
      <c r="G226" s="2"/>
      <c r="H226" s="2"/>
      <c r="I226" s="2"/>
      <c r="J226" s="2"/>
      <c r="K226" s="2"/>
    </row>
    <row r="227" spans="2:11" ht="15">
      <c r="B227" s="1"/>
      <c r="C227" s="2"/>
      <c r="D227" s="2"/>
      <c r="E227" s="2"/>
      <c r="F227" s="2"/>
      <c r="G227" s="2"/>
      <c r="H227" s="2"/>
      <c r="I227" s="2"/>
      <c r="J227" s="2"/>
      <c r="K227" s="2"/>
    </row>
    <row r="228" spans="2:11" ht="15">
      <c r="B228" s="1"/>
      <c r="C228" s="2"/>
      <c r="D228" s="2"/>
      <c r="E228" s="2"/>
      <c r="F228" s="2"/>
      <c r="G228" s="2"/>
      <c r="H228" s="2"/>
      <c r="I228" s="2"/>
      <c r="J228" s="2"/>
      <c r="K228" s="2"/>
    </row>
    <row r="232" spans="2:11" ht="18.75">
      <c r="B232" s="722" t="s">
        <v>945</v>
      </c>
      <c r="C232" s="722"/>
      <c r="D232" s="722"/>
      <c r="E232" s="722"/>
      <c r="F232" s="722"/>
      <c r="G232" s="722"/>
      <c r="H232" s="722"/>
      <c r="I232" s="722"/>
      <c r="J232" s="722"/>
      <c r="K232" s="722"/>
    </row>
    <row r="233" spans="2:11" ht="15">
      <c r="B233" s="72"/>
      <c r="C233" s="3"/>
      <c r="D233" s="2"/>
      <c r="E233" s="2"/>
      <c r="F233" s="2"/>
      <c r="G233" s="2"/>
      <c r="H233" s="2"/>
      <c r="I233" s="2"/>
      <c r="J233" s="2"/>
      <c r="K233" s="2"/>
    </row>
    <row r="234" spans="2:11" ht="15" customHeight="1">
      <c r="B234" s="715" t="s">
        <v>1505</v>
      </c>
      <c r="C234" s="715"/>
      <c r="D234" s="715"/>
      <c r="E234" s="715"/>
      <c r="F234" s="715"/>
      <c r="G234" s="715"/>
      <c r="H234" s="715"/>
      <c r="I234" s="715"/>
      <c r="J234" s="715"/>
      <c r="K234" s="715"/>
    </row>
    <row r="235" spans="2:11" ht="15" customHeight="1">
      <c r="B235" s="715"/>
      <c r="C235" s="715"/>
      <c r="D235" s="715"/>
      <c r="E235" s="715"/>
      <c r="F235" s="715"/>
      <c r="G235" s="715"/>
      <c r="H235" s="715"/>
      <c r="I235" s="715"/>
      <c r="J235" s="715"/>
      <c r="K235" s="715"/>
    </row>
    <row r="236" spans="2:11" ht="7.5" customHeight="1">
      <c r="B236" s="686"/>
      <c r="C236" s="25"/>
      <c r="D236" s="25"/>
      <c r="E236" s="25"/>
      <c r="F236" s="25"/>
      <c r="G236" s="25"/>
      <c r="H236" s="2"/>
      <c r="I236" s="2"/>
      <c r="J236" s="2"/>
      <c r="K236" s="2"/>
    </row>
    <row r="237" spans="2:11" ht="15">
      <c r="B237" s="5"/>
      <c r="C237" s="72"/>
      <c r="D237" s="73"/>
      <c r="E237" s="72" t="s">
        <v>283</v>
      </c>
      <c r="F237" s="1"/>
      <c r="G237" s="1"/>
      <c r="H237" s="1"/>
      <c r="I237" s="1"/>
      <c r="J237" s="1"/>
      <c r="K237" s="1"/>
    </row>
    <row r="238" spans="2:11" ht="15">
      <c r="B238" s="73"/>
      <c r="C238" s="72" t="s">
        <v>229</v>
      </c>
      <c r="D238" s="96" t="s">
        <v>282</v>
      </c>
      <c r="E238" s="73" t="s">
        <v>917</v>
      </c>
      <c r="F238" s="73" t="s">
        <v>283</v>
      </c>
      <c r="G238" s="73" t="s">
        <v>298</v>
      </c>
      <c r="H238" s="73" t="s">
        <v>299</v>
      </c>
      <c r="I238" s="73" t="s">
        <v>300</v>
      </c>
      <c r="J238" s="73" t="s">
        <v>1087</v>
      </c>
      <c r="K238" s="73" t="s">
        <v>1224</v>
      </c>
    </row>
    <row r="239" spans="2:11" ht="15.75" thickBot="1">
      <c r="B239" s="188"/>
      <c r="C239" s="75" t="s">
        <v>1</v>
      </c>
      <c r="D239" s="75" t="s">
        <v>1</v>
      </c>
      <c r="E239" s="75" t="s">
        <v>871</v>
      </c>
      <c r="F239" s="75" t="s">
        <v>20</v>
      </c>
      <c r="G239" s="75" t="s">
        <v>917</v>
      </c>
      <c r="H239" s="75" t="s">
        <v>20</v>
      </c>
      <c r="I239" s="75" t="s">
        <v>20</v>
      </c>
      <c r="J239" s="75" t="s">
        <v>20</v>
      </c>
      <c r="K239" s="75" t="s">
        <v>20</v>
      </c>
    </row>
    <row r="240" spans="2:11" ht="15">
      <c r="B240" s="71"/>
      <c r="C240" s="189"/>
      <c r="D240" s="2"/>
      <c r="E240" s="2"/>
      <c r="F240" s="2"/>
      <c r="G240" s="2"/>
      <c r="H240" s="2"/>
      <c r="I240" s="2"/>
      <c r="J240" s="2"/>
      <c r="K240" s="2"/>
    </row>
    <row r="241" spans="2:12" ht="15">
      <c r="B241" s="177" t="s">
        <v>918</v>
      </c>
      <c r="C241" s="2"/>
      <c r="D241" s="2"/>
      <c r="E241" s="2"/>
      <c r="F241" s="2"/>
      <c r="G241" s="2"/>
      <c r="H241" s="2"/>
      <c r="I241" s="2"/>
      <c r="J241" s="2"/>
      <c r="K241" s="2"/>
    </row>
    <row r="242" spans="2:12" ht="20.100000000000001" customHeight="1">
      <c r="B242" s="688" t="s">
        <v>920</v>
      </c>
      <c r="C242" s="2">
        <f>SUM('Budget Detail FY 2012-19'!N398:N401)</f>
        <v>0</v>
      </c>
      <c r="D242" s="2">
        <f>SUM('Budget Detail FY 2012-19'!O398:O401)</f>
        <v>61635</v>
      </c>
      <c r="E242" s="2">
        <f>SUM('Budget Detail FY 2012-19'!P398:P401)</f>
        <v>327600</v>
      </c>
      <c r="F242" s="2">
        <f>SUM('Budget Detail FY 2012-19'!Q398:Q401)</f>
        <v>425965</v>
      </c>
      <c r="G242" s="2">
        <f>SUM('Budget Detail FY 2012-19'!R398:R401)</f>
        <v>105960</v>
      </c>
      <c r="H242" s="2">
        <f>SUM('Budget Detail FY 2012-19'!S398:S401)</f>
        <v>39000</v>
      </c>
      <c r="I242" s="2">
        <f>SUM('Budget Detail FY 2012-19'!T398:T401)</f>
        <v>114160</v>
      </c>
      <c r="J242" s="2">
        <f>SUM('Budget Detail FY 2012-19'!U398:U401)</f>
        <v>12720</v>
      </c>
      <c r="K242" s="2">
        <f>SUM('Budget Detail FY 2012-19'!V398:V401)</f>
        <v>0</v>
      </c>
    </row>
    <row r="243" spans="2:12" ht="20.100000000000001" customHeight="1">
      <c r="B243" s="688" t="s">
        <v>921</v>
      </c>
      <c r="C243" s="2">
        <f>SUM('Budget Detail FY 2012-19'!N402:N407)</f>
        <v>92417</v>
      </c>
      <c r="D243" s="2">
        <f>SUM('Budget Detail FY 2012-19'!O402:O407)</f>
        <v>94675</v>
      </c>
      <c r="E243" s="2">
        <f>SUM('Budget Detail FY 2012-19'!P402:P407)</f>
        <v>20250</v>
      </c>
      <c r="F243" s="2">
        <f>SUM('Budget Detail FY 2012-19'!Q402:Q407)</f>
        <v>15250</v>
      </c>
      <c r="G243" s="2">
        <f>SUM('Budget Detail FY 2012-19'!R402:R407)</f>
        <v>20250</v>
      </c>
      <c r="H243" s="2">
        <f>SUM('Budget Detail FY 2012-19'!S402:S407)</f>
        <v>20250</v>
      </c>
      <c r="I243" s="2">
        <f>SUM('Budget Detail FY 2012-19'!T402:T407)</f>
        <v>20250</v>
      </c>
      <c r="J243" s="2">
        <f>SUM('Budget Detail FY 2012-19'!U402:U407)</f>
        <v>20250</v>
      </c>
      <c r="K243" s="2">
        <f>SUM('Budget Detail FY 2012-19'!V402:V407)</f>
        <v>20250</v>
      </c>
    </row>
    <row r="244" spans="2:12" ht="20.100000000000001" customHeight="1">
      <c r="B244" s="688" t="s">
        <v>923</v>
      </c>
      <c r="C244" s="2">
        <f>'Budget Detail FY 2012-19'!N408</f>
        <v>0</v>
      </c>
      <c r="D244" s="2">
        <f>'Budget Detail FY 2012-19'!O408</f>
        <v>0</v>
      </c>
      <c r="E244" s="2">
        <f>'Budget Detail FY 2012-19'!P408</f>
        <v>669120</v>
      </c>
      <c r="F244" s="2">
        <f>'Budget Detail FY 2012-19'!Q408</f>
        <v>682667</v>
      </c>
      <c r="G244" s="2">
        <f>'Budget Detail FY 2012-19'!R408</f>
        <v>680000</v>
      </c>
      <c r="H244" s="2">
        <f>'Budget Detail FY 2012-19'!S408</f>
        <v>680000</v>
      </c>
      <c r="I244" s="2">
        <f>'Budget Detail FY 2012-19'!T408</f>
        <v>680000</v>
      </c>
      <c r="J244" s="2">
        <f>'Budget Detail FY 2012-19'!U408</f>
        <v>680000</v>
      </c>
      <c r="K244" s="2">
        <f>'Budget Detail FY 2012-19'!V408</f>
        <v>680000</v>
      </c>
    </row>
    <row r="245" spans="2:12" ht="20.100000000000001" customHeight="1">
      <c r="B245" s="688" t="s">
        <v>924</v>
      </c>
      <c r="C245" s="2">
        <f>'Budget Detail FY 2012-19'!N409</f>
        <v>114</v>
      </c>
      <c r="D245" s="2">
        <f>'Budget Detail FY 2012-19'!O409</f>
        <v>243</v>
      </c>
      <c r="E245" s="2">
        <f>'Budget Detail FY 2012-19'!P409</f>
        <v>250</v>
      </c>
      <c r="F245" s="2">
        <f>'Budget Detail FY 2012-19'!Q409</f>
        <v>200</v>
      </c>
      <c r="G245" s="2">
        <f>'Budget Detail FY 2012-19'!R409</f>
        <v>3000</v>
      </c>
      <c r="H245" s="2">
        <f>'Budget Detail FY 2012-19'!S409</f>
        <v>2000</v>
      </c>
      <c r="I245" s="2">
        <f>'Budget Detail FY 2012-19'!T409</f>
        <v>100</v>
      </c>
      <c r="J245" s="2">
        <f>'Budget Detail FY 2012-19'!U409</f>
        <v>0</v>
      </c>
      <c r="K245" s="2">
        <f>'Budget Detail FY 2012-19'!V409</f>
        <v>0</v>
      </c>
    </row>
    <row r="246" spans="2:12" ht="20.100000000000001" customHeight="1">
      <c r="B246" s="688" t="s">
        <v>925</v>
      </c>
      <c r="C246" s="2">
        <f>SUM('Budget Detail FY 2012-19'!N410:N412)</f>
        <v>9586</v>
      </c>
      <c r="D246" s="2">
        <f>SUM('Budget Detail FY 2012-19'!O410:O412)</f>
        <v>20007</v>
      </c>
      <c r="E246" s="2">
        <f>SUM('Budget Detail FY 2012-19'!P410:P412)</f>
        <v>327551</v>
      </c>
      <c r="F246" s="2">
        <f>SUM('Budget Detail FY 2012-19'!Q410:Q412)</f>
        <v>213010</v>
      </c>
      <c r="G246" s="2">
        <f>SUM('Budget Detail FY 2012-19'!R410:R412)</f>
        <v>885630</v>
      </c>
      <c r="H246" s="2">
        <f>SUM('Budget Detail FY 2012-19'!S410:S412)</f>
        <v>7000</v>
      </c>
      <c r="I246" s="2">
        <f>SUM('Budget Detail FY 2012-19'!T410:T412)</f>
        <v>294740</v>
      </c>
      <c r="J246" s="2">
        <f>SUM('Budget Detail FY 2012-19'!U410:U412)</f>
        <v>32780</v>
      </c>
      <c r="K246" s="2">
        <f>SUM('Budget Detail FY 2012-19'!V410:V412)</f>
        <v>0</v>
      </c>
    </row>
    <row r="247" spans="2:12" ht="20.100000000000001" customHeight="1">
      <c r="B247" s="688" t="s">
        <v>927</v>
      </c>
      <c r="C247" s="2">
        <f>SUM('Budget Detail FY 2012-19'!N413:N416)</f>
        <v>125000</v>
      </c>
      <c r="D247" s="2">
        <f>SUM('Budget Detail FY 2012-19'!O413:O416)</f>
        <v>457182</v>
      </c>
      <c r="E247" s="2">
        <f>SUM('Budget Detail FY 2012-19'!P413:P416)</f>
        <v>435401</v>
      </c>
      <c r="F247" s="2">
        <f>SUM('Budget Detail FY 2012-19'!Q413:Q416)</f>
        <v>732101</v>
      </c>
      <c r="G247" s="2">
        <f>SUM('Budget Detail FY 2012-19'!R413:R416)</f>
        <v>4855000</v>
      </c>
      <c r="H247" s="2">
        <f>SUM('Budget Detail FY 2012-19'!S413:S416)</f>
        <v>55000</v>
      </c>
      <c r="I247" s="2">
        <f>SUM('Budget Detail FY 2012-19'!T413:T416)</f>
        <v>60000</v>
      </c>
      <c r="J247" s="2">
        <f>SUM('Budget Detail FY 2012-19'!U413:U416)</f>
        <v>99241</v>
      </c>
      <c r="K247" s="2">
        <f>SUM('Budget Detail FY 2012-19'!V413:V416)</f>
        <v>147765</v>
      </c>
    </row>
    <row r="248" spans="2:12" ht="20.100000000000001" customHeight="1" thickBot="1">
      <c r="B248" s="172" t="s">
        <v>928</v>
      </c>
      <c r="C248" s="169">
        <f t="shared" ref="C248:K248" si="38">SUM(C242:C247)</f>
        <v>227117</v>
      </c>
      <c r="D248" s="169">
        <f t="shared" si="38"/>
        <v>633742</v>
      </c>
      <c r="E248" s="169">
        <f t="shared" si="38"/>
        <v>1780172</v>
      </c>
      <c r="F248" s="169">
        <f t="shared" si="38"/>
        <v>2069193</v>
      </c>
      <c r="G248" s="169">
        <f t="shared" si="38"/>
        <v>6549840</v>
      </c>
      <c r="H248" s="169">
        <f t="shared" si="38"/>
        <v>803250</v>
      </c>
      <c r="I248" s="169">
        <f t="shared" si="38"/>
        <v>1169250</v>
      </c>
      <c r="J248" s="169">
        <f t="shared" si="38"/>
        <v>844991</v>
      </c>
      <c r="K248" s="169">
        <f t="shared" si="38"/>
        <v>848015</v>
      </c>
      <c r="L248" s="173"/>
    </row>
    <row r="249" spans="2:12" s="173" customFormat="1" ht="15" hidden="1">
      <c r="B249" s="174"/>
      <c r="C249" s="146">
        <f>'Budget Detail FY 2012-19'!N418</f>
        <v>227117</v>
      </c>
      <c r="D249" s="146">
        <f>'Budget Detail FY 2012-19'!O418</f>
        <v>633742</v>
      </c>
      <c r="E249" s="146">
        <f>'Budget Detail FY 2012-19'!P418</f>
        <v>1780172</v>
      </c>
      <c r="F249" s="146">
        <f>'Budget Detail FY 2012-19'!Q418</f>
        <v>2069193</v>
      </c>
      <c r="G249" s="146">
        <f>'Budget Detail FY 2012-19'!R418</f>
        <v>6549840</v>
      </c>
      <c r="H249" s="146">
        <f>'Budget Detail FY 2012-19'!S418</f>
        <v>803250</v>
      </c>
      <c r="I249" s="146">
        <f>'Budget Detail FY 2012-19'!T418</f>
        <v>1169250</v>
      </c>
      <c r="J249" s="146">
        <f>'Budget Detail FY 2012-19'!U418</f>
        <v>844991</v>
      </c>
      <c r="K249" s="146">
        <f>'Budget Detail FY 2012-19'!V418</f>
        <v>848015</v>
      </c>
      <c r="L249" s="586" t="s">
        <v>1299</v>
      </c>
    </row>
    <row r="250" spans="2:12" s="175" customFormat="1" ht="14.25" hidden="1">
      <c r="B250" s="176"/>
      <c r="C250" s="147">
        <f>C248-C249</f>
        <v>0</v>
      </c>
      <c r="D250" s="147">
        <f t="shared" ref="D250:K250" si="39">D248-D249</f>
        <v>0</v>
      </c>
      <c r="E250" s="147">
        <f t="shared" si="39"/>
        <v>0</v>
      </c>
      <c r="F250" s="147">
        <f t="shared" si="39"/>
        <v>0</v>
      </c>
      <c r="G250" s="147">
        <f t="shared" si="39"/>
        <v>0</v>
      </c>
      <c r="H250" s="147">
        <f t="shared" si="39"/>
        <v>0</v>
      </c>
      <c r="I250" s="147">
        <f t="shared" si="39"/>
        <v>0</v>
      </c>
      <c r="J250" s="147">
        <f t="shared" si="39"/>
        <v>0</v>
      </c>
      <c r="K250" s="147">
        <f t="shared" si="39"/>
        <v>0</v>
      </c>
      <c r="L250" s="587" t="s">
        <v>1300</v>
      </c>
    </row>
    <row r="251" spans="2:12" ht="7.5" customHeight="1">
      <c r="B251" s="1"/>
      <c r="C251" s="2"/>
      <c r="D251" s="2"/>
      <c r="E251" s="2"/>
      <c r="F251" s="2"/>
      <c r="G251" s="2"/>
      <c r="H251" s="2"/>
      <c r="I251" s="2"/>
      <c r="J251" s="2"/>
      <c r="K251" s="2"/>
    </row>
    <row r="252" spans="2:12" ht="15">
      <c r="B252" s="177" t="s">
        <v>659</v>
      </c>
      <c r="C252" s="2"/>
      <c r="D252" s="2"/>
      <c r="E252" s="2"/>
      <c r="F252" s="2"/>
      <c r="G252" s="2"/>
      <c r="H252" s="2"/>
      <c r="I252" s="2"/>
      <c r="J252" s="2"/>
      <c r="K252" s="2"/>
    </row>
    <row r="253" spans="2:12" ht="20.100000000000001" customHeight="1">
      <c r="B253" s="689" t="s">
        <v>931</v>
      </c>
      <c r="C253" s="2">
        <f>SUM('Budget Detail FY 2012-19'!N428:N430)+'Budget Detail FY 2012-19'!N422+'Budget Detail FY 2012-19'!N421</f>
        <v>14780</v>
      </c>
      <c r="D253" s="2">
        <f>SUM('Budget Detail FY 2012-19'!O428:O430)+'Budget Detail FY 2012-19'!O422+'Budget Detail FY 2012-19'!O421</f>
        <v>175608</v>
      </c>
      <c r="E253" s="2">
        <f>SUM('Budget Detail FY 2012-19'!P428:P430)+'Budget Detail FY 2012-19'!P422+'Budget Detail FY 2012-19'!P421</f>
        <v>50000</v>
      </c>
      <c r="F253" s="2">
        <f>SUM('Budget Detail FY 2012-19'!Q428:Q430)+'Budget Detail FY 2012-19'!Q422+'Budget Detail FY 2012-19'!Q421</f>
        <v>50000</v>
      </c>
      <c r="G253" s="2">
        <f>SUM('Budget Detail FY 2012-19'!R428:R430)+'Budget Detail FY 2012-19'!R422+'Budget Detail FY 2012-19'!R421</f>
        <v>130000</v>
      </c>
      <c r="H253" s="2">
        <f>SUM('Budget Detail FY 2012-19'!S428:S430)+'Budget Detail FY 2012-19'!S422+'Budget Detail FY 2012-19'!S421</f>
        <v>77500</v>
      </c>
      <c r="I253" s="2">
        <f>SUM('Budget Detail FY 2012-19'!T428:T430)+'Budget Detail FY 2012-19'!T422+'Budget Detail FY 2012-19'!T421</f>
        <v>80000</v>
      </c>
      <c r="J253" s="2">
        <f>SUM('Budget Detail FY 2012-19'!U428:U430)+'Budget Detail FY 2012-19'!U422+'Budget Detail FY 2012-19'!U421</f>
        <v>80000</v>
      </c>
      <c r="K253" s="2">
        <f>SUM('Budget Detail FY 2012-19'!V428:V430)+'Budget Detail FY 2012-19'!V422+'Budget Detail FY 2012-19'!V421</f>
        <v>80000</v>
      </c>
    </row>
    <row r="254" spans="2:12" ht="20.100000000000001" customHeight="1">
      <c r="B254" s="689" t="s">
        <v>932</v>
      </c>
      <c r="C254" s="2">
        <f>'Budget Detail FY 2012-19'!N423</f>
        <v>0</v>
      </c>
      <c r="D254" s="2">
        <f>'Budget Detail FY 2012-19'!O423</f>
        <v>0</v>
      </c>
      <c r="E254" s="2">
        <f>'Budget Detail FY 2012-19'!P423</f>
        <v>0</v>
      </c>
      <c r="F254" s="2">
        <f>'Budget Detail FY 2012-19'!Q423</f>
        <v>0</v>
      </c>
      <c r="G254" s="2">
        <f>'Budget Detail FY 2012-19'!R423</f>
        <v>25000</v>
      </c>
      <c r="H254" s="2">
        <f>'Budget Detail FY 2012-19'!S423</f>
        <v>27500</v>
      </c>
      <c r="I254" s="2">
        <f>'Budget Detail FY 2012-19'!T423</f>
        <v>30000</v>
      </c>
      <c r="J254" s="2">
        <f>'Budget Detail FY 2012-19'!U423</f>
        <v>30000</v>
      </c>
      <c r="K254" s="2">
        <f>'Budget Detail FY 2012-19'!V423</f>
        <v>30000</v>
      </c>
    </row>
    <row r="255" spans="2:12" ht="20.100000000000001" customHeight="1">
      <c r="B255" s="689" t="s">
        <v>933</v>
      </c>
      <c r="C255" s="2">
        <f>SUM('Budget Detail FY 2012-19'!N431:N441)</f>
        <v>6793</v>
      </c>
      <c r="D255" s="2">
        <f>SUM('Budget Detail FY 2012-19'!O431:O441)</f>
        <v>210605</v>
      </c>
      <c r="E255" s="2">
        <f>SUM('Budget Detail FY 2012-19'!P431:P441)</f>
        <v>1323973</v>
      </c>
      <c r="F255" s="2">
        <f>SUM('Budget Detail FY 2012-19'!Q431:Q441)</f>
        <v>1606266</v>
      </c>
      <c r="G255" s="2">
        <f>SUM('Budget Detail FY 2012-19'!R431:R441)</f>
        <v>2303022</v>
      </c>
      <c r="H255" s="2">
        <f>SUM('Budget Detail FY 2012-19'!S431:S441)</f>
        <v>4304700</v>
      </c>
      <c r="I255" s="2">
        <f>SUM('Budget Detail FY 2012-19'!T431:T441)</f>
        <v>1222088</v>
      </c>
      <c r="J255" s="2">
        <f>SUM('Budget Detail FY 2012-19'!U431:U441)</f>
        <v>358000</v>
      </c>
      <c r="K255" s="2">
        <f>SUM('Budget Detail FY 2012-19'!V431:V441)</f>
        <v>312500</v>
      </c>
    </row>
    <row r="256" spans="2:12" ht="20.100000000000001" customHeight="1">
      <c r="B256" s="689" t="s">
        <v>852</v>
      </c>
      <c r="C256" s="2">
        <f>SUM('Budget Detail FY 2012-19'!N443:N448)</f>
        <v>125000</v>
      </c>
      <c r="D256" s="2">
        <f>SUM('Budget Detail FY 2012-19'!O443:O448)</f>
        <v>0</v>
      </c>
      <c r="E256" s="2">
        <f>SUM('Budget Detail FY 2012-19'!P443:P448)</f>
        <v>83333</v>
      </c>
      <c r="F256" s="2">
        <f>SUM('Budget Detail FY 2012-19'!Q443:Q448)</f>
        <v>75000</v>
      </c>
      <c r="G256" s="2">
        <f>SUM('Budget Detail FY 2012-19'!R443:R448)</f>
        <v>85000</v>
      </c>
      <c r="H256" s="2">
        <f>SUM('Budget Detail FY 2012-19'!S443:S448)</f>
        <v>416554</v>
      </c>
      <c r="I256" s="2">
        <f>SUM('Budget Detail FY 2012-19'!T443:T448)</f>
        <v>418665</v>
      </c>
      <c r="J256" s="2">
        <f>SUM('Budget Detail FY 2012-19'!U443:U448)</f>
        <v>419705</v>
      </c>
      <c r="K256" s="2">
        <f>SUM('Budget Detail FY 2012-19'!V443:V448)</f>
        <v>420265</v>
      </c>
    </row>
    <row r="257" spans="2:12" ht="20.100000000000001" customHeight="1">
      <c r="B257" s="688" t="s">
        <v>935</v>
      </c>
      <c r="C257" s="2">
        <f>'Budget Detail FY 2012-19'!N424</f>
        <v>0</v>
      </c>
      <c r="D257" s="2">
        <f>'Budget Detail FY 2012-19'!O424</f>
        <v>0</v>
      </c>
      <c r="E257" s="2">
        <f>'Budget Detail FY 2012-19'!P424</f>
        <v>5250</v>
      </c>
      <c r="F257" s="2">
        <f>'Budget Detail FY 2012-19'!Q424</f>
        <v>5250</v>
      </c>
      <c r="G257" s="2">
        <f>'Budget Detail FY 2012-19'!R424</f>
        <v>5250</v>
      </c>
      <c r="H257" s="2">
        <f>'Budget Detail FY 2012-19'!S424</f>
        <v>5250</v>
      </c>
      <c r="I257" s="2">
        <f>'Budget Detail FY 2012-19'!T424</f>
        <v>5250</v>
      </c>
      <c r="J257" s="2">
        <f>'Budget Detail FY 2012-19'!U424</f>
        <v>5250</v>
      </c>
      <c r="K257" s="2">
        <f>'Budget Detail FY 2012-19'!V424</f>
        <v>5250</v>
      </c>
    </row>
    <row r="258" spans="2:12" ht="20.100000000000001" customHeight="1" thickBot="1">
      <c r="B258" s="172" t="s">
        <v>936</v>
      </c>
      <c r="C258" s="169">
        <f>SUM(C253:C257)</f>
        <v>146573</v>
      </c>
      <c r="D258" s="169">
        <f t="shared" ref="D258:K258" si="40">SUM(D253:D257)</f>
        <v>386213</v>
      </c>
      <c r="E258" s="169">
        <f t="shared" si="40"/>
        <v>1462556</v>
      </c>
      <c r="F258" s="169">
        <f>SUM(F253:F257)</f>
        <v>1736516</v>
      </c>
      <c r="G258" s="169">
        <f t="shared" si="40"/>
        <v>2548272</v>
      </c>
      <c r="H258" s="169">
        <f t="shared" si="40"/>
        <v>4831504</v>
      </c>
      <c r="I258" s="169">
        <f t="shared" si="40"/>
        <v>1756003</v>
      </c>
      <c r="J258" s="169">
        <f t="shared" si="40"/>
        <v>892955</v>
      </c>
      <c r="K258" s="169">
        <f t="shared" si="40"/>
        <v>848015</v>
      </c>
      <c r="L258" s="173"/>
    </row>
    <row r="259" spans="2:12" s="173" customFormat="1" ht="15" hidden="1">
      <c r="B259" s="174"/>
      <c r="C259" s="146">
        <f>'Budget Detail FY 2012-19'!N451</f>
        <v>146573</v>
      </c>
      <c r="D259" s="146">
        <f>'Budget Detail FY 2012-19'!O451</f>
        <v>386213</v>
      </c>
      <c r="E259" s="146">
        <f>'Budget Detail FY 2012-19'!P451</f>
        <v>1462556</v>
      </c>
      <c r="F259" s="146">
        <f>'Budget Detail FY 2012-19'!Q451</f>
        <v>1736516</v>
      </c>
      <c r="G259" s="146">
        <f>'Budget Detail FY 2012-19'!R451</f>
        <v>2548272</v>
      </c>
      <c r="H259" s="146">
        <f>'Budget Detail FY 2012-19'!S451</f>
        <v>4831504</v>
      </c>
      <c r="I259" s="146">
        <f>'Budget Detail FY 2012-19'!T451</f>
        <v>1756003</v>
      </c>
      <c r="J259" s="146">
        <f>'Budget Detail FY 2012-19'!U451</f>
        <v>892955</v>
      </c>
      <c r="K259" s="146">
        <f>'Budget Detail FY 2012-19'!V451</f>
        <v>848015</v>
      </c>
      <c r="L259" s="586" t="s">
        <v>1299</v>
      </c>
    </row>
    <row r="260" spans="2:12" s="175" customFormat="1" ht="14.25" hidden="1">
      <c r="B260" s="176"/>
      <c r="C260" s="147">
        <f>C258-C259</f>
        <v>0</v>
      </c>
      <c r="D260" s="147">
        <f t="shared" ref="D260:K260" si="41">D258-D259</f>
        <v>0</v>
      </c>
      <c r="E260" s="147">
        <f t="shared" si="41"/>
        <v>0</v>
      </c>
      <c r="F260" s="147">
        <f t="shared" si="41"/>
        <v>0</v>
      </c>
      <c r="G260" s="147">
        <f t="shared" si="41"/>
        <v>0</v>
      </c>
      <c r="H260" s="147">
        <f t="shared" si="41"/>
        <v>0</v>
      </c>
      <c r="I260" s="147">
        <f t="shared" si="41"/>
        <v>0</v>
      </c>
      <c r="J260" s="147">
        <f t="shared" si="41"/>
        <v>0</v>
      </c>
      <c r="K260" s="147">
        <f t="shared" si="41"/>
        <v>0</v>
      </c>
      <c r="L260" s="587" t="s">
        <v>1300</v>
      </c>
    </row>
    <row r="261" spans="2:12" ht="7.5" customHeight="1">
      <c r="B261" s="179"/>
      <c r="C261" s="3"/>
      <c r="D261" s="2"/>
      <c r="E261" s="2"/>
      <c r="F261" s="2"/>
      <c r="G261" s="2"/>
      <c r="H261" s="2"/>
      <c r="I261" s="2"/>
      <c r="J261" s="2"/>
      <c r="K261" s="2"/>
    </row>
    <row r="262" spans="2:12" ht="20.100000000000001" customHeight="1">
      <c r="B262" s="691" t="s">
        <v>937</v>
      </c>
      <c r="C262" s="3">
        <f t="shared" ref="C262:K262" si="42">+C248-C258</f>
        <v>80544</v>
      </c>
      <c r="D262" s="3">
        <f t="shared" si="42"/>
        <v>247529</v>
      </c>
      <c r="E262" s="3">
        <f t="shared" si="42"/>
        <v>317616</v>
      </c>
      <c r="F262" s="3">
        <f t="shared" si="42"/>
        <v>332677</v>
      </c>
      <c r="G262" s="3">
        <f t="shared" si="42"/>
        <v>4001568</v>
      </c>
      <c r="H262" s="3">
        <f t="shared" si="42"/>
        <v>-4028254</v>
      </c>
      <c r="I262" s="3">
        <f t="shared" si="42"/>
        <v>-586753</v>
      </c>
      <c r="J262" s="3">
        <f t="shared" si="42"/>
        <v>-47964</v>
      </c>
      <c r="K262" s="3">
        <f t="shared" si="42"/>
        <v>0</v>
      </c>
      <c r="L262" s="173"/>
    </row>
    <row r="263" spans="2:12" s="173" customFormat="1" ht="15" hidden="1">
      <c r="B263" s="180"/>
      <c r="C263" s="146">
        <f>'Budget Detail FY 2012-19'!N453</f>
        <v>80544</v>
      </c>
      <c r="D263" s="146">
        <f>'Budget Detail FY 2012-19'!O453</f>
        <v>247529</v>
      </c>
      <c r="E263" s="146">
        <f>'Budget Detail FY 2012-19'!P453</f>
        <v>317616</v>
      </c>
      <c r="F263" s="146">
        <f>'Budget Detail FY 2012-19'!Q453</f>
        <v>332677</v>
      </c>
      <c r="G263" s="146">
        <f>'Budget Detail FY 2012-19'!R453</f>
        <v>4001568</v>
      </c>
      <c r="H263" s="146">
        <f>'Budget Detail FY 2012-19'!S453</f>
        <v>-4028254</v>
      </c>
      <c r="I263" s="146">
        <f>'Budget Detail FY 2012-19'!T453</f>
        <v>-586753</v>
      </c>
      <c r="J263" s="146">
        <f>'Budget Detail FY 2012-19'!U453</f>
        <v>-47964</v>
      </c>
      <c r="K263" s="146">
        <f>'Budget Detail FY 2012-19'!V453</f>
        <v>0</v>
      </c>
      <c r="L263" s="586" t="s">
        <v>1299</v>
      </c>
    </row>
    <row r="264" spans="2:12" s="175" customFormat="1" ht="15" hidden="1">
      <c r="B264" s="181"/>
      <c r="C264" s="190">
        <f>C262-C263</f>
        <v>0</v>
      </c>
      <c r="D264" s="190">
        <f t="shared" ref="D264:K264" si="43">D262-D263</f>
        <v>0</v>
      </c>
      <c r="E264" s="190">
        <f t="shared" si="43"/>
        <v>0</v>
      </c>
      <c r="F264" s="190">
        <f t="shared" si="43"/>
        <v>0</v>
      </c>
      <c r="G264" s="190">
        <f t="shared" si="43"/>
        <v>0</v>
      </c>
      <c r="H264" s="190">
        <f t="shared" si="43"/>
        <v>0</v>
      </c>
      <c r="I264" s="190">
        <f t="shared" si="43"/>
        <v>0</v>
      </c>
      <c r="J264" s="190">
        <f t="shared" si="43"/>
        <v>0</v>
      </c>
      <c r="K264" s="190">
        <f t="shared" si="43"/>
        <v>0</v>
      </c>
      <c r="L264" s="587" t="s">
        <v>1300</v>
      </c>
    </row>
    <row r="265" spans="2:12" ht="7.5" customHeight="1">
      <c r="B265" s="193"/>
      <c r="C265" s="120"/>
      <c r="D265" s="120"/>
      <c r="E265" s="120"/>
      <c r="F265" s="120"/>
      <c r="G265" s="120"/>
      <c r="H265" s="120"/>
      <c r="I265" s="120"/>
      <c r="J265" s="120"/>
      <c r="K265" s="120"/>
    </row>
    <row r="266" spans="2:12" ht="20.100000000000001" customHeight="1">
      <c r="B266" s="194" t="s">
        <v>1168</v>
      </c>
      <c r="C266" s="107">
        <f>'Budget Detail FY 2012-19'!N455</f>
        <v>0</v>
      </c>
      <c r="D266" s="107">
        <f>'Budget Detail FY 2012-19'!O455</f>
        <v>0</v>
      </c>
      <c r="E266" s="107">
        <f>'Budget Detail FY 2012-19'!P455</f>
        <v>0</v>
      </c>
      <c r="F266" s="107">
        <f>'Budget Detail FY 2012-19'!Q455</f>
        <v>0</v>
      </c>
      <c r="G266" s="107">
        <f>'Budget Detail FY 2012-19'!R455</f>
        <v>0</v>
      </c>
      <c r="H266" s="107">
        <f>'Budget Detail FY 2012-19'!S455</f>
        <v>0</v>
      </c>
      <c r="I266" s="107">
        <f>'Budget Detail FY 2012-19'!T455</f>
        <v>0</v>
      </c>
      <c r="J266" s="107">
        <f>'Budget Detail FY 2012-19'!U455</f>
        <v>0</v>
      </c>
      <c r="K266" s="107">
        <f>'Budget Detail FY 2012-19'!V455</f>
        <v>0</v>
      </c>
      <c r="L266" s="173"/>
    </row>
    <row r="267" spans="2:12" s="173" customFormat="1" ht="15" hidden="1">
      <c r="B267" s="195"/>
      <c r="C267" s="146">
        <f>'Budget Detail FY 2012-19'!N455</f>
        <v>0</v>
      </c>
      <c r="D267" s="146">
        <f>'Budget Detail FY 2012-19'!O455</f>
        <v>0</v>
      </c>
      <c r="E267" s="146">
        <f>'Budget Detail FY 2012-19'!P455</f>
        <v>0</v>
      </c>
      <c r="F267" s="146">
        <f>'Budget Detail FY 2012-19'!Q455</f>
        <v>0</v>
      </c>
      <c r="G267" s="146">
        <f>'Budget Detail FY 2012-19'!R455</f>
        <v>0</v>
      </c>
      <c r="H267" s="146">
        <f>'Budget Detail FY 2012-19'!S455</f>
        <v>0</v>
      </c>
      <c r="I267" s="146">
        <f>'Budget Detail FY 2012-19'!T455</f>
        <v>0</v>
      </c>
      <c r="J267" s="146">
        <f>'Budget Detail FY 2012-19'!U455</f>
        <v>0</v>
      </c>
      <c r="K267" s="146">
        <f>'Budget Detail FY 2012-19'!V455</f>
        <v>0</v>
      </c>
      <c r="L267" s="586" t="s">
        <v>1299</v>
      </c>
    </row>
    <row r="268" spans="2:12" s="175" customFormat="1" ht="15" hidden="1">
      <c r="B268" s="196"/>
      <c r="C268" s="182">
        <f>C266-C267</f>
        <v>0</v>
      </c>
      <c r="D268" s="182">
        <f t="shared" ref="D268:K268" si="44">D266-D267</f>
        <v>0</v>
      </c>
      <c r="E268" s="182">
        <f t="shared" si="44"/>
        <v>0</v>
      </c>
      <c r="F268" s="182">
        <f t="shared" si="44"/>
        <v>0</v>
      </c>
      <c r="G268" s="182">
        <f t="shared" si="44"/>
        <v>0</v>
      </c>
      <c r="H268" s="182">
        <f t="shared" si="44"/>
        <v>0</v>
      </c>
      <c r="I268" s="182">
        <f t="shared" si="44"/>
        <v>0</v>
      </c>
      <c r="J268" s="182">
        <f t="shared" si="44"/>
        <v>0</v>
      </c>
      <c r="K268" s="182">
        <f t="shared" si="44"/>
        <v>0</v>
      </c>
      <c r="L268" s="587" t="s">
        <v>1300</v>
      </c>
    </row>
    <row r="269" spans="2:12" ht="7.5" customHeight="1">
      <c r="B269" s="194"/>
      <c r="C269" s="107"/>
      <c r="D269" s="107"/>
      <c r="E269" s="107"/>
      <c r="F269" s="107"/>
      <c r="G269" s="107"/>
      <c r="H269" s="107"/>
      <c r="I269" s="107"/>
      <c r="J269" s="107"/>
      <c r="K269" s="107"/>
    </row>
    <row r="270" spans="2:12" ht="20.100000000000001" customHeight="1">
      <c r="B270" s="194" t="s">
        <v>1169</v>
      </c>
      <c r="C270" s="107">
        <f>'Budget Detail FY 2012-19'!N457</f>
        <v>81196</v>
      </c>
      <c r="D270" s="107">
        <v>328726</v>
      </c>
      <c r="E270" s="107">
        <f>'Budget Detail FY 2012-19'!P457</f>
        <v>691053</v>
      </c>
      <c r="F270" s="107">
        <f>'Budget Detail FY 2012-19'!Q457</f>
        <v>661403</v>
      </c>
      <c r="G270" s="107">
        <f>'Budget Detail FY 2012-19'!R457</f>
        <v>4662971</v>
      </c>
      <c r="H270" s="107">
        <f>'Budget Detail FY 2012-19'!S457</f>
        <v>634717</v>
      </c>
      <c r="I270" s="107">
        <f>'Budget Detail FY 2012-19'!T457</f>
        <v>47964</v>
      </c>
      <c r="J270" s="107">
        <f>'Budget Detail FY 2012-19'!U457</f>
        <v>0</v>
      </c>
      <c r="K270" s="107">
        <f>'Budget Detail FY 2012-19'!V457</f>
        <v>0</v>
      </c>
      <c r="L270" s="173"/>
    </row>
    <row r="271" spans="2:12" s="173" customFormat="1" ht="15" hidden="1">
      <c r="B271" s="195"/>
      <c r="C271" s="146">
        <f>'Budget Detail FY 2012-19'!N457</f>
        <v>81196</v>
      </c>
      <c r="D271" s="146">
        <f>'Budget Detail FY 2012-19'!O457</f>
        <v>328726</v>
      </c>
      <c r="E271" s="146">
        <f>'Budget Detail FY 2012-19'!P457</f>
        <v>691053</v>
      </c>
      <c r="F271" s="146">
        <f>'Budget Detail FY 2012-19'!Q457</f>
        <v>661403</v>
      </c>
      <c r="G271" s="146">
        <f>'Budget Detail FY 2012-19'!R457</f>
        <v>4662971</v>
      </c>
      <c r="H271" s="146">
        <f>'Budget Detail FY 2012-19'!S457</f>
        <v>634717</v>
      </c>
      <c r="I271" s="146">
        <f>'Budget Detail FY 2012-19'!T457</f>
        <v>47964</v>
      </c>
      <c r="J271" s="146">
        <f>'Budget Detail FY 2012-19'!U457</f>
        <v>0</v>
      </c>
      <c r="K271" s="146">
        <f>'Budget Detail FY 2012-19'!V457</f>
        <v>0</v>
      </c>
      <c r="L271" s="586" t="s">
        <v>1299</v>
      </c>
    </row>
    <row r="272" spans="2:12" s="175" customFormat="1" ht="15" hidden="1">
      <c r="B272" s="196"/>
      <c r="C272" s="182">
        <f>C270-C271</f>
        <v>0</v>
      </c>
      <c r="D272" s="182">
        <f t="shared" ref="D272:K272" si="45">D270-D271</f>
        <v>0</v>
      </c>
      <c r="E272" s="182">
        <f t="shared" si="45"/>
        <v>0</v>
      </c>
      <c r="F272" s="182">
        <f t="shared" si="45"/>
        <v>0</v>
      </c>
      <c r="G272" s="182">
        <f t="shared" si="45"/>
        <v>0</v>
      </c>
      <c r="H272" s="182">
        <f t="shared" si="45"/>
        <v>0</v>
      </c>
      <c r="I272" s="182">
        <f t="shared" si="45"/>
        <v>0</v>
      </c>
      <c r="J272" s="182">
        <f t="shared" si="45"/>
        <v>0</v>
      </c>
      <c r="K272" s="182">
        <f t="shared" si="45"/>
        <v>0</v>
      </c>
      <c r="L272" s="587" t="s">
        <v>1300</v>
      </c>
    </row>
    <row r="273" spans="2:12" ht="7.5" customHeight="1">
      <c r="B273" s="194"/>
      <c r="C273" s="107"/>
      <c r="D273" s="107"/>
      <c r="E273" s="107"/>
      <c r="F273" s="107"/>
      <c r="G273" s="107"/>
      <c r="H273" s="107"/>
      <c r="I273" s="107"/>
      <c r="J273" s="107"/>
      <c r="K273" s="107"/>
    </row>
    <row r="274" spans="2:12" ht="20.100000000000001" customHeight="1" thickBot="1">
      <c r="B274" s="171" t="s">
        <v>938</v>
      </c>
      <c r="C274" s="91">
        <v>81196</v>
      </c>
      <c r="D274" s="91">
        <v>328726</v>
      </c>
      <c r="E274" s="91">
        <v>691053</v>
      </c>
      <c r="F274" s="91">
        <f>D274+F262</f>
        <v>661403</v>
      </c>
      <c r="G274" s="91">
        <f>F274+G262</f>
        <v>4662971</v>
      </c>
      <c r="H274" s="91">
        <f>G274+H262</f>
        <v>634717</v>
      </c>
      <c r="I274" s="91">
        <f>H274+I262</f>
        <v>47964</v>
      </c>
      <c r="J274" s="91">
        <f>I274+J262</f>
        <v>0</v>
      </c>
      <c r="K274" s="91">
        <f>J274+K262</f>
        <v>0</v>
      </c>
      <c r="L274" s="173"/>
    </row>
    <row r="275" spans="2:12" s="173" customFormat="1" ht="15.75" hidden="1" thickTop="1">
      <c r="B275" s="174"/>
      <c r="C275" s="146">
        <f>'Budget Detail FY 2012-19'!N459</f>
        <v>81196</v>
      </c>
      <c r="D275" s="146">
        <f>'Budget Detail FY 2012-19'!O459</f>
        <v>328726</v>
      </c>
      <c r="E275" s="146">
        <f>'Budget Detail FY 2012-19'!P459</f>
        <v>691053</v>
      </c>
      <c r="F275" s="146">
        <f>'Budget Detail FY 2012-19'!Q459</f>
        <v>661403</v>
      </c>
      <c r="G275" s="146">
        <f>'Budget Detail FY 2012-19'!R459</f>
        <v>4662971</v>
      </c>
      <c r="H275" s="146">
        <f>'Budget Detail FY 2012-19'!S459</f>
        <v>634717</v>
      </c>
      <c r="I275" s="146">
        <f>'Budget Detail FY 2012-19'!T459</f>
        <v>47964</v>
      </c>
      <c r="J275" s="146">
        <f>'Budget Detail FY 2012-19'!U459</f>
        <v>0</v>
      </c>
      <c r="K275" s="146">
        <f>'Budget Detail FY 2012-19'!V459</f>
        <v>0</v>
      </c>
      <c r="L275" s="586" t="s">
        <v>1299</v>
      </c>
    </row>
    <row r="276" spans="2:12" s="175" customFormat="1" ht="14.25" hidden="1">
      <c r="B276" s="176"/>
      <c r="C276" s="147">
        <f>C274-C275</f>
        <v>0</v>
      </c>
      <c r="D276" s="147">
        <f t="shared" ref="D276:K276" si="46">D274-D275</f>
        <v>0</v>
      </c>
      <c r="E276" s="147">
        <f t="shared" si="46"/>
        <v>0</v>
      </c>
      <c r="F276" s="147">
        <f t="shared" si="46"/>
        <v>0</v>
      </c>
      <c r="G276" s="147">
        <f t="shared" si="46"/>
        <v>0</v>
      </c>
      <c r="H276" s="147">
        <f t="shared" si="46"/>
        <v>0</v>
      </c>
      <c r="I276" s="147">
        <f t="shared" si="46"/>
        <v>0</v>
      </c>
      <c r="J276" s="147">
        <f t="shared" si="46"/>
        <v>0</v>
      </c>
      <c r="K276" s="147">
        <f t="shared" si="46"/>
        <v>0</v>
      </c>
      <c r="L276" s="587" t="s">
        <v>1300</v>
      </c>
    </row>
    <row r="277" spans="2:12" ht="13.5" thickTop="1"/>
    <row r="291" spans="2:11" ht="7.5" customHeight="1"/>
    <row r="292" spans="2:11" ht="18.75">
      <c r="B292" s="722" t="s">
        <v>1156</v>
      </c>
      <c r="C292" s="722"/>
      <c r="D292" s="722"/>
      <c r="E292" s="722"/>
      <c r="F292" s="722"/>
      <c r="G292" s="722"/>
      <c r="H292" s="722"/>
      <c r="I292" s="722"/>
      <c r="J292" s="722"/>
      <c r="K292" s="722"/>
    </row>
    <row r="293" spans="2:11" ht="15" customHeight="1">
      <c r="B293" s="72"/>
      <c r="C293" s="3"/>
      <c r="D293" s="2"/>
      <c r="E293" s="2"/>
      <c r="F293" s="2"/>
      <c r="G293" s="2"/>
      <c r="H293" s="2"/>
      <c r="I293" s="2"/>
      <c r="J293" s="2"/>
      <c r="K293" s="2"/>
    </row>
    <row r="294" spans="2:11" ht="12.75" customHeight="1">
      <c r="B294" s="725" t="s">
        <v>1483</v>
      </c>
      <c r="C294" s="725"/>
      <c r="D294" s="725"/>
      <c r="E294" s="725"/>
      <c r="F294" s="725"/>
      <c r="G294" s="725"/>
      <c r="H294" s="725"/>
      <c r="I294" s="725"/>
      <c r="J294" s="725"/>
      <c r="K294" s="725"/>
    </row>
    <row r="295" spans="2:11" ht="12.75" customHeight="1">
      <c r="B295" s="725"/>
      <c r="C295" s="725"/>
      <c r="D295" s="725"/>
      <c r="E295" s="725"/>
      <c r="F295" s="725"/>
      <c r="G295" s="725"/>
      <c r="H295" s="725"/>
      <c r="I295" s="725"/>
      <c r="J295" s="725"/>
      <c r="K295" s="725"/>
    </row>
    <row r="296" spans="2:11" ht="12.75" customHeight="1">
      <c r="B296" s="725"/>
      <c r="C296" s="725"/>
      <c r="D296" s="725"/>
      <c r="E296" s="725"/>
      <c r="F296" s="725"/>
      <c r="G296" s="725"/>
      <c r="H296" s="725"/>
      <c r="I296" s="725"/>
      <c r="J296" s="725"/>
      <c r="K296" s="725"/>
    </row>
    <row r="297" spans="2:11" ht="15" customHeight="1">
      <c r="B297" s="725"/>
      <c r="C297" s="725"/>
      <c r="D297" s="725"/>
      <c r="E297" s="725"/>
      <c r="F297" s="725"/>
      <c r="G297" s="725"/>
      <c r="H297" s="725"/>
      <c r="I297" s="725"/>
      <c r="J297" s="725"/>
      <c r="K297" s="725"/>
    </row>
    <row r="298" spans="2:11" ht="12" customHeight="1">
      <c r="B298" s="686"/>
      <c r="C298" s="25"/>
      <c r="D298" s="25"/>
      <c r="E298" s="25"/>
      <c r="F298" s="25"/>
      <c r="G298" s="25"/>
      <c r="H298" s="2"/>
      <c r="I298" s="2"/>
      <c r="J298" s="2"/>
      <c r="K298" s="2"/>
    </row>
    <row r="299" spans="2:11" ht="15">
      <c r="B299" s="5"/>
      <c r="C299" s="72"/>
      <c r="D299" s="73"/>
      <c r="E299" s="72" t="s">
        <v>283</v>
      </c>
      <c r="F299" s="1"/>
      <c r="G299" s="1"/>
      <c r="H299" s="1"/>
      <c r="I299" s="1"/>
      <c r="J299" s="1"/>
      <c r="K299" s="1"/>
    </row>
    <row r="300" spans="2:11" ht="15">
      <c r="B300" s="73"/>
      <c r="C300" s="72" t="s">
        <v>229</v>
      </c>
      <c r="D300" s="96" t="s">
        <v>282</v>
      </c>
      <c r="E300" s="73" t="s">
        <v>917</v>
      </c>
      <c r="F300" s="73" t="s">
        <v>283</v>
      </c>
      <c r="G300" s="73" t="s">
        <v>298</v>
      </c>
      <c r="H300" s="73" t="s">
        <v>299</v>
      </c>
      <c r="I300" s="73" t="s">
        <v>300</v>
      </c>
      <c r="J300" s="73" t="s">
        <v>1087</v>
      </c>
      <c r="K300" s="73" t="s">
        <v>1224</v>
      </c>
    </row>
    <row r="301" spans="2:11" ht="15.75" thickBot="1">
      <c r="B301" s="188"/>
      <c r="C301" s="75" t="s">
        <v>1</v>
      </c>
      <c r="D301" s="75" t="s">
        <v>1</v>
      </c>
      <c r="E301" s="75" t="s">
        <v>871</v>
      </c>
      <c r="F301" s="75" t="s">
        <v>20</v>
      </c>
      <c r="G301" s="75" t="s">
        <v>917</v>
      </c>
      <c r="H301" s="75" t="s">
        <v>20</v>
      </c>
      <c r="I301" s="75" t="s">
        <v>20</v>
      </c>
      <c r="J301" s="75" t="s">
        <v>20</v>
      </c>
      <c r="K301" s="75" t="s">
        <v>20</v>
      </c>
    </row>
    <row r="302" spans="2:11" ht="7.5" customHeight="1">
      <c r="B302" s="71"/>
      <c r="C302" s="189"/>
      <c r="D302" s="2"/>
      <c r="E302" s="2"/>
      <c r="F302" s="2"/>
      <c r="G302" s="2"/>
      <c r="H302" s="2"/>
      <c r="I302" s="2"/>
      <c r="J302" s="2"/>
      <c r="K302" s="2"/>
    </row>
    <row r="303" spans="2:11" ht="15">
      <c r="B303" s="177" t="s">
        <v>918</v>
      </c>
      <c r="C303" s="2"/>
      <c r="D303" s="2"/>
      <c r="E303" s="2"/>
      <c r="F303" s="2"/>
      <c r="G303" s="2"/>
      <c r="H303" s="2"/>
      <c r="I303" s="2"/>
      <c r="J303" s="2"/>
      <c r="K303" s="2"/>
    </row>
    <row r="304" spans="2:11" ht="20.100000000000001" customHeight="1">
      <c r="B304" s="688" t="s">
        <v>921</v>
      </c>
      <c r="C304" s="2">
        <f>SUM('Budget Detail FY 2012-19'!N465:N470)</f>
        <v>55000</v>
      </c>
      <c r="D304" s="2">
        <f>SUM('Budget Detail FY 2012-19'!O465:O470)</f>
        <v>84459</v>
      </c>
      <c r="E304" s="2">
        <f>SUM('Budget Detail FY 2012-19'!P465:P470)</f>
        <v>49275</v>
      </c>
      <c r="F304" s="2">
        <f>SUM('Budget Detail FY 2012-19'!Q465:Q470)</f>
        <v>61539</v>
      </c>
      <c r="G304" s="2">
        <f>SUM('Budget Detail FY 2012-19'!R465:R470)</f>
        <v>49275</v>
      </c>
      <c r="H304" s="2">
        <f>SUM('Budget Detail FY 2012-19'!S465:S470)</f>
        <v>49275</v>
      </c>
      <c r="I304" s="2">
        <f>SUM('Budget Detail FY 2012-19'!T465:T470)</f>
        <v>49275</v>
      </c>
      <c r="J304" s="2">
        <f>SUM('Budget Detail FY 2012-19'!U465:U470)</f>
        <v>49275</v>
      </c>
      <c r="K304" s="2">
        <f>SUM('Budget Detail FY 2012-19'!V465:V470)</f>
        <v>49275</v>
      </c>
    </row>
    <row r="305" spans="2:12" ht="20.100000000000001" customHeight="1">
      <c r="B305" s="688" t="s">
        <v>922</v>
      </c>
      <c r="C305" s="2">
        <f>SUM('Budget Detail FY 2012-19'!N471:N473)</f>
        <v>6233</v>
      </c>
      <c r="D305" s="2">
        <f>SUM('Budget Detail FY 2012-19'!O471:O473)</f>
        <v>16739</v>
      </c>
      <c r="E305" s="2">
        <f>SUM('Budget Detail FY 2012-19'!P471:P473)</f>
        <v>8850</v>
      </c>
      <c r="F305" s="2">
        <f>SUM('Budget Detail FY 2012-19'!Q471:Q473)</f>
        <v>12750</v>
      </c>
      <c r="G305" s="2">
        <f>SUM('Budget Detail FY 2012-19'!R471:R473)</f>
        <v>10750</v>
      </c>
      <c r="H305" s="2">
        <f>SUM('Budget Detail FY 2012-19'!S471:S473)</f>
        <v>10750</v>
      </c>
      <c r="I305" s="2">
        <f>SUM('Budget Detail FY 2012-19'!T471:T473)</f>
        <v>10750</v>
      </c>
      <c r="J305" s="2">
        <f>SUM('Budget Detail FY 2012-19'!U471:U473)</f>
        <v>10750</v>
      </c>
      <c r="K305" s="2">
        <f>SUM('Budget Detail FY 2012-19'!V471:V473)</f>
        <v>10750</v>
      </c>
    </row>
    <row r="306" spans="2:12" ht="20.100000000000001" customHeight="1">
      <c r="B306" s="688" t="s">
        <v>923</v>
      </c>
      <c r="C306" s="2">
        <f>SUM('Budget Detail FY 2012-19'!N474:N477)</f>
        <v>6040</v>
      </c>
      <c r="D306" s="2">
        <f>SUM('Budget Detail FY 2012-19'!O474:O477)</f>
        <v>6725</v>
      </c>
      <c r="E306" s="2">
        <f>SUM('Budget Detail FY 2012-19'!P474:P477)</f>
        <v>150150</v>
      </c>
      <c r="F306" s="2">
        <f>SUM('Budget Detail FY 2012-19'!Q474:Q477)</f>
        <v>153342</v>
      </c>
      <c r="G306" s="2">
        <f>SUM('Budget Detail FY 2012-19'!R474:R477)</f>
        <v>262078</v>
      </c>
      <c r="H306" s="2">
        <f>SUM('Budget Detail FY 2012-19'!S474:S477)</f>
        <v>161726</v>
      </c>
      <c r="I306" s="2">
        <f>SUM('Budget Detail FY 2012-19'!T474:T477)</f>
        <v>112232</v>
      </c>
      <c r="J306" s="2">
        <f>SUM('Budget Detail FY 2012-19'!U474:U477)</f>
        <v>112232</v>
      </c>
      <c r="K306" s="2">
        <f>SUM('Budget Detail FY 2012-19'!V474:V477)</f>
        <v>112232</v>
      </c>
    </row>
    <row r="307" spans="2:12" ht="20.100000000000001" customHeight="1">
      <c r="B307" s="688" t="s">
        <v>924</v>
      </c>
      <c r="C307" s="2">
        <f>SUM('Budget Detail FY 2012-19'!N478:N480)</f>
        <v>405</v>
      </c>
      <c r="D307" s="2">
        <f>SUM('Budget Detail FY 2012-19'!O478:O480)</f>
        <v>567</v>
      </c>
      <c r="E307" s="2">
        <f>SUM('Budget Detail FY 2012-19'!P478:P480)</f>
        <v>475</v>
      </c>
      <c r="F307" s="2">
        <f>SUM('Budget Detail FY 2012-19'!Q478:Q480)</f>
        <v>450</v>
      </c>
      <c r="G307" s="2">
        <f>SUM('Budget Detail FY 2012-19'!R478:R480)</f>
        <v>450</v>
      </c>
      <c r="H307" s="2">
        <f>SUM('Budget Detail FY 2012-19'!S478:S480)</f>
        <v>450</v>
      </c>
      <c r="I307" s="2">
        <f>SUM('Budget Detail FY 2012-19'!T478:T480)</f>
        <v>450</v>
      </c>
      <c r="J307" s="2">
        <f>SUM('Budget Detail FY 2012-19'!U478:U480)</f>
        <v>450</v>
      </c>
      <c r="K307" s="2">
        <f>SUM('Budget Detail FY 2012-19'!V478:V480)</f>
        <v>450</v>
      </c>
    </row>
    <row r="308" spans="2:12" ht="20.100000000000001" customHeight="1">
      <c r="B308" s="688" t="s">
        <v>925</v>
      </c>
      <c r="C308" s="2">
        <f>'Budget Detail FY 2012-19'!N481</f>
        <v>10702</v>
      </c>
      <c r="D308" s="2">
        <f>'Budget Detail FY 2012-19'!O481</f>
        <v>0</v>
      </c>
      <c r="E308" s="2">
        <f>'Budget Detail FY 2012-19'!P481</f>
        <v>50000</v>
      </c>
      <c r="F308" s="2">
        <f>'Budget Detail FY 2012-19'!Q481</f>
        <v>50000</v>
      </c>
      <c r="G308" s="2">
        <f>'Budget Detail FY 2012-19'!R481</f>
        <v>50000</v>
      </c>
      <c r="H308" s="2">
        <f>'Budget Detail FY 2012-19'!S481</f>
        <v>50000</v>
      </c>
      <c r="I308" s="2">
        <f>'Budget Detail FY 2012-19'!T481</f>
        <v>0</v>
      </c>
      <c r="J308" s="2">
        <f>'Budget Detail FY 2012-19'!U481</f>
        <v>0</v>
      </c>
      <c r="K308" s="2">
        <f>'Budget Detail FY 2012-19'!V481</f>
        <v>0</v>
      </c>
    </row>
    <row r="309" spans="2:12" ht="20.100000000000001" customHeight="1">
      <c r="B309" s="688" t="s">
        <v>926</v>
      </c>
      <c r="C309" s="2">
        <f>SUM('Budget Detail FY 2012-19'!N482:N483)</f>
        <v>0</v>
      </c>
      <c r="D309" s="2">
        <f>SUM('Budget Detail FY 2012-19'!O482:O483)</f>
        <v>966</v>
      </c>
      <c r="E309" s="2">
        <f>SUM('Budget Detail FY 2012-19'!P482:P483)</f>
        <v>0</v>
      </c>
      <c r="F309" s="2">
        <f>SUM('Budget Detail FY 2012-19'!Q482:Q483)</f>
        <v>448</v>
      </c>
      <c r="G309" s="2">
        <f>SUM('Budget Detail FY 2012-19'!R482:R483)</f>
        <v>1000</v>
      </c>
      <c r="H309" s="2">
        <f>SUM('Budget Detail FY 2012-19'!S482:S483)</f>
        <v>1000</v>
      </c>
      <c r="I309" s="2">
        <f>SUM('Budget Detail FY 2012-19'!T482:T483)</f>
        <v>1000</v>
      </c>
      <c r="J309" s="2">
        <f>SUM('Budget Detail FY 2012-19'!U482:U483)</f>
        <v>1000</v>
      </c>
      <c r="K309" s="2">
        <f>SUM('Budget Detail FY 2012-19'!V482:V483)</f>
        <v>1000</v>
      </c>
    </row>
    <row r="310" spans="2:12" ht="20.100000000000001" customHeight="1">
      <c r="B310" s="688" t="s">
        <v>927</v>
      </c>
      <c r="C310" s="2">
        <f>SUM('Budget Detail FY 2012-19'!N484:N487)</f>
        <v>19600</v>
      </c>
      <c r="D310" s="2">
        <f>SUM('Budget Detail FY 2012-19'!O484:O487)</f>
        <v>2700</v>
      </c>
      <c r="E310" s="2">
        <f>SUM('Budget Detail FY 2012-19'!P484:P487)</f>
        <v>1000</v>
      </c>
      <c r="F310" s="2">
        <f>SUM('Budget Detail FY 2012-19'!Q484:Q487)</f>
        <v>7825</v>
      </c>
      <c r="G310" s="2">
        <f>SUM('Budget Detail FY 2012-19'!R484:R487)</f>
        <v>61000</v>
      </c>
      <c r="H310" s="2">
        <f>SUM('Budget Detail FY 2012-19'!S484:S487)</f>
        <v>1000</v>
      </c>
      <c r="I310" s="2">
        <f>SUM('Budget Detail FY 2012-19'!T484:T487)</f>
        <v>1000</v>
      </c>
      <c r="J310" s="2">
        <f>SUM('Budget Detail FY 2012-19'!U484:U487)</f>
        <v>1000</v>
      </c>
      <c r="K310" s="2">
        <f>SUM('Budget Detail FY 2012-19'!V484:V487)</f>
        <v>1000</v>
      </c>
    </row>
    <row r="311" spans="2:12" ht="20.100000000000001" customHeight="1" thickBot="1">
      <c r="B311" s="172" t="s">
        <v>928</v>
      </c>
      <c r="C311" s="169">
        <f>SUM(C304:C310)</f>
        <v>97980</v>
      </c>
      <c r="D311" s="169">
        <f t="shared" ref="D311:K311" si="47">SUM(D304:D310)</f>
        <v>112156</v>
      </c>
      <c r="E311" s="169">
        <f t="shared" si="47"/>
        <v>259750</v>
      </c>
      <c r="F311" s="169">
        <f t="shared" si="47"/>
        <v>286354</v>
      </c>
      <c r="G311" s="169">
        <f t="shared" si="47"/>
        <v>434553</v>
      </c>
      <c r="H311" s="169">
        <f t="shared" si="47"/>
        <v>274201</v>
      </c>
      <c r="I311" s="169">
        <f t="shared" si="47"/>
        <v>174707</v>
      </c>
      <c r="J311" s="169">
        <f t="shared" si="47"/>
        <v>174707</v>
      </c>
      <c r="K311" s="169">
        <f t="shared" si="47"/>
        <v>174707</v>
      </c>
      <c r="L311" s="173"/>
    </row>
    <row r="312" spans="2:12" s="173" customFormat="1" ht="15" hidden="1">
      <c r="B312" s="174"/>
      <c r="C312" s="146">
        <f>'Budget Detail FY 2012-19'!N489</f>
        <v>97980</v>
      </c>
      <c r="D312" s="146">
        <f>'Budget Detail FY 2012-19'!O489</f>
        <v>112156</v>
      </c>
      <c r="E312" s="146">
        <f>'Budget Detail FY 2012-19'!P489</f>
        <v>259750</v>
      </c>
      <c r="F312" s="146">
        <f>'Budget Detail FY 2012-19'!Q489</f>
        <v>286354</v>
      </c>
      <c r="G312" s="146">
        <f>'Budget Detail FY 2012-19'!R489</f>
        <v>434553</v>
      </c>
      <c r="H312" s="146">
        <f>'Budget Detail FY 2012-19'!S489</f>
        <v>274201</v>
      </c>
      <c r="I312" s="146">
        <f>'Budget Detail FY 2012-19'!T489</f>
        <v>174707</v>
      </c>
      <c r="J312" s="146">
        <f>'Budget Detail FY 2012-19'!U489</f>
        <v>174707</v>
      </c>
      <c r="K312" s="146">
        <f>'Budget Detail FY 2012-19'!V489</f>
        <v>174707</v>
      </c>
      <c r="L312" s="586" t="s">
        <v>1299</v>
      </c>
    </row>
    <row r="313" spans="2:12" s="175" customFormat="1" ht="14.25" hidden="1">
      <c r="B313" s="176"/>
      <c r="C313" s="147">
        <f>C311-C312</f>
        <v>0</v>
      </c>
      <c r="D313" s="147">
        <f t="shared" ref="D313:K313" si="48">D311-D312</f>
        <v>0</v>
      </c>
      <c r="E313" s="147">
        <f t="shared" si="48"/>
        <v>0</v>
      </c>
      <c r="F313" s="147">
        <f t="shared" si="48"/>
        <v>0</v>
      </c>
      <c r="G313" s="147">
        <f t="shared" si="48"/>
        <v>0</v>
      </c>
      <c r="H313" s="147">
        <f t="shared" si="48"/>
        <v>0</v>
      </c>
      <c r="I313" s="147">
        <f t="shared" si="48"/>
        <v>0</v>
      </c>
      <c r="J313" s="147">
        <f t="shared" si="48"/>
        <v>0</v>
      </c>
      <c r="K313" s="147">
        <f t="shared" si="48"/>
        <v>0</v>
      </c>
      <c r="L313" s="587" t="s">
        <v>1300</v>
      </c>
    </row>
    <row r="314" spans="2:12" ht="7.5" customHeight="1">
      <c r="B314" s="1"/>
      <c r="C314" s="2"/>
      <c r="D314" s="2"/>
      <c r="E314" s="2"/>
      <c r="F314" s="2"/>
      <c r="G314" s="2"/>
      <c r="H314" s="2"/>
      <c r="I314" s="2"/>
      <c r="J314" s="2"/>
      <c r="K314" s="2"/>
    </row>
    <row r="315" spans="2:12" ht="15">
      <c r="B315" s="177" t="s">
        <v>1160</v>
      </c>
      <c r="C315" s="2"/>
      <c r="D315" s="2"/>
      <c r="E315" s="2"/>
      <c r="F315" s="2"/>
      <c r="G315" s="2"/>
      <c r="H315" s="2"/>
      <c r="I315" s="2"/>
      <c r="J315" s="2"/>
      <c r="K315" s="2"/>
    </row>
    <row r="316" spans="2:12" ht="20.100000000000001" customHeight="1">
      <c r="B316" s="689" t="s">
        <v>931</v>
      </c>
      <c r="C316" s="2">
        <f>SUM('Budget Detail FY 2012-19'!N492:N494)</f>
        <v>2647</v>
      </c>
      <c r="D316" s="2">
        <f>SUM('Budget Detail FY 2012-19'!O492:O494)</f>
        <v>17710</v>
      </c>
      <c r="E316" s="2">
        <f>SUM('Budget Detail FY 2012-19'!P492:P494)</f>
        <v>11667</v>
      </c>
      <c r="F316" s="2">
        <f>SUM('Budget Detail FY 2012-19'!Q492:Q494)</f>
        <v>11667</v>
      </c>
      <c r="G316" s="2">
        <f>SUM('Budget Detail FY 2012-19'!R492:R494)</f>
        <v>17667</v>
      </c>
      <c r="H316" s="2">
        <f>SUM('Budget Detail FY 2012-19'!S492:S494)</f>
        <v>17667</v>
      </c>
      <c r="I316" s="2">
        <f>SUM('Budget Detail FY 2012-19'!T492:T494)</f>
        <v>17667</v>
      </c>
      <c r="J316" s="2">
        <f>SUM('Budget Detail FY 2012-19'!U492:U494)</f>
        <v>17667</v>
      </c>
      <c r="K316" s="2">
        <f>SUM('Budget Detail FY 2012-19'!V492:V494)</f>
        <v>17667</v>
      </c>
    </row>
    <row r="317" spans="2:12" ht="20.100000000000001" customHeight="1">
      <c r="B317" s="689" t="s">
        <v>933</v>
      </c>
      <c r="C317" s="2">
        <f>SUM('Budget Detail FY 2012-19'!N495:N496)</f>
        <v>0</v>
      </c>
      <c r="D317" s="2">
        <f>SUM('Budget Detail FY 2012-19'!O495:O496)</f>
        <v>145176</v>
      </c>
      <c r="E317" s="2">
        <f>SUM('Budget Detail FY 2012-19'!P495:P496)</f>
        <v>93000</v>
      </c>
      <c r="F317" s="2">
        <f>SUM('Budget Detail FY 2012-19'!Q495:Q496)</f>
        <v>93000</v>
      </c>
      <c r="G317" s="2">
        <f>SUM('Budget Detail FY 2012-19'!R495:R496)</f>
        <v>110000</v>
      </c>
      <c r="H317" s="2">
        <f>SUM('Budget Detail FY 2012-19'!S495:S496)</f>
        <v>107500</v>
      </c>
      <c r="I317" s="2">
        <f>SUM('Budget Detail FY 2012-19'!T495:T496)</f>
        <v>75000</v>
      </c>
      <c r="J317" s="2">
        <f>SUM('Budget Detail FY 2012-19'!U495:U496)</f>
        <v>75000</v>
      </c>
      <c r="K317" s="2">
        <f>SUM('Budget Detail FY 2012-19'!V495:V496)</f>
        <v>75000</v>
      </c>
    </row>
    <row r="318" spans="2:12" ht="20.100000000000001" customHeight="1" thickBot="1">
      <c r="B318" s="172" t="s">
        <v>1165</v>
      </c>
      <c r="C318" s="197">
        <f t="shared" ref="C318:K318" si="49">SUM(C316:C317)</f>
        <v>2647</v>
      </c>
      <c r="D318" s="197">
        <f t="shared" si="49"/>
        <v>162886</v>
      </c>
      <c r="E318" s="197">
        <f t="shared" si="49"/>
        <v>104667</v>
      </c>
      <c r="F318" s="197">
        <f t="shared" si="49"/>
        <v>104667</v>
      </c>
      <c r="G318" s="197">
        <f t="shared" si="49"/>
        <v>127667</v>
      </c>
      <c r="H318" s="197">
        <f t="shared" si="49"/>
        <v>125167</v>
      </c>
      <c r="I318" s="197">
        <f t="shared" si="49"/>
        <v>92667</v>
      </c>
      <c r="J318" s="197">
        <f t="shared" si="49"/>
        <v>92667</v>
      </c>
      <c r="K318" s="197">
        <f t="shared" si="49"/>
        <v>92667</v>
      </c>
      <c r="L318" s="173"/>
    </row>
    <row r="319" spans="2:12" s="173" customFormat="1" ht="15" hidden="1">
      <c r="B319" s="174"/>
      <c r="C319" s="146">
        <f>'Budget Detail FY 2012-19'!N497</f>
        <v>2647</v>
      </c>
      <c r="D319" s="146">
        <f>'Budget Detail FY 2012-19'!O497</f>
        <v>162886</v>
      </c>
      <c r="E319" s="146">
        <f>'Budget Detail FY 2012-19'!P497</f>
        <v>104667</v>
      </c>
      <c r="F319" s="146">
        <f>'Budget Detail FY 2012-19'!Q497</f>
        <v>104667</v>
      </c>
      <c r="G319" s="146">
        <f>'Budget Detail FY 2012-19'!R497</f>
        <v>127667</v>
      </c>
      <c r="H319" s="146">
        <f>'Budget Detail FY 2012-19'!S497</f>
        <v>125167</v>
      </c>
      <c r="I319" s="146">
        <f>'Budget Detail FY 2012-19'!T497</f>
        <v>92667</v>
      </c>
      <c r="J319" s="146">
        <f>'Budget Detail FY 2012-19'!U497</f>
        <v>92667</v>
      </c>
      <c r="K319" s="146">
        <f>'Budget Detail FY 2012-19'!V497</f>
        <v>92667</v>
      </c>
      <c r="L319" s="586" t="s">
        <v>1299</v>
      </c>
    </row>
    <row r="320" spans="2:12" s="175" customFormat="1" ht="15" hidden="1">
      <c r="B320" s="176"/>
      <c r="C320" s="182">
        <f>C318-C319</f>
        <v>0</v>
      </c>
      <c r="D320" s="182">
        <f t="shared" ref="D320:K320" si="50">D318-D319</f>
        <v>0</v>
      </c>
      <c r="E320" s="182">
        <f t="shared" si="50"/>
        <v>0</v>
      </c>
      <c r="F320" s="182">
        <f t="shared" si="50"/>
        <v>0</v>
      </c>
      <c r="G320" s="182">
        <f t="shared" si="50"/>
        <v>0</v>
      </c>
      <c r="H320" s="182">
        <f t="shared" si="50"/>
        <v>0</v>
      </c>
      <c r="I320" s="182">
        <f t="shared" si="50"/>
        <v>0</v>
      </c>
      <c r="J320" s="182">
        <f t="shared" si="50"/>
        <v>0</v>
      </c>
      <c r="K320" s="182">
        <f t="shared" si="50"/>
        <v>0</v>
      </c>
      <c r="L320" s="587" t="s">
        <v>1300</v>
      </c>
    </row>
    <row r="321" spans="2:12" ht="7.5" customHeight="1">
      <c r="B321" s="179"/>
      <c r="C321" s="4"/>
      <c r="D321" s="4"/>
      <c r="E321" s="4"/>
      <c r="F321" s="4"/>
      <c r="G321" s="4"/>
      <c r="H321" s="4"/>
      <c r="I321" s="4"/>
      <c r="J321" s="4"/>
      <c r="K321" s="4"/>
    </row>
    <row r="322" spans="2:12" ht="15">
      <c r="B322" s="177" t="s">
        <v>1161</v>
      </c>
      <c r="C322" s="2"/>
      <c r="D322" s="2"/>
      <c r="E322" s="2"/>
      <c r="F322" s="2"/>
      <c r="G322" s="2"/>
      <c r="H322" s="2"/>
      <c r="I322" s="2"/>
      <c r="J322" s="2"/>
      <c r="K322" s="2"/>
    </row>
    <row r="323" spans="2:12" ht="20.100000000000001" customHeight="1">
      <c r="B323" s="689" t="s">
        <v>931</v>
      </c>
      <c r="C323" s="2">
        <f>SUM('Budget Detail FY 2012-19'!N500:N502)</f>
        <v>10076</v>
      </c>
      <c r="D323" s="2">
        <f>SUM('Budget Detail FY 2012-19'!O500:O502)</f>
        <v>26198</v>
      </c>
      <c r="E323" s="2">
        <f>SUM('Budget Detail FY 2012-19'!P500:P502)</f>
        <v>6500</v>
      </c>
      <c r="F323" s="2">
        <f>SUM('Budget Detail FY 2012-19'!Q500:Q502)</f>
        <v>6500</v>
      </c>
      <c r="G323" s="2">
        <f>SUM('Budget Detail FY 2012-19'!R500:R502)</f>
        <v>6500</v>
      </c>
      <c r="H323" s="2">
        <f>SUM('Budget Detail FY 2012-19'!S500:S502)</f>
        <v>6500</v>
      </c>
      <c r="I323" s="2">
        <f>SUM('Budget Detail FY 2012-19'!T500:T502)</f>
        <v>6500</v>
      </c>
      <c r="J323" s="2">
        <f>SUM('Budget Detail FY 2012-19'!U500:U502)</f>
        <v>6500</v>
      </c>
      <c r="K323" s="2">
        <f>SUM('Budget Detail FY 2012-19'!V500:V502)</f>
        <v>6500</v>
      </c>
    </row>
    <row r="324" spans="2:12" ht="20.100000000000001" customHeight="1">
      <c r="B324" s="689" t="s">
        <v>932</v>
      </c>
      <c r="C324" s="2">
        <f>'Budget Detail FY 2012-19'!N503</f>
        <v>0</v>
      </c>
      <c r="D324" s="2">
        <f>'Budget Detail FY 2012-19'!O503</f>
        <v>0</v>
      </c>
      <c r="E324" s="2">
        <f>'Budget Detail FY 2012-19'!P503</f>
        <v>2000</v>
      </c>
      <c r="F324" s="2">
        <f>'Budget Detail FY 2012-19'!Q503</f>
        <v>2000</v>
      </c>
      <c r="G324" s="2">
        <f>'Budget Detail FY 2012-19'!R503</f>
        <v>2000</v>
      </c>
      <c r="H324" s="2">
        <f>'Budget Detail FY 2012-19'!S503</f>
        <v>2000</v>
      </c>
      <c r="I324" s="2">
        <f>'Budget Detail FY 2012-19'!T503</f>
        <v>2000</v>
      </c>
      <c r="J324" s="2">
        <f>'Budget Detail FY 2012-19'!U503</f>
        <v>2000</v>
      </c>
      <c r="K324" s="2">
        <f>'Budget Detail FY 2012-19'!V503</f>
        <v>2000</v>
      </c>
    </row>
    <row r="325" spans="2:12" ht="20.100000000000001" customHeight="1">
      <c r="B325" s="689" t="s">
        <v>933</v>
      </c>
      <c r="C325" s="2">
        <f>SUM('Budget Detail FY 2012-19'!N504:N505)</f>
        <v>0</v>
      </c>
      <c r="D325" s="2">
        <f>SUM('Budget Detail FY 2012-19'!O504:O505)</f>
        <v>0</v>
      </c>
      <c r="E325" s="2">
        <f>SUM('Budget Detail FY 2012-19'!P504:P505)</f>
        <v>85000</v>
      </c>
      <c r="F325" s="2">
        <f>SUM('Budget Detail FY 2012-19'!Q504:Q505)</f>
        <v>78689</v>
      </c>
      <c r="G325" s="2">
        <f>SUM('Budget Detail FY 2012-19'!R504:R505)</f>
        <v>160000</v>
      </c>
      <c r="H325" s="2">
        <f>SUM('Budget Detail FY 2012-19'!S504:S505)</f>
        <v>0</v>
      </c>
      <c r="I325" s="2">
        <f>SUM('Budget Detail FY 2012-19'!T504:T505)</f>
        <v>0</v>
      </c>
      <c r="J325" s="2">
        <f>SUM('Budget Detail FY 2012-19'!U504:U505)</f>
        <v>0</v>
      </c>
      <c r="K325" s="2">
        <f>SUM('Budget Detail FY 2012-19'!V504:V505)</f>
        <v>0</v>
      </c>
    </row>
    <row r="326" spans="2:12" ht="20.100000000000001" customHeight="1">
      <c r="B326" s="689" t="s">
        <v>852</v>
      </c>
      <c r="C326" s="2">
        <f>SUM('Budget Detail FY 2012-19'!N507:N508)</f>
        <v>82295</v>
      </c>
      <c r="D326" s="2">
        <f>SUM('Budget Detail FY 2012-19'!O507:O508)</f>
        <v>82295</v>
      </c>
      <c r="E326" s="2">
        <f>SUM('Budget Detail FY 2012-19'!P507:P508)</f>
        <v>79795</v>
      </c>
      <c r="F326" s="2">
        <f>SUM('Budget Detail FY 2012-19'!Q507:Q508)</f>
        <v>76054</v>
      </c>
      <c r="G326" s="2">
        <f>SUM('Budget Detail FY 2012-19'!R507:R508)</f>
        <v>70816</v>
      </c>
      <c r="H326" s="2">
        <f>SUM('Budget Detail FY 2012-19'!S507:S508)</f>
        <v>70815</v>
      </c>
      <c r="I326" s="2">
        <f>SUM('Budget Detail FY 2012-19'!T507:T508)</f>
        <v>70815</v>
      </c>
      <c r="J326" s="2">
        <f>SUM('Budget Detail FY 2012-19'!U507:U508)</f>
        <v>70815</v>
      </c>
      <c r="K326" s="2">
        <f>SUM('Budget Detail FY 2012-19'!V507:V508)</f>
        <v>70815</v>
      </c>
    </row>
    <row r="327" spans="2:12" ht="20.100000000000001" customHeight="1" thickBot="1">
      <c r="B327" s="172" t="s">
        <v>1165</v>
      </c>
      <c r="C327" s="197">
        <f>SUM(C323:C326)</f>
        <v>92371</v>
      </c>
      <c r="D327" s="197">
        <f t="shared" ref="D327:K327" si="51">SUM(D323:D326)</f>
        <v>108493</v>
      </c>
      <c r="E327" s="197">
        <f t="shared" si="51"/>
        <v>173295</v>
      </c>
      <c r="F327" s="197">
        <f t="shared" si="51"/>
        <v>163243</v>
      </c>
      <c r="G327" s="197">
        <f t="shared" si="51"/>
        <v>239316</v>
      </c>
      <c r="H327" s="197">
        <f t="shared" si="51"/>
        <v>79315</v>
      </c>
      <c r="I327" s="197">
        <f t="shared" si="51"/>
        <v>79315</v>
      </c>
      <c r="J327" s="197">
        <f t="shared" si="51"/>
        <v>79315</v>
      </c>
      <c r="K327" s="197">
        <f t="shared" si="51"/>
        <v>79315</v>
      </c>
      <c r="L327" s="173"/>
    </row>
    <row r="328" spans="2:12" s="173" customFormat="1" ht="15" hidden="1">
      <c r="B328" s="174"/>
      <c r="C328" s="146">
        <f>'Budget Detail FY 2012-19'!N509</f>
        <v>92371</v>
      </c>
      <c r="D328" s="146">
        <f>'Budget Detail FY 2012-19'!O509</f>
        <v>108493</v>
      </c>
      <c r="E328" s="146">
        <f>'Budget Detail FY 2012-19'!P509</f>
        <v>173295</v>
      </c>
      <c r="F328" s="146">
        <f>'Budget Detail FY 2012-19'!Q509</f>
        <v>163243</v>
      </c>
      <c r="G328" s="146">
        <f>'Budget Detail FY 2012-19'!R509</f>
        <v>239316</v>
      </c>
      <c r="H328" s="146">
        <f>'Budget Detail FY 2012-19'!S509</f>
        <v>79315</v>
      </c>
      <c r="I328" s="146">
        <f>'Budget Detail FY 2012-19'!T509</f>
        <v>79315</v>
      </c>
      <c r="J328" s="146">
        <f>'Budget Detail FY 2012-19'!U509</f>
        <v>79315</v>
      </c>
      <c r="K328" s="146">
        <f>'Budget Detail FY 2012-19'!V509</f>
        <v>79315</v>
      </c>
      <c r="L328" s="586" t="s">
        <v>1299</v>
      </c>
    </row>
    <row r="329" spans="2:12" s="175" customFormat="1" ht="15" hidden="1">
      <c r="B329" s="176"/>
      <c r="C329" s="182">
        <f>C327-C328</f>
        <v>0</v>
      </c>
      <c r="D329" s="182">
        <f t="shared" ref="D329:K329" si="52">D327-D328</f>
        <v>0</v>
      </c>
      <c r="E329" s="182">
        <f t="shared" si="52"/>
        <v>0</v>
      </c>
      <c r="F329" s="182">
        <f t="shared" si="52"/>
        <v>0</v>
      </c>
      <c r="G329" s="182">
        <f t="shared" si="52"/>
        <v>0</v>
      </c>
      <c r="H329" s="182">
        <f t="shared" si="52"/>
        <v>0</v>
      </c>
      <c r="I329" s="182">
        <f t="shared" si="52"/>
        <v>0</v>
      </c>
      <c r="J329" s="182">
        <f t="shared" si="52"/>
        <v>0</v>
      </c>
      <c r="K329" s="182">
        <f t="shared" si="52"/>
        <v>0</v>
      </c>
      <c r="L329" s="587" t="s">
        <v>1300</v>
      </c>
    </row>
    <row r="330" spans="2:12" ht="7.5" customHeight="1">
      <c r="B330" s="179"/>
      <c r="C330" s="4"/>
      <c r="D330" s="4"/>
      <c r="E330" s="4"/>
      <c r="F330" s="4"/>
      <c r="G330" s="4"/>
      <c r="H330" s="4"/>
      <c r="I330" s="4"/>
      <c r="J330" s="4"/>
      <c r="K330" s="4"/>
    </row>
    <row r="331" spans="2:12" ht="15">
      <c r="B331" s="177" t="s">
        <v>1412</v>
      </c>
      <c r="C331" s="2"/>
      <c r="D331" s="2"/>
      <c r="E331" s="2"/>
      <c r="F331" s="2"/>
      <c r="G331" s="2"/>
      <c r="H331" s="2"/>
      <c r="I331" s="2"/>
      <c r="J331" s="2"/>
      <c r="K331" s="2"/>
    </row>
    <row r="332" spans="2:12" ht="20.100000000000001" customHeight="1">
      <c r="B332" s="689" t="s">
        <v>931</v>
      </c>
      <c r="C332" s="2">
        <f>'Budget Detail FY 2012-19'!N512</f>
        <v>0</v>
      </c>
      <c r="D332" s="2">
        <f>'Budget Detail FY 2012-19'!O512</f>
        <v>0</v>
      </c>
      <c r="E332" s="2">
        <f>'Budget Detail FY 2012-19'!P512</f>
        <v>0</v>
      </c>
      <c r="F332" s="2">
        <f>'Budget Detail FY 2012-19'!Q512</f>
        <v>0</v>
      </c>
      <c r="G332" s="2">
        <f>'Budget Detail FY 2012-19'!R512</f>
        <v>0</v>
      </c>
      <c r="H332" s="2">
        <f>'Budget Detail FY 2012-19'!S512</f>
        <v>0</v>
      </c>
      <c r="I332" s="2">
        <f>'Budget Detail FY 2012-19'!T512</f>
        <v>0</v>
      </c>
      <c r="J332" s="2">
        <f>'Budget Detail FY 2012-19'!U512</f>
        <v>0</v>
      </c>
      <c r="K332" s="2">
        <f>'Budget Detail FY 2012-19'!V512</f>
        <v>0</v>
      </c>
    </row>
    <row r="333" spans="2:12" ht="20.100000000000001" customHeight="1">
      <c r="B333" s="689" t="s">
        <v>933</v>
      </c>
      <c r="C333" s="2">
        <f>SUM('Budget Detail FY 2012-19'!N513:N516)</f>
        <v>0</v>
      </c>
      <c r="D333" s="2">
        <f>SUM('Budget Detail FY 2012-19'!O513:O516)</f>
        <v>17284</v>
      </c>
      <c r="E333" s="2">
        <f>SUM('Budget Detail FY 2012-19'!P513:P516)</f>
        <v>17000</v>
      </c>
      <c r="F333" s="2">
        <f>SUM('Budget Detail FY 2012-19'!Q513:Q516)</f>
        <v>17000</v>
      </c>
      <c r="G333" s="2">
        <f>SUM('Budget Detail FY 2012-19'!R513:R516)</f>
        <v>140000</v>
      </c>
      <c r="H333" s="2">
        <f>SUM('Budget Detail FY 2012-19'!S513:S516)</f>
        <v>17500</v>
      </c>
      <c r="I333" s="2">
        <f>SUM('Budget Detail FY 2012-19'!T513:T516)</f>
        <v>0</v>
      </c>
      <c r="J333" s="2">
        <f>SUM('Budget Detail FY 2012-19'!U513:U516)</f>
        <v>0</v>
      </c>
      <c r="K333" s="2">
        <f>SUM('Budget Detail FY 2012-19'!V513:V516)</f>
        <v>0</v>
      </c>
    </row>
    <row r="334" spans="2:12" ht="20.100000000000001" customHeight="1">
      <c r="B334" s="689" t="s">
        <v>852</v>
      </c>
      <c r="C334" s="2">
        <f>SUM('Budget Detail FY 2012-19'!N518:N519)</f>
        <v>0</v>
      </c>
      <c r="D334" s="2">
        <f>SUM('Budget Detail FY 2012-19'!O518:O519)</f>
        <v>0</v>
      </c>
      <c r="E334" s="2">
        <f>SUM('Budget Detail FY 2012-19'!P518:P519)</f>
        <v>2500</v>
      </c>
      <c r="F334" s="2">
        <f>SUM('Budget Detail FY 2012-19'!Q518:Q519)</f>
        <v>2383</v>
      </c>
      <c r="G334" s="2">
        <f>SUM('Budget Detail FY 2012-19'!R518:R519)</f>
        <v>2219</v>
      </c>
      <c r="H334" s="2">
        <f>SUM('Budget Detail FY 2012-19'!S518:S519)</f>
        <v>2219</v>
      </c>
      <c r="I334" s="2">
        <f>SUM('Budget Detail FY 2012-19'!T518:T519)</f>
        <v>2219</v>
      </c>
      <c r="J334" s="2">
        <f>SUM('Budget Detail FY 2012-19'!U518:U519)</f>
        <v>2219</v>
      </c>
      <c r="K334" s="2">
        <f>SUM('Budget Detail FY 2012-19'!V518:V519)</f>
        <v>2219</v>
      </c>
    </row>
    <row r="335" spans="2:12" ht="20.100000000000001" customHeight="1">
      <c r="B335" s="688" t="s">
        <v>935</v>
      </c>
      <c r="C335" s="2">
        <f>SUM('Budget Detail FY 2012-19'!N520:N521)</f>
        <v>3500</v>
      </c>
      <c r="D335" s="2">
        <f>SUM('Budget Detail FY 2012-19'!O520:O521)</f>
        <v>2500</v>
      </c>
      <c r="E335" s="2">
        <f>SUM('Budget Detail FY 2012-19'!P520:P521)</f>
        <v>50000</v>
      </c>
      <c r="F335" s="2">
        <f>SUM('Budget Detail FY 2012-19'!Q520:Q521)</f>
        <v>50000</v>
      </c>
      <c r="G335" s="2">
        <f>SUM('Budget Detail FY 2012-19'!R520:R521)</f>
        <v>50000</v>
      </c>
      <c r="H335" s="2">
        <f>SUM('Budget Detail FY 2012-19'!S520:S521)</f>
        <v>50000</v>
      </c>
      <c r="I335" s="2">
        <f>SUM('Budget Detail FY 2012-19'!T520:T521)</f>
        <v>0</v>
      </c>
      <c r="J335" s="2">
        <f>SUM('Budget Detail FY 2012-19'!U520:U521)</f>
        <v>0</v>
      </c>
      <c r="K335" s="2">
        <f>SUM('Budget Detail FY 2012-19'!V520:V521)</f>
        <v>0</v>
      </c>
    </row>
    <row r="336" spans="2:12" ht="20.100000000000001" customHeight="1" thickBot="1">
      <c r="B336" s="172" t="s">
        <v>1165</v>
      </c>
      <c r="C336" s="197">
        <f>SUM(C332:C335)</f>
        <v>3500</v>
      </c>
      <c r="D336" s="197">
        <f t="shared" ref="D336:K336" si="53">SUM(D332:D335)</f>
        <v>19784</v>
      </c>
      <c r="E336" s="197">
        <f t="shared" si="53"/>
        <v>69500</v>
      </c>
      <c r="F336" s="197">
        <f t="shared" si="53"/>
        <v>69383</v>
      </c>
      <c r="G336" s="197">
        <f t="shared" si="53"/>
        <v>192219</v>
      </c>
      <c r="H336" s="197">
        <f t="shared" si="53"/>
        <v>69719</v>
      </c>
      <c r="I336" s="197">
        <f t="shared" si="53"/>
        <v>2219</v>
      </c>
      <c r="J336" s="197">
        <f t="shared" si="53"/>
        <v>2219</v>
      </c>
      <c r="K336" s="197">
        <f t="shared" si="53"/>
        <v>2219</v>
      </c>
      <c r="L336" s="173"/>
    </row>
    <row r="337" spans="2:12" s="173" customFormat="1" ht="15" hidden="1">
      <c r="B337" s="174"/>
      <c r="C337" s="146">
        <f>'Budget Detail FY 2012-19'!N522</f>
        <v>3500</v>
      </c>
      <c r="D337" s="146">
        <f>'Budget Detail FY 2012-19'!O522</f>
        <v>19784</v>
      </c>
      <c r="E337" s="146">
        <f>'Budget Detail FY 2012-19'!P522</f>
        <v>69500</v>
      </c>
      <c r="F337" s="146">
        <f>'Budget Detail FY 2012-19'!Q522</f>
        <v>69383</v>
      </c>
      <c r="G337" s="146">
        <f>'Budget Detail FY 2012-19'!R522</f>
        <v>192219</v>
      </c>
      <c r="H337" s="146">
        <f>'Budget Detail FY 2012-19'!S522</f>
        <v>69719</v>
      </c>
      <c r="I337" s="146">
        <f>'Budget Detail FY 2012-19'!T522</f>
        <v>2219</v>
      </c>
      <c r="J337" s="146">
        <f>'Budget Detail FY 2012-19'!U522</f>
        <v>2219</v>
      </c>
      <c r="K337" s="146">
        <f>'Budget Detail FY 2012-19'!V522</f>
        <v>2219</v>
      </c>
      <c r="L337" s="586" t="s">
        <v>1299</v>
      </c>
    </row>
    <row r="338" spans="2:12" s="175" customFormat="1" ht="15" hidden="1">
      <c r="B338" s="176"/>
      <c r="C338" s="182">
        <f>C336-C337</f>
        <v>0</v>
      </c>
      <c r="D338" s="182">
        <f t="shared" ref="D338:J338" si="54">D336-D337</f>
        <v>0</v>
      </c>
      <c r="E338" s="182">
        <f t="shared" si="54"/>
        <v>0</v>
      </c>
      <c r="F338" s="182">
        <f t="shared" si="54"/>
        <v>0</v>
      </c>
      <c r="G338" s="182">
        <f>G336-G337</f>
        <v>0</v>
      </c>
      <c r="H338" s="182">
        <f t="shared" si="54"/>
        <v>0</v>
      </c>
      <c r="I338" s="182">
        <f t="shared" si="54"/>
        <v>0</v>
      </c>
      <c r="J338" s="182">
        <f t="shared" si="54"/>
        <v>0</v>
      </c>
      <c r="K338" s="182">
        <f>K336-K337</f>
        <v>0</v>
      </c>
      <c r="L338" s="587" t="s">
        <v>1300</v>
      </c>
    </row>
    <row r="339" spans="2:12" ht="7.5" customHeight="1">
      <c r="B339" s="179"/>
      <c r="C339" s="4"/>
      <c r="D339" s="4"/>
      <c r="E339" s="4"/>
      <c r="F339" s="4"/>
      <c r="G339" s="4"/>
      <c r="H339" s="4"/>
      <c r="I339" s="4"/>
      <c r="J339" s="4"/>
      <c r="K339" s="4"/>
    </row>
    <row r="340" spans="2:12" ht="20.100000000000001" customHeight="1" thickBot="1">
      <c r="B340" s="172" t="s">
        <v>936</v>
      </c>
      <c r="C340" s="169">
        <f>C318+C327+C336</f>
        <v>98518</v>
      </c>
      <c r="D340" s="169">
        <f t="shared" ref="D340:K340" si="55">D318+D327+D336</f>
        <v>291163</v>
      </c>
      <c r="E340" s="169">
        <f t="shared" si="55"/>
        <v>347462</v>
      </c>
      <c r="F340" s="169">
        <f t="shared" si="55"/>
        <v>337293</v>
      </c>
      <c r="G340" s="169">
        <f t="shared" si="55"/>
        <v>559202</v>
      </c>
      <c r="H340" s="169">
        <f t="shared" si="55"/>
        <v>274201</v>
      </c>
      <c r="I340" s="169">
        <f t="shared" si="55"/>
        <v>174201</v>
      </c>
      <c r="J340" s="169">
        <f t="shared" si="55"/>
        <v>174201</v>
      </c>
      <c r="K340" s="169">
        <f t="shared" si="55"/>
        <v>174201</v>
      </c>
      <c r="L340" s="173"/>
    </row>
    <row r="341" spans="2:12" s="173" customFormat="1" ht="15" hidden="1">
      <c r="B341" s="174"/>
      <c r="C341" s="146">
        <f>'Budget Detail FY 2012-19'!N524</f>
        <v>98518</v>
      </c>
      <c r="D341" s="146">
        <f>'Budget Detail FY 2012-19'!O524</f>
        <v>291163</v>
      </c>
      <c r="E341" s="146">
        <f>'Budget Detail FY 2012-19'!P524</f>
        <v>347462</v>
      </c>
      <c r="F341" s="146">
        <f>'Budget Detail FY 2012-19'!Q524</f>
        <v>337293</v>
      </c>
      <c r="G341" s="146">
        <f>'Budget Detail FY 2012-19'!R524</f>
        <v>559202</v>
      </c>
      <c r="H341" s="146">
        <f>'Budget Detail FY 2012-19'!S524</f>
        <v>274201</v>
      </c>
      <c r="I341" s="146">
        <f>'Budget Detail FY 2012-19'!T524</f>
        <v>174201</v>
      </c>
      <c r="J341" s="146">
        <f>'Budget Detail FY 2012-19'!U524</f>
        <v>174201</v>
      </c>
      <c r="K341" s="146">
        <f>'Budget Detail FY 2012-19'!V524</f>
        <v>174201</v>
      </c>
      <c r="L341" s="586" t="s">
        <v>1299</v>
      </c>
    </row>
    <row r="342" spans="2:12" s="175" customFormat="1" ht="14.25" hidden="1">
      <c r="B342" s="176"/>
      <c r="C342" s="147">
        <f>C340-C341</f>
        <v>0</v>
      </c>
      <c r="D342" s="147">
        <f t="shared" ref="D342:K342" si="56">D340-D341</f>
        <v>0</v>
      </c>
      <c r="E342" s="147">
        <f t="shared" si="56"/>
        <v>0</v>
      </c>
      <c r="F342" s="147">
        <f t="shared" si="56"/>
        <v>0</v>
      </c>
      <c r="G342" s="147">
        <f t="shared" si="56"/>
        <v>0</v>
      </c>
      <c r="H342" s="147">
        <f t="shared" si="56"/>
        <v>0</v>
      </c>
      <c r="I342" s="147">
        <f t="shared" si="56"/>
        <v>0</v>
      </c>
      <c r="J342" s="147">
        <f t="shared" si="56"/>
        <v>0</v>
      </c>
      <c r="K342" s="147">
        <f t="shared" si="56"/>
        <v>0</v>
      </c>
      <c r="L342" s="587" t="s">
        <v>1300</v>
      </c>
    </row>
    <row r="343" spans="2:12" ht="7.5" customHeight="1">
      <c r="B343" s="179"/>
      <c r="C343" s="4"/>
      <c r="D343" s="4"/>
      <c r="E343" s="4"/>
      <c r="F343" s="4"/>
      <c r="G343" s="4"/>
      <c r="H343" s="4"/>
      <c r="I343" s="4"/>
      <c r="J343" s="4"/>
      <c r="K343" s="4"/>
    </row>
    <row r="344" spans="2:12" ht="20.100000000000001" customHeight="1">
      <c r="B344" s="691" t="s">
        <v>937</v>
      </c>
      <c r="C344" s="3">
        <f t="shared" ref="C344:K344" si="57">C311-C340</f>
        <v>-538</v>
      </c>
      <c r="D344" s="3">
        <f t="shared" si="57"/>
        <v>-179007</v>
      </c>
      <c r="E344" s="3">
        <f t="shared" si="57"/>
        <v>-87712</v>
      </c>
      <c r="F344" s="3">
        <f t="shared" si="57"/>
        <v>-50939</v>
      </c>
      <c r="G344" s="3">
        <f t="shared" si="57"/>
        <v>-124649</v>
      </c>
      <c r="H344" s="3">
        <f t="shared" si="57"/>
        <v>0</v>
      </c>
      <c r="I344" s="3">
        <f t="shared" si="57"/>
        <v>506</v>
      </c>
      <c r="J344" s="3">
        <f t="shared" si="57"/>
        <v>506</v>
      </c>
      <c r="K344" s="3">
        <f t="shared" si="57"/>
        <v>506</v>
      </c>
      <c r="L344" s="173"/>
    </row>
    <row r="345" spans="2:12" s="173" customFormat="1" ht="15" hidden="1">
      <c r="B345" s="180"/>
      <c r="C345" s="146">
        <f>'Budget Detail FY 2012-19'!N526</f>
        <v>-538</v>
      </c>
      <c r="D345" s="146">
        <f>'Budget Detail FY 2012-19'!O526</f>
        <v>-179007</v>
      </c>
      <c r="E345" s="146">
        <f>'Budget Detail FY 2012-19'!P526</f>
        <v>-87712</v>
      </c>
      <c r="F345" s="146">
        <f>'Budget Detail FY 2012-19'!Q526</f>
        <v>-50939</v>
      </c>
      <c r="G345" s="146">
        <f>'Budget Detail FY 2012-19'!R526</f>
        <v>-124649</v>
      </c>
      <c r="H345" s="146">
        <f>'Budget Detail FY 2012-19'!S526</f>
        <v>0</v>
      </c>
      <c r="I345" s="146">
        <f>'Budget Detail FY 2012-19'!T526</f>
        <v>506</v>
      </c>
      <c r="J345" s="146">
        <f>'Budget Detail FY 2012-19'!U526</f>
        <v>506</v>
      </c>
      <c r="K345" s="146">
        <f>'Budget Detail FY 2012-19'!V526</f>
        <v>506</v>
      </c>
      <c r="L345" s="586" t="s">
        <v>1299</v>
      </c>
    </row>
    <row r="346" spans="2:12" s="175" customFormat="1" ht="15" hidden="1">
      <c r="B346" s="181"/>
      <c r="C346" s="190">
        <f>C344-C345</f>
        <v>0</v>
      </c>
      <c r="D346" s="190">
        <f t="shared" ref="D346:K346" si="58">D344-D345</f>
        <v>0</v>
      </c>
      <c r="E346" s="190">
        <f t="shared" si="58"/>
        <v>0</v>
      </c>
      <c r="F346" s="190">
        <f t="shared" si="58"/>
        <v>0</v>
      </c>
      <c r="G346" s="190">
        <f t="shared" si="58"/>
        <v>0</v>
      </c>
      <c r="H346" s="190">
        <f t="shared" si="58"/>
        <v>0</v>
      </c>
      <c r="I346" s="190">
        <f t="shared" si="58"/>
        <v>0</v>
      </c>
      <c r="J346" s="190">
        <f t="shared" si="58"/>
        <v>0</v>
      </c>
      <c r="K346" s="190">
        <f t="shared" si="58"/>
        <v>0</v>
      </c>
      <c r="L346" s="587" t="s">
        <v>1300</v>
      </c>
    </row>
    <row r="347" spans="2:12" ht="7.5" customHeight="1">
      <c r="B347" s="193"/>
      <c r="C347" s="120"/>
      <c r="D347" s="120"/>
      <c r="E347" s="120"/>
      <c r="F347" s="120"/>
      <c r="G347" s="120"/>
      <c r="H347" s="120"/>
      <c r="I347" s="120"/>
      <c r="J347" s="120"/>
      <c r="K347" s="120"/>
    </row>
    <row r="348" spans="2:12" ht="15">
      <c r="B348" s="194" t="s">
        <v>1162</v>
      </c>
      <c r="C348" s="107">
        <f>'Budget Detail FY 2012-19'!N528</f>
        <v>229238</v>
      </c>
      <c r="D348" s="107">
        <v>106687</v>
      </c>
      <c r="E348" s="107">
        <f>'Budget Detail FY 2012-19'!P528</f>
        <v>22635</v>
      </c>
      <c r="F348" s="107">
        <f>'Budget Detail FY 2012-19'!Q528</f>
        <v>50859</v>
      </c>
      <c r="G348" s="107">
        <f>'Budget Detail FY 2012-19'!R528</f>
        <v>0</v>
      </c>
      <c r="H348" s="107">
        <f>'Budget Detail FY 2012-19'!S528</f>
        <v>0</v>
      </c>
      <c r="I348" s="107">
        <f>'Budget Detail FY 2012-19'!T528</f>
        <v>0</v>
      </c>
      <c r="J348" s="107">
        <f>'Budget Detail FY 2012-19'!U528</f>
        <v>0</v>
      </c>
      <c r="K348" s="107">
        <f>'Budget Detail FY 2012-19'!V528</f>
        <v>0</v>
      </c>
      <c r="L348" s="173"/>
    </row>
    <row r="349" spans="2:12" s="173" customFormat="1" ht="15" hidden="1">
      <c r="B349" s="195"/>
      <c r="C349" s="146">
        <f>'Budget Detail FY 2012-19'!N528</f>
        <v>229238</v>
      </c>
      <c r="D349" s="146">
        <f>'Budget Detail FY 2012-19'!O528</f>
        <v>106687</v>
      </c>
      <c r="E349" s="146">
        <f>'Budget Detail FY 2012-19'!P528</f>
        <v>22635</v>
      </c>
      <c r="F349" s="146">
        <f>'Budget Detail FY 2012-19'!Q528</f>
        <v>50859</v>
      </c>
      <c r="G349" s="146">
        <f>'Budget Detail FY 2012-19'!R528</f>
        <v>0</v>
      </c>
      <c r="H349" s="146">
        <f>'Budget Detail FY 2012-19'!S528</f>
        <v>0</v>
      </c>
      <c r="I349" s="146">
        <f>'Budget Detail FY 2012-19'!T528</f>
        <v>0</v>
      </c>
      <c r="J349" s="146">
        <f>'Budget Detail FY 2012-19'!U528</f>
        <v>0</v>
      </c>
      <c r="K349" s="146">
        <f>'Budget Detail FY 2012-19'!V528</f>
        <v>0</v>
      </c>
      <c r="L349" s="586" t="s">
        <v>1299</v>
      </c>
    </row>
    <row r="350" spans="2:12" s="175" customFormat="1" ht="15" hidden="1">
      <c r="B350" s="196"/>
      <c r="C350" s="182">
        <f>C348-C349</f>
        <v>0</v>
      </c>
      <c r="D350" s="182">
        <f t="shared" ref="D350:K350" si="59">D348-D349</f>
        <v>0</v>
      </c>
      <c r="E350" s="182">
        <f t="shared" si="59"/>
        <v>0</v>
      </c>
      <c r="F350" s="182">
        <f t="shared" si="59"/>
        <v>0</v>
      </c>
      <c r="G350" s="182">
        <f t="shared" si="59"/>
        <v>0</v>
      </c>
      <c r="H350" s="182">
        <f t="shared" si="59"/>
        <v>0</v>
      </c>
      <c r="I350" s="182">
        <f t="shared" si="59"/>
        <v>0</v>
      </c>
      <c r="J350" s="182">
        <f t="shared" si="59"/>
        <v>0</v>
      </c>
      <c r="K350" s="182">
        <f t="shared" si="59"/>
        <v>0</v>
      </c>
      <c r="L350" s="587" t="s">
        <v>1300</v>
      </c>
    </row>
    <row r="351" spans="2:12" ht="7.5" customHeight="1">
      <c r="B351" s="194"/>
      <c r="C351" s="107"/>
      <c r="D351" s="107"/>
      <c r="E351" s="107"/>
      <c r="F351" s="107"/>
      <c r="G351" s="107"/>
      <c r="H351" s="107"/>
      <c r="I351" s="107"/>
      <c r="J351" s="107"/>
      <c r="K351" s="107"/>
    </row>
    <row r="352" spans="2:12" ht="15">
      <c r="B352" s="194" t="s">
        <v>1163</v>
      </c>
      <c r="C352" s="107">
        <f>'Budget Detail FY 2012-19'!N530</f>
        <v>62884</v>
      </c>
      <c r="D352" s="107">
        <v>22399</v>
      </c>
      <c r="E352" s="107">
        <f>'Budget Detail FY 2012-19'!P530</f>
        <v>20000</v>
      </c>
      <c r="F352" s="107">
        <f>'Budget Detail FY 2012-19'!Q530</f>
        <v>43946</v>
      </c>
      <c r="G352" s="107">
        <f>'Budget Detail FY 2012-19'!R530</f>
        <v>0</v>
      </c>
      <c r="H352" s="107">
        <f>'Budget Detail FY 2012-19'!S530</f>
        <v>0</v>
      </c>
      <c r="I352" s="107">
        <f>'Budget Detail FY 2012-19'!T530</f>
        <v>0</v>
      </c>
      <c r="J352" s="107">
        <f>'Budget Detail FY 2012-19'!U530</f>
        <v>0</v>
      </c>
      <c r="K352" s="107">
        <f>'Budget Detail FY 2012-19'!V530</f>
        <v>0</v>
      </c>
      <c r="L352" s="173"/>
    </row>
    <row r="353" spans="2:12" s="173" customFormat="1" ht="15" hidden="1">
      <c r="B353" s="195"/>
      <c r="C353" s="146">
        <f>'Budget Detail FY 2012-19'!N530</f>
        <v>62884</v>
      </c>
      <c r="D353" s="146">
        <f>'Budget Detail FY 2012-19'!O530</f>
        <v>22399</v>
      </c>
      <c r="E353" s="146">
        <f>'Budget Detail FY 2012-19'!P530</f>
        <v>20000</v>
      </c>
      <c r="F353" s="146">
        <f>'Budget Detail FY 2012-19'!Q530</f>
        <v>43946</v>
      </c>
      <c r="G353" s="146">
        <f>'Budget Detail FY 2012-19'!R530</f>
        <v>0</v>
      </c>
      <c r="H353" s="146">
        <f>'Budget Detail FY 2012-19'!S530</f>
        <v>0</v>
      </c>
      <c r="I353" s="146">
        <f>'Budget Detail FY 2012-19'!T530</f>
        <v>0</v>
      </c>
      <c r="J353" s="146">
        <f>'Budget Detail FY 2012-19'!U530</f>
        <v>0</v>
      </c>
      <c r="K353" s="146">
        <f>'Budget Detail FY 2012-19'!V530</f>
        <v>0</v>
      </c>
      <c r="L353" s="586" t="s">
        <v>1299</v>
      </c>
    </row>
    <row r="354" spans="2:12" s="175" customFormat="1" ht="15" hidden="1">
      <c r="B354" s="196"/>
      <c r="C354" s="182">
        <f>C352-C353</f>
        <v>0</v>
      </c>
      <c r="D354" s="182">
        <f t="shared" ref="D354:K354" si="60">D352-D353</f>
        <v>0</v>
      </c>
      <c r="E354" s="182">
        <f t="shared" si="60"/>
        <v>0</v>
      </c>
      <c r="F354" s="182">
        <f t="shared" si="60"/>
        <v>0</v>
      </c>
      <c r="G354" s="182">
        <f t="shared" si="60"/>
        <v>0</v>
      </c>
      <c r="H354" s="182">
        <f t="shared" si="60"/>
        <v>0</v>
      </c>
      <c r="I354" s="182">
        <f t="shared" si="60"/>
        <v>0</v>
      </c>
      <c r="J354" s="182">
        <f t="shared" si="60"/>
        <v>0</v>
      </c>
      <c r="K354" s="182">
        <f t="shared" si="60"/>
        <v>0</v>
      </c>
      <c r="L354" s="587" t="s">
        <v>1300</v>
      </c>
    </row>
    <row r="355" spans="2:12" ht="7.5" customHeight="1">
      <c r="B355" s="194"/>
      <c r="C355" s="107"/>
      <c r="D355" s="107"/>
      <c r="E355" s="107"/>
      <c r="F355" s="107"/>
      <c r="G355" s="107"/>
      <c r="H355" s="107"/>
      <c r="I355" s="107"/>
      <c r="J355" s="107"/>
      <c r="K355" s="107"/>
    </row>
    <row r="356" spans="2:12" ht="15">
      <c r="B356" s="194" t="s">
        <v>1413</v>
      </c>
      <c r="C356" s="107">
        <f>'Budget Detail FY 2012-19'!N532</f>
        <v>62473</v>
      </c>
      <c r="D356" s="107">
        <v>46502</v>
      </c>
      <c r="E356" s="107">
        <f>'Budget Detail FY 2012-19'!P532</f>
        <v>73923</v>
      </c>
      <c r="F356" s="107">
        <f>'Budget Detail FY 2012-19'!Q532</f>
        <v>29844</v>
      </c>
      <c r="G356" s="107">
        <f>'Budget Detail FY 2012-19'!R532</f>
        <v>0</v>
      </c>
      <c r="H356" s="107">
        <f>'Budget Detail FY 2012-19'!S532</f>
        <v>0</v>
      </c>
      <c r="I356" s="107">
        <f>'Budget Detail FY 2012-19'!T532</f>
        <v>506</v>
      </c>
      <c r="J356" s="107">
        <f>'Budget Detail FY 2012-19'!U532</f>
        <v>1012</v>
      </c>
      <c r="K356" s="107">
        <f>'Budget Detail FY 2012-19'!V532</f>
        <v>1518</v>
      </c>
      <c r="L356" s="173"/>
    </row>
    <row r="357" spans="2:12" s="173" customFormat="1" ht="15" hidden="1">
      <c r="B357" s="195"/>
      <c r="C357" s="146">
        <f>'Budget Detail FY 2012-19'!N532</f>
        <v>62473</v>
      </c>
      <c r="D357" s="146">
        <f>'Budget Detail FY 2012-19'!O532</f>
        <v>46502</v>
      </c>
      <c r="E357" s="146">
        <f>'Budget Detail FY 2012-19'!P532</f>
        <v>73923</v>
      </c>
      <c r="F357" s="146">
        <f>'Budget Detail FY 2012-19'!Q532</f>
        <v>29844</v>
      </c>
      <c r="G357" s="146">
        <f>'Budget Detail FY 2012-19'!R532</f>
        <v>0</v>
      </c>
      <c r="H357" s="146">
        <f>'Budget Detail FY 2012-19'!S532</f>
        <v>0</v>
      </c>
      <c r="I357" s="146">
        <f>'Budget Detail FY 2012-19'!T532</f>
        <v>506</v>
      </c>
      <c r="J357" s="146">
        <f>'Budget Detail FY 2012-19'!U532</f>
        <v>1012</v>
      </c>
      <c r="K357" s="146">
        <f>'Budget Detail FY 2012-19'!V532</f>
        <v>1518</v>
      </c>
      <c r="L357" s="586" t="s">
        <v>1299</v>
      </c>
    </row>
    <row r="358" spans="2:12" s="175" customFormat="1" ht="15" hidden="1">
      <c r="B358" s="196"/>
      <c r="C358" s="182">
        <f>C356-C357</f>
        <v>0</v>
      </c>
      <c r="D358" s="182">
        <f t="shared" ref="D358:K358" si="61">D356-D357</f>
        <v>0</v>
      </c>
      <c r="E358" s="182">
        <f t="shared" si="61"/>
        <v>0</v>
      </c>
      <c r="F358" s="182">
        <f t="shared" si="61"/>
        <v>0</v>
      </c>
      <c r="G358" s="182">
        <f t="shared" si="61"/>
        <v>0</v>
      </c>
      <c r="H358" s="182">
        <f t="shared" si="61"/>
        <v>0</v>
      </c>
      <c r="I358" s="182">
        <f t="shared" si="61"/>
        <v>0</v>
      </c>
      <c r="J358" s="182">
        <f t="shared" si="61"/>
        <v>0</v>
      </c>
      <c r="K358" s="182">
        <f t="shared" si="61"/>
        <v>0</v>
      </c>
      <c r="L358" s="587" t="s">
        <v>1300</v>
      </c>
    </row>
    <row r="359" spans="2:12" ht="7.5" customHeight="1">
      <c r="B359" s="194"/>
      <c r="C359" s="107"/>
      <c r="D359" s="107"/>
      <c r="E359" s="107"/>
      <c r="F359" s="107"/>
      <c r="G359" s="107"/>
      <c r="H359" s="107"/>
      <c r="I359" s="107"/>
      <c r="J359" s="107"/>
      <c r="K359" s="107"/>
    </row>
    <row r="360" spans="2:12" ht="15" thickBot="1">
      <c r="B360" s="171" t="s">
        <v>938</v>
      </c>
      <c r="C360" s="91">
        <v>354595</v>
      </c>
      <c r="D360" s="91">
        <v>175588</v>
      </c>
      <c r="E360" s="91">
        <v>116558</v>
      </c>
      <c r="F360" s="91">
        <f>D360+F344</f>
        <v>124649</v>
      </c>
      <c r="G360" s="91">
        <f>F360+G344</f>
        <v>0</v>
      </c>
      <c r="H360" s="91">
        <f>G360+H344</f>
        <v>0</v>
      </c>
      <c r="I360" s="91">
        <f>H360+I344</f>
        <v>506</v>
      </c>
      <c r="J360" s="91">
        <f>I360+J344</f>
        <v>1012</v>
      </c>
      <c r="K360" s="91">
        <f>J360+K344</f>
        <v>1518</v>
      </c>
      <c r="L360" s="173"/>
    </row>
    <row r="361" spans="2:12" s="173" customFormat="1" ht="15.75" hidden="1" thickTop="1">
      <c r="B361" s="174"/>
      <c r="C361" s="146">
        <f>'Budget Detail FY 2012-19'!N534</f>
        <v>354595</v>
      </c>
      <c r="D361" s="146">
        <f>'Budget Detail FY 2012-19'!O534</f>
        <v>175588</v>
      </c>
      <c r="E361" s="146">
        <f>'Budget Detail FY 2012-19'!P534</f>
        <v>116558</v>
      </c>
      <c r="F361" s="146">
        <f>'Budget Detail FY 2012-19'!Q534</f>
        <v>124649</v>
      </c>
      <c r="G361" s="146">
        <f>'Budget Detail FY 2012-19'!R534</f>
        <v>0</v>
      </c>
      <c r="H361" s="146">
        <f>'Budget Detail FY 2012-19'!S534</f>
        <v>0</v>
      </c>
      <c r="I361" s="146">
        <f>'Budget Detail FY 2012-19'!T534</f>
        <v>506</v>
      </c>
      <c r="J361" s="146">
        <f>'Budget Detail FY 2012-19'!U534</f>
        <v>1012</v>
      </c>
      <c r="K361" s="146">
        <f>'Budget Detail FY 2012-19'!V534</f>
        <v>1518</v>
      </c>
      <c r="L361" s="586" t="s">
        <v>1299</v>
      </c>
    </row>
    <row r="362" spans="2:12" s="175" customFormat="1" ht="14.25" hidden="1">
      <c r="B362" s="176"/>
      <c r="C362" s="147">
        <f>C360-C361</f>
        <v>0</v>
      </c>
      <c r="D362" s="147">
        <f t="shared" ref="D362:K362" si="62">D360-D361</f>
        <v>0</v>
      </c>
      <c r="E362" s="147">
        <f t="shared" si="62"/>
        <v>0</v>
      </c>
      <c r="F362" s="147">
        <f t="shared" si="62"/>
        <v>0</v>
      </c>
      <c r="G362" s="147">
        <f t="shared" si="62"/>
        <v>0</v>
      </c>
      <c r="H362" s="147">
        <f t="shared" si="62"/>
        <v>0</v>
      </c>
      <c r="I362" s="147">
        <f t="shared" si="62"/>
        <v>0</v>
      </c>
      <c r="J362" s="147">
        <f t="shared" si="62"/>
        <v>0</v>
      </c>
      <c r="K362" s="147">
        <f t="shared" si="62"/>
        <v>0</v>
      </c>
      <c r="L362" s="587" t="s">
        <v>1300</v>
      </c>
    </row>
    <row r="363" spans="2:12" ht="7.5" customHeight="1" thickTop="1">
      <c r="B363" s="184"/>
      <c r="C363" s="3"/>
      <c r="D363" s="3"/>
      <c r="E363" s="3"/>
      <c r="F363" s="2"/>
      <c r="G363" s="2"/>
      <c r="H363" s="2"/>
      <c r="I363" s="2"/>
      <c r="J363" s="2"/>
      <c r="K363" s="2"/>
    </row>
    <row r="364" spans="2:12" ht="15">
      <c r="B364" s="184"/>
      <c r="C364" s="2"/>
      <c r="D364" s="2"/>
      <c r="E364" s="2"/>
      <c r="F364" s="2"/>
      <c r="G364" s="2"/>
      <c r="H364" s="2"/>
      <c r="I364" s="2"/>
      <c r="J364" s="2"/>
      <c r="K364" s="2"/>
    </row>
    <row r="365" spans="2:12" ht="15">
      <c r="B365" s="1"/>
      <c r="C365" s="2"/>
      <c r="D365" s="2"/>
      <c r="E365" s="2"/>
      <c r="F365" s="2"/>
      <c r="G365" s="2"/>
      <c r="H365" s="2"/>
      <c r="I365" s="2"/>
      <c r="J365" s="2"/>
      <c r="K365" s="2"/>
    </row>
    <row r="366" spans="2:12" ht="15">
      <c r="B366" s="1"/>
      <c r="C366" s="2"/>
      <c r="D366" s="2"/>
      <c r="E366" s="2"/>
      <c r="F366" s="2"/>
      <c r="G366" s="2"/>
      <c r="H366" s="2"/>
      <c r="I366" s="2"/>
      <c r="J366" s="2"/>
      <c r="K366" s="2"/>
    </row>
    <row r="367" spans="2:12" ht="15">
      <c r="B367" s="1"/>
      <c r="C367" s="2"/>
      <c r="D367" s="2"/>
      <c r="E367" s="2"/>
      <c r="F367" s="2"/>
      <c r="G367" s="2"/>
      <c r="H367" s="2"/>
      <c r="I367" s="2"/>
      <c r="J367" s="2"/>
      <c r="K367" s="2"/>
    </row>
    <row r="368" spans="2:12" ht="15">
      <c r="B368" s="1"/>
      <c r="C368" s="2"/>
      <c r="D368" s="2"/>
      <c r="E368" s="2"/>
      <c r="F368" s="2"/>
      <c r="G368" s="2"/>
      <c r="H368" s="2"/>
      <c r="I368" s="2"/>
      <c r="J368" s="2"/>
      <c r="K368" s="2"/>
    </row>
    <row r="369" spans="2:11" ht="15">
      <c r="B369" s="1"/>
      <c r="C369" s="2"/>
      <c r="D369" s="2"/>
      <c r="E369" s="2"/>
      <c r="F369" s="2"/>
      <c r="G369" s="2"/>
      <c r="H369" s="2"/>
      <c r="I369" s="2"/>
      <c r="J369" s="2"/>
      <c r="K369" s="2"/>
    </row>
    <row r="370" spans="2:11" ht="15">
      <c r="B370" s="1"/>
      <c r="C370" s="2"/>
      <c r="D370" s="2"/>
      <c r="E370" s="2"/>
      <c r="F370" s="2"/>
      <c r="G370" s="2"/>
      <c r="H370" s="2"/>
      <c r="I370" s="2"/>
      <c r="J370" s="2"/>
      <c r="K370" s="2"/>
    </row>
    <row r="371" spans="2:11" ht="15">
      <c r="B371" s="1"/>
      <c r="C371" s="2"/>
      <c r="D371" s="2"/>
      <c r="E371" s="2"/>
      <c r="F371" s="2"/>
      <c r="G371" s="2"/>
      <c r="H371" s="2"/>
      <c r="I371" s="2"/>
      <c r="J371" s="2"/>
      <c r="K371" s="2"/>
    </row>
    <row r="372" spans="2:11" ht="15">
      <c r="B372" s="1"/>
      <c r="C372" s="2"/>
      <c r="D372" s="2"/>
      <c r="E372" s="2"/>
      <c r="F372" s="2"/>
      <c r="G372" s="2"/>
      <c r="H372" s="2"/>
      <c r="I372" s="2"/>
      <c r="J372" s="2"/>
      <c r="K372" s="2"/>
    </row>
    <row r="373" spans="2:11" ht="15">
      <c r="B373" s="1"/>
      <c r="C373" s="2"/>
      <c r="D373" s="2"/>
      <c r="E373" s="2"/>
      <c r="F373" s="2"/>
      <c r="G373" s="2"/>
      <c r="H373" s="2"/>
      <c r="I373" s="2"/>
      <c r="J373" s="2"/>
      <c r="K373" s="2"/>
    </row>
    <row r="374" spans="2:11" ht="15">
      <c r="B374" s="1"/>
      <c r="C374" s="2"/>
      <c r="D374" s="2"/>
      <c r="E374" s="2"/>
      <c r="F374" s="2"/>
      <c r="G374" s="2"/>
      <c r="H374" s="2"/>
      <c r="I374" s="2"/>
      <c r="J374" s="2"/>
      <c r="K374" s="2"/>
    </row>
    <row r="376" spans="2:11" ht="18.75">
      <c r="B376" s="722" t="s">
        <v>946</v>
      </c>
      <c r="C376" s="722"/>
      <c r="D376" s="722"/>
      <c r="E376" s="722"/>
      <c r="F376" s="722"/>
      <c r="G376" s="722"/>
      <c r="H376" s="722"/>
      <c r="I376" s="722"/>
      <c r="J376" s="722"/>
      <c r="K376" s="722"/>
    </row>
    <row r="377" spans="2:11" ht="15">
      <c r="B377" s="72"/>
      <c r="C377" s="3"/>
      <c r="D377" s="2"/>
      <c r="E377" s="2"/>
      <c r="F377" s="2"/>
      <c r="G377" s="2"/>
      <c r="H377" s="2"/>
      <c r="I377" s="2"/>
      <c r="J377" s="2"/>
      <c r="K377" s="2"/>
    </row>
    <row r="378" spans="2:11" ht="12.75" customHeight="1">
      <c r="B378" s="715" t="s">
        <v>1304</v>
      </c>
      <c r="C378" s="715"/>
      <c r="D378" s="715"/>
      <c r="E378" s="715"/>
      <c r="F378" s="715"/>
      <c r="G378" s="715"/>
      <c r="H378" s="715"/>
      <c r="I378" s="715"/>
      <c r="J378" s="715"/>
      <c r="K378" s="715"/>
    </row>
    <row r="379" spans="2:11" ht="20.25" customHeight="1">
      <c r="B379" s="715"/>
      <c r="C379" s="715"/>
      <c r="D379" s="715"/>
      <c r="E379" s="715"/>
      <c r="F379" s="715"/>
      <c r="G379" s="715"/>
      <c r="H379" s="715"/>
      <c r="I379" s="715"/>
      <c r="J379" s="715"/>
      <c r="K379" s="715"/>
    </row>
    <row r="380" spans="2:11" ht="15">
      <c r="B380" s="686"/>
      <c r="C380" s="25"/>
      <c r="D380" s="25"/>
      <c r="E380" s="25"/>
      <c r="F380" s="25"/>
      <c r="G380" s="25"/>
      <c r="H380" s="25"/>
      <c r="I380" s="25"/>
      <c r="J380" s="25"/>
      <c r="K380" s="25"/>
    </row>
    <row r="381" spans="2:11" ht="15">
      <c r="B381" s="5"/>
      <c r="C381" s="72"/>
      <c r="D381" s="73"/>
      <c r="E381" s="72" t="s">
        <v>283</v>
      </c>
      <c r="F381" s="1"/>
      <c r="G381" s="1"/>
      <c r="H381" s="1"/>
      <c r="I381" s="1"/>
      <c r="J381" s="1"/>
      <c r="K381" s="1"/>
    </row>
    <row r="382" spans="2:11" ht="15">
      <c r="B382" s="73"/>
      <c r="C382" s="72" t="s">
        <v>229</v>
      </c>
      <c r="D382" s="96" t="s">
        <v>282</v>
      </c>
      <c r="E382" s="73" t="s">
        <v>917</v>
      </c>
      <c r="F382" s="73" t="s">
        <v>283</v>
      </c>
      <c r="G382" s="73" t="s">
        <v>298</v>
      </c>
      <c r="H382" s="73" t="s">
        <v>299</v>
      </c>
      <c r="I382" s="73" t="s">
        <v>300</v>
      </c>
      <c r="J382" s="73" t="s">
        <v>1087</v>
      </c>
      <c r="K382" s="73" t="s">
        <v>1224</v>
      </c>
    </row>
    <row r="383" spans="2:11" ht="15.75" thickBot="1">
      <c r="B383" s="188"/>
      <c r="C383" s="75" t="s">
        <v>1</v>
      </c>
      <c r="D383" s="75" t="s">
        <v>1</v>
      </c>
      <c r="E383" s="75" t="s">
        <v>871</v>
      </c>
      <c r="F383" s="75" t="s">
        <v>20</v>
      </c>
      <c r="G383" s="75" t="s">
        <v>917</v>
      </c>
      <c r="H383" s="75" t="s">
        <v>20</v>
      </c>
      <c r="I383" s="75" t="s">
        <v>20</v>
      </c>
      <c r="J383" s="75" t="s">
        <v>20</v>
      </c>
      <c r="K383" s="75" t="s">
        <v>20</v>
      </c>
    </row>
    <row r="384" spans="2:11" ht="15">
      <c r="B384" s="71"/>
      <c r="C384" s="189"/>
      <c r="D384" s="2"/>
      <c r="E384" s="2"/>
      <c r="F384" s="2"/>
      <c r="G384" s="2"/>
      <c r="H384" s="2"/>
      <c r="I384" s="2"/>
      <c r="J384" s="2"/>
      <c r="K384" s="2"/>
    </row>
    <row r="385" spans="2:12" ht="15">
      <c r="B385" s="177" t="s">
        <v>918</v>
      </c>
      <c r="C385" s="2"/>
      <c r="D385" s="2"/>
      <c r="E385" s="2"/>
      <c r="F385" s="2"/>
      <c r="G385" s="2"/>
      <c r="H385" s="2"/>
      <c r="I385" s="2"/>
      <c r="J385" s="2"/>
      <c r="K385" s="2"/>
    </row>
    <row r="386" spans="2:12" ht="20.100000000000001" customHeight="1">
      <c r="B386" s="687" t="s">
        <v>919</v>
      </c>
      <c r="C386" s="2">
        <f>'Budget Detail FY 2012-19'!N541</f>
        <v>323350</v>
      </c>
      <c r="D386" s="2">
        <f>'Budget Detail FY 2012-19'!O541</f>
        <v>324762</v>
      </c>
      <c r="E386" s="2">
        <f>'Budget Detail FY 2012-19'!P541</f>
        <v>328179</v>
      </c>
      <c r="F386" s="2">
        <f>'Budget Detail FY 2012-19'!Q541</f>
        <v>315790</v>
      </c>
      <c r="G386" s="2">
        <f>'Budget Detail FY 2012-19'!R541</f>
        <v>329579</v>
      </c>
      <c r="H386" s="2">
        <f>'Budget Detail FY 2012-19'!S541</f>
        <v>231000</v>
      </c>
      <c r="I386" s="2">
        <f>'Budget Detail FY 2012-19'!T541</f>
        <v>142500</v>
      </c>
      <c r="J386" s="2">
        <f>'Budget Detail FY 2012-19'!U541</f>
        <v>49500</v>
      </c>
      <c r="K386" s="2">
        <f>'Budget Detail FY 2012-19'!V541</f>
        <v>0</v>
      </c>
    </row>
    <row r="387" spans="2:12" ht="20.100000000000001" customHeight="1">
      <c r="B387" s="687" t="s">
        <v>921</v>
      </c>
      <c r="C387" s="2">
        <f>'Budget Detail FY 2012-19'!N542+'Budget Detail FY 2012-19'!N543</f>
        <v>1375</v>
      </c>
      <c r="D387" s="2">
        <f>'Budget Detail FY 2012-19'!O542+'Budget Detail FY 2012-19'!O543</f>
        <v>4694</v>
      </c>
      <c r="E387" s="2">
        <f>'Budget Detail FY 2012-19'!P542+'Budget Detail FY 2012-19'!P543</f>
        <v>1000</v>
      </c>
      <c r="F387" s="2">
        <f>'Budget Detail FY 2012-19'!Q542+'Budget Detail FY 2012-19'!Q543</f>
        <v>5000</v>
      </c>
      <c r="G387" s="2">
        <f>'Budget Detail FY 2012-19'!R542+'Budget Detail FY 2012-19'!R543</f>
        <v>2500</v>
      </c>
      <c r="H387" s="2">
        <f>'Budget Detail FY 2012-19'!S542+'Budget Detail FY 2012-19'!S543</f>
        <v>2500</v>
      </c>
      <c r="I387" s="2">
        <f>'Budget Detail FY 2012-19'!T542+'Budget Detail FY 2012-19'!T543</f>
        <v>2500</v>
      </c>
      <c r="J387" s="2">
        <f>'Budget Detail FY 2012-19'!U542+'Budget Detail FY 2012-19'!U543</f>
        <v>2500</v>
      </c>
      <c r="K387" s="2">
        <f>'Budget Detail FY 2012-19'!V542+'Budget Detail FY 2012-19'!V543</f>
        <v>2500</v>
      </c>
    </row>
    <row r="388" spans="2:12" ht="20.100000000000001" customHeight="1">
      <c r="B388" s="688" t="s">
        <v>924</v>
      </c>
      <c r="C388" s="2">
        <f>'Budget Detail FY 2012-19'!N544</f>
        <v>283</v>
      </c>
      <c r="D388" s="2">
        <f>'Budget Detail FY 2012-19'!O544</f>
        <v>610</v>
      </c>
      <c r="E388" s="2">
        <f>'Budget Detail FY 2012-19'!P544</f>
        <v>300</v>
      </c>
      <c r="F388" s="2">
        <f>'Budget Detail FY 2012-19'!Q544</f>
        <v>100</v>
      </c>
      <c r="G388" s="2">
        <f>'Budget Detail FY 2012-19'!R544</f>
        <v>100</v>
      </c>
      <c r="H388" s="2">
        <f>'Budget Detail FY 2012-19'!S544</f>
        <v>100</v>
      </c>
      <c r="I388" s="2">
        <f>'Budget Detail FY 2012-19'!T544</f>
        <v>100</v>
      </c>
      <c r="J388" s="2">
        <f>'Budget Detail FY 2012-19'!U544</f>
        <v>100</v>
      </c>
      <c r="K388" s="2">
        <f>'Budget Detail FY 2012-19'!V544</f>
        <v>100</v>
      </c>
    </row>
    <row r="389" spans="2:12" ht="20.100000000000001" customHeight="1">
      <c r="B389" s="688" t="s">
        <v>927</v>
      </c>
      <c r="C389" s="2">
        <f>SUM('Budget Detail FY 2012-19'!N545:N546)</f>
        <v>182517</v>
      </c>
      <c r="D389" s="2">
        <f>SUM('Budget Detail FY 2012-19'!O545:O546)</f>
        <v>99465</v>
      </c>
      <c r="E389" s="2">
        <f>SUM('Budget Detail FY 2012-19'!P545:P546)</f>
        <v>0</v>
      </c>
      <c r="F389" s="2">
        <f>SUM('Budget Detail FY 2012-19'!Q545:Q546)</f>
        <v>0</v>
      </c>
      <c r="G389" s="2">
        <f>SUM('Budget Detail FY 2012-19'!R545:R546)</f>
        <v>0</v>
      </c>
      <c r="H389" s="2">
        <f>SUM('Budget Detail FY 2012-19'!S545:S546)</f>
        <v>91547</v>
      </c>
      <c r="I389" s="2">
        <f>SUM('Budget Detail FY 2012-19'!T545:T546)</f>
        <v>191854</v>
      </c>
      <c r="J389" s="2">
        <f>SUM('Budget Detail FY 2012-19'!U545:U546)</f>
        <v>284854</v>
      </c>
      <c r="K389" s="2">
        <f>SUM('Budget Detail FY 2012-19'!V545:V546)</f>
        <v>338694</v>
      </c>
    </row>
    <row r="390" spans="2:12" ht="20.100000000000001" customHeight="1" thickBot="1">
      <c r="B390" s="172" t="s">
        <v>928</v>
      </c>
      <c r="C390" s="169">
        <f t="shared" ref="C390:H390" si="63">SUM(C386:C389)</f>
        <v>507525</v>
      </c>
      <c r="D390" s="169">
        <f>SUM(D386:D389)</f>
        <v>429531</v>
      </c>
      <c r="E390" s="169">
        <f t="shared" si="63"/>
        <v>329479</v>
      </c>
      <c r="F390" s="169">
        <f t="shared" si="63"/>
        <v>320890</v>
      </c>
      <c r="G390" s="169">
        <f t="shared" si="63"/>
        <v>332179</v>
      </c>
      <c r="H390" s="169">
        <f t="shared" si="63"/>
        <v>325147</v>
      </c>
      <c r="I390" s="169">
        <f>SUM(I386:I389)</f>
        <v>336954</v>
      </c>
      <c r="J390" s="169">
        <f>SUM(J386:J389)</f>
        <v>336954</v>
      </c>
      <c r="K390" s="169">
        <f>SUM(K386:K389)</f>
        <v>341294</v>
      </c>
      <c r="L390" s="173"/>
    </row>
    <row r="391" spans="2:12" s="173" customFormat="1" ht="15" hidden="1">
      <c r="B391" s="174"/>
      <c r="C391" s="146">
        <f>'Budget Detail FY 2012-19'!N548</f>
        <v>507525</v>
      </c>
      <c r="D391" s="146">
        <f>'Budget Detail FY 2012-19'!O548</f>
        <v>429531</v>
      </c>
      <c r="E391" s="146">
        <f>'Budget Detail FY 2012-19'!P548</f>
        <v>329479</v>
      </c>
      <c r="F391" s="146">
        <f>'Budget Detail FY 2012-19'!Q548</f>
        <v>320890</v>
      </c>
      <c r="G391" s="146">
        <f>'Budget Detail FY 2012-19'!R548</f>
        <v>332179</v>
      </c>
      <c r="H391" s="146">
        <f>'Budget Detail FY 2012-19'!S548</f>
        <v>325147</v>
      </c>
      <c r="I391" s="146">
        <f>'Budget Detail FY 2012-19'!T548</f>
        <v>336954</v>
      </c>
      <c r="J391" s="146">
        <f>'Budget Detail FY 2012-19'!U548</f>
        <v>336954</v>
      </c>
      <c r="K391" s="146">
        <f>'Budget Detail FY 2012-19'!V548</f>
        <v>341294</v>
      </c>
      <c r="L391" s="586" t="s">
        <v>1299</v>
      </c>
    </row>
    <row r="392" spans="2:12" s="175" customFormat="1" ht="15" hidden="1">
      <c r="B392" s="176"/>
      <c r="C392" s="182">
        <f>C390-C391</f>
        <v>0</v>
      </c>
      <c r="D392" s="182">
        <f t="shared" ref="D392:K392" si="64">D390-D391</f>
        <v>0</v>
      </c>
      <c r="E392" s="182">
        <f t="shared" si="64"/>
        <v>0</v>
      </c>
      <c r="F392" s="182">
        <f t="shared" si="64"/>
        <v>0</v>
      </c>
      <c r="G392" s="182">
        <f t="shared" si="64"/>
        <v>0</v>
      </c>
      <c r="H392" s="182">
        <f t="shared" si="64"/>
        <v>0</v>
      </c>
      <c r="I392" s="182">
        <f t="shared" si="64"/>
        <v>0</v>
      </c>
      <c r="J392" s="182">
        <f t="shared" si="64"/>
        <v>0</v>
      </c>
      <c r="K392" s="182">
        <f t="shared" si="64"/>
        <v>0</v>
      </c>
      <c r="L392" s="587" t="s">
        <v>1300</v>
      </c>
    </row>
    <row r="393" spans="2:12" ht="15">
      <c r="B393" s="1"/>
      <c r="C393" s="2"/>
      <c r="D393" s="2"/>
      <c r="E393" s="2"/>
      <c r="F393" s="2"/>
      <c r="G393" s="2"/>
      <c r="H393" s="2"/>
      <c r="I393" s="2"/>
      <c r="J393" s="2"/>
      <c r="K393" s="2"/>
    </row>
    <row r="394" spans="2:12" ht="15">
      <c r="B394" s="177" t="s">
        <v>659</v>
      </c>
      <c r="C394" s="2"/>
      <c r="D394" s="2"/>
      <c r="E394" s="2"/>
      <c r="F394" s="2"/>
      <c r="G394" s="2"/>
      <c r="H394" s="2"/>
      <c r="I394" s="2"/>
      <c r="J394" s="2"/>
      <c r="K394" s="2"/>
    </row>
    <row r="395" spans="2:12" ht="20.100000000000001" customHeight="1">
      <c r="B395" s="689" t="s">
        <v>931</v>
      </c>
      <c r="C395" s="2">
        <f>'Budget Detail FY 2012-19'!N551+'Budget Detail FY 2012-19'!N550</f>
        <v>749</v>
      </c>
      <c r="D395" s="2">
        <f>'Budget Detail FY 2012-19'!O551+'Budget Detail FY 2012-19'!O550</f>
        <v>589</v>
      </c>
      <c r="E395" s="2">
        <f>'Budget Detail FY 2012-19'!P551+'Budget Detail FY 2012-19'!P550</f>
        <v>375</v>
      </c>
      <c r="F395" s="2">
        <f>'Budget Detail FY 2012-19'!Q551+'Budget Detail FY 2012-19'!Q550</f>
        <v>375</v>
      </c>
      <c r="G395" s="2">
        <f>'Budget Detail FY 2012-19'!R551+'Budget Detail FY 2012-19'!R550</f>
        <v>775</v>
      </c>
      <c r="H395" s="2">
        <f>'Budget Detail FY 2012-19'!S551+'Budget Detail FY 2012-19'!S550</f>
        <v>775</v>
      </c>
      <c r="I395" s="2">
        <f>'Budget Detail FY 2012-19'!T551+'Budget Detail FY 2012-19'!T550</f>
        <v>775</v>
      </c>
      <c r="J395" s="2">
        <f>'Budget Detail FY 2012-19'!U551+'Budget Detail FY 2012-19'!U550</f>
        <v>775</v>
      </c>
      <c r="K395" s="2">
        <f>'Budget Detail FY 2012-19'!V551+'Budget Detail FY 2012-19'!V550</f>
        <v>775</v>
      </c>
    </row>
    <row r="396" spans="2:12" ht="20.100000000000001" customHeight="1">
      <c r="B396" s="689" t="s">
        <v>852</v>
      </c>
      <c r="C396" s="2">
        <f>SUM('Budget Detail FY 2012-19'!N552:N560)</f>
        <v>427919</v>
      </c>
      <c r="D396" s="2">
        <f>SUM('Budget Detail FY 2012-19'!O552:O560)</f>
        <v>504407</v>
      </c>
      <c r="E396" s="2">
        <f>SUM('Budget Detail FY 2012-19'!P552:P560)</f>
        <v>328179</v>
      </c>
      <c r="F396" s="2">
        <f>SUM('Budget Detail FY 2012-19'!Q552:Q560)</f>
        <v>328179</v>
      </c>
      <c r="G396" s="2">
        <f>SUM('Budget Detail FY 2012-19'!R552:R560)</f>
        <v>329579</v>
      </c>
      <c r="H396" s="2">
        <f>SUM('Budget Detail FY 2012-19'!S552:S560)</f>
        <v>330579</v>
      </c>
      <c r="I396" s="2">
        <f>SUM('Budget Detail FY 2012-19'!T552:T560)</f>
        <v>336179</v>
      </c>
      <c r="J396" s="2">
        <f>SUM('Budget Detail FY 2012-19'!U552:U560)</f>
        <v>336179</v>
      </c>
      <c r="K396" s="2">
        <f>SUM('Budget Detail FY 2012-19'!V552:V560)</f>
        <v>340519</v>
      </c>
    </row>
    <row r="397" spans="2:12" ht="20.100000000000001" customHeight="1" thickBot="1">
      <c r="B397" s="172" t="s">
        <v>936</v>
      </c>
      <c r="C397" s="169">
        <f t="shared" ref="C397:J397" si="65">SUM(C395:C396)</f>
        <v>428668</v>
      </c>
      <c r="D397" s="169">
        <f>SUM(D395:D396)</f>
        <v>504996</v>
      </c>
      <c r="E397" s="169">
        <f t="shared" si="65"/>
        <v>328554</v>
      </c>
      <c r="F397" s="169">
        <f t="shared" si="65"/>
        <v>328554</v>
      </c>
      <c r="G397" s="169">
        <f>SUM(G395:G396)</f>
        <v>330354</v>
      </c>
      <c r="H397" s="169">
        <f t="shared" si="65"/>
        <v>331354</v>
      </c>
      <c r="I397" s="169">
        <f t="shared" si="65"/>
        <v>336954</v>
      </c>
      <c r="J397" s="169">
        <f t="shared" si="65"/>
        <v>336954</v>
      </c>
      <c r="K397" s="169">
        <f>SUM(K395:K396)</f>
        <v>341294</v>
      </c>
      <c r="L397" s="173"/>
    </row>
    <row r="398" spans="2:12" s="173" customFormat="1" ht="15" hidden="1">
      <c r="B398" s="174"/>
      <c r="C398" s="146">
        <f>'Budget Detail FY 2012-19'!N562</f>
        <v>428668</v>
      </c>
      <c r="D398" s="146">
        <f>'Budget Detail FY 2012-19'!O562</f>
        <v>504996</v>
      </c>
      <c r="E398" s="146">
        <f>'Budget Detail FY 2012-19'!P562</f>
        <v>328554</v>
      </c>
      <c r="F398" s="146">
        <f>'Budget Detail FY 2012-19'!Q562</f>
        <v>328554</v>
      </c>
      <c r="G398" s="146">
        <f>'Budget Detail FY 2012-19'!R562</f>
        <v>330354</v>
      </c>
      <c r="H398" s="146">
        <f>'Budget Detail FY 2012-19'!S562</f>
        <v>331354</v>
      </c>
      <c r="I398" s="146">
        <f>'Budget Detail FY 2012-19'!T562</f>
        <v>336954</v>
      </c>
      <c r="J398" s="146">
        <f>'Budget Detail FY 2012-19'!U562</f>
        <v>336954</v>
      </c>
      <c r="K398" s="146">
        <f>'Budget Detail FY 2012-19'!V562</f>
        <v>341294</v>
      </c>
      <c r="L398" s="586" t="s">
        <v>1299</v>
      </c>
    </row>
    <row r="399" spans="2:12" s="175" customFormat="1" ht="15" hidden="1">
      <c r="B399" s="176"/>
      <c r="C399" s="182">
        <f>C397-C398</f>
        <v>0</v>
      </c>
      <c r="D399" s="182">
        <f t="shared" ref="D399:K399" si="66">D397-D398</f>
        <v>0</v>
      </c>
      <c r="E399" s="182">
        <f t="shared" si="66"/>
        <v>0</v>
      </c>
      <c r="F399" s="182">
        <f t="shared" si="66"/>
        <v>0</v>
      </c>
      <c r="G399" s="182">
        <f t="shared" si="66"/>
        <v>0</v>
      </c>
      <c r="H399" s="182">
        <f t="shared" si="66"/>
        <v>0</v>
      </c>
      <c r="I399" s="182">
        <f t="shared" si="66"/>
        <v>0</v>
      </c>
      <c r="J399" s="182">
        <f t="shared" si="66"/>
        <v>0</v>
      </c>
      <c r="K399" s="182">
        <f t="shared" si="66"/>
        <v>0</v>
      </c>
      <c r="L399" s="587" t="s">
        <v>1300</v>
      </c>
    </row>
    <row r="400" spans="2:12" ht="15">
      <c r="B400" s="179"/>
      <c r="C400" s="3"/>
      <c r="D400" s="2"/>
      <c r="E400" s="2"/>
      <c r="F400" s="2"/>
      <c r="G400" s="2"/>
      <c r="H400" s="2"/>
      <c r="I400" s="2"/>
      <c r="J400" s="2"/>
      <c r="K400" s="2"/>
    </row>
    <row r="401" spans="2:12" ht="20.100000000000001" customHeight="1">
      <c r="B401" s="691" t="s">
        <v>937</v>
      </c>
      <c r="C401" s="3">
        <f t="shared" ref="C401:J401" si="67">+C390-C397</f>
        <v>78857</v>
      </c>
      <c r="D401" s="3">
        <f t="shared" si="67"/>
        <v>-75465</v>
      </c>
      <c r="E401" s="3">
        <f t="shared" si="67"/>
        <v>925</v>
      </c>
      <c r="F401" s="3">
        <f t="shared" si="67"/>
        <v>-7664</v>
      </c>
      <c r="G401" s="3">
        <f t="shared" si="67"/>
        <v>1825</v>
      </c>
      <c r="H401" s="3">
        <f t="shared" si="67"/>
        <v>-6207</v>
      </c>
      <c r="I401" s="3">
        <f t="shared" si="67"/>
        <v>0</v>
      </c>
      <c r="J401" s="3">
        <f t="shared" si="67"/>
        <v>0</v>
      </c>
      <c r="K401" s="3">
        <f>+K390-K397</f>
        <v>0</v>
      </c>
      <c r="L401" s="173"/>
    </row>
    <row r="402" spans="2:12" s="173" customFormat="1" ht="15" hidden="1">
      <c r="B402" s="180"/>
      <c r="C402" s="146">
        <f>'Budget Detail FY 2012-19'!N564</f>
        <v>78857</v>
      </c>
      <c r="D402" s="146">
        <f>'Budget Detail FY 2012-19'!O564</f>
        <v>-75465</v>
      </c>
      <c r="E402" s="146">
        <f>'Budget Detail FY 2012-19'!P564</f>
        <v>925</v>
      </c>
      <c r="F402" s="146">
        <f>'Budget Detail FY 2012-19'!Q564</f>
        <v>-7664</v>
      </c>
      <c r="G402" s="146">
        <f>'Budget Detail FY 2012-19'!R564</f>
        <v>1825</v>
      </c>
      <c r="H402" s="146">
        <f>'Budget Detail FY 2012-19'!S564</f>
        <v>-6207</v>
      </c>
      <c r="I402" s="146">
        <f>'Budget Detail FY 2012-19'!T564</f>
        <v>0</v>
      </c>
      <c r="J402" s="146">
        <f>'Budget Detail FY 2012-19'!U564</f>
        <v>0</v>
      </c>
      <c r="K402" s="146">
        <f>'Budget Detail FY 2012-19'!V564</f>
        <v>0</v>
      </c>
      <c r="L402" s="586" t="s">
        <v>1299</v>
      </c>
    </row>
    <row r="403" spans="2:12" s="175" customFormat="1" ht="15" hidden="1">
      <c r="B403" s="181"/>
      <c r="C403" s="182">
        <f>C401-C402</f>
        <v>0</v>
      </c>
      <c r="D403" s="182">
        <f t="shared" ref="D403:K403" si="68">D401-D402</f>
        <v>0</v>
      </c>
      <c r="E403" s="182">
        <f t="shared" si="68"/>
        <v>0</v>
      </c>
      <c r="F403" s="182">
        <f t="shared" si="68"/>
        <v>0</v>
      </c>
      <c r="G403" s="182">
        <f t="shared" si="68"/>
        <v>0</v>
      </c>
      <c r="H403" s="182">
        <f t="shared" si="68"/>
        <v>0</v>
      </c>
      <c r="I403" s="182">
        <f t="shared" si="68"/>
        <v>0</v>
      </c>
      <c r="J403" s="182">
        <f t="shared" si="68"/>
        <v>0</v>
      </c>
      <c r="K403" s="182">
        <f t="shared" si="68"/>
        <v>0</v>
      </c>
      <c r="L403" s="587" t="s">
        <v>1300</v>
      </c>
    </row>
    <row r="404" spans="2:12" ht="15">
      <c r="B404" s="183"/>
      <c r="C404" s="3"/>
      <c r="D404" s="2"/>
      <c r="E404" s="2"/>
      <c r="F404" s="2"/>
      <c r="G404" s="2"/>
      <c r="H404" s="2"/>
      <c r="I404" s="2"/>
      <c r="J404" s="2"/>
      <c r="K404" s="2"/>
    </row>
    <row r="405" spans="2:12" ht="20.100000000000001" customHeight="1" thickBot="1">
      <c r="B405" s="171" t="s">
        <v>938</v>
      </c>
      <c r="C405" s="91">
        <v>87510</v>
      </c>
      <c r="D405" s="91">
        <v>12046</v>
      </c>
      <c r="E405" s="91">
        <v>11611</v>
      </c>
      <c r="F405" s="91">
        <f>D405+F401</f>
        <v>4382</v>
      </c>
      <c r="G405" s="91">
        <f>F405+G401</f>
        <v>6207</v>
      </c>
      <c r="H405" s="91">
        <f>G405+H401</f>
        <v>0</v>
      </c>
      <c r="I405" s="91">
        <f>H405+I401</f>
        <v>0</v>
      </c>
      <c r="J405" s="91">
        <f>I405+J401</f>
        <v>0</v>
      </c>
      <c r="K405" s="91">
        <f>J405+K401</f>
        <v>0</v>
      </c>
      <c r="L405" s="173"/>
    </row>
    <row r="406" spans="2:12" s="173" customFormat="1" ht="15.75" hidden="1" customHeight="1" thickTop="1">
      <c r="B406" s="174"/>
      <c r="C406" s="146">
        <f>'Budget Detail FY 2012-19'!N566</f>
        <v>87510</v>
      </c>
      <c r="D406" s="146">
        <f>'Budget Detail FY 2012-19'!O566</f>
        <v>12046</v>
      </c>
      <c r="E406" s="146">
        <f>'Budget Detail FY 2012-19'!P566</f>
        <v>11611</v>
      </c>
      <c r="F406" s="146">
        <f>'Budget Detail FY 2012-19'!Q566</f>
        <v>4382</v>
      </c>
      <c r="G406" s="146">
        <f>'Budget Detail FY 2012-19'!R566</f>
        <v>6207</v>
      </c>
      <c r="H406" s="146">
        <f>'Budget Detail FY 2012-19'!S566</f>
        <v>0</v>
      </c>
      <c r="I406" s="146">
        <f>'Budget Detail FY 2012-19'!T566</f>
        <v>0</v>
      </c>
      <c r="J406" s="146">
        <f>'Budget Detail FY 2012-19'!U566</f>
        <v>0</v>
      </c>
      <c r="K406" s="146">
        <f>'Budget Detail FY 2012-19'!V566</f>
        <v>0</v>
      </c>
      <c r="L406" s="586" t="s">
        <v>1299</v>
      </c>
    </row>
    <row r="407" spans="2:12" s="175" customFormat="1" ht="15" hidden="1" customHeight="1">
      <c r="B407" s="176"/>
      <c r="C407" s="182">
        <f>C405-C406</f>
        <v>0</v>
      </c>
      <c r="D407" s="182">
        <f t="shared" ref="D407:K407" si="69">D405-D406</f>
        <v>0</v>
      </c>
      <c r="E407" s="182">
        <f t="shared" si="69"/>
        <v>0</v>
      </c>
      <c r="F407" s="182">
        <f t="shared" si="69"/>
        <v>0</v>
      </c>
      <c r="G407" s="182">
        <f t="shared" si="69"/>
        <v>0</v>
      </c>
      <c r="H407" s="182">
        <f t="shared" si="69"/>
        <v>0</v>
      </c>
      <c r="I407" s="182">
        <f t="shared" si="69"/>
        <v>0</v>
      </c>
      <c r="J407" s="182">
        <f t="shared" si="69"/>
        <v>0</v>
      </c>
      <c r="K407" s="182">
        <f t="shared" si="69"/>
        <v>0</v>
      </c>
      <c r="L407" s="587" t="s">
        <v>1300</v>
      </c>
    </row>
    <row r="408" spans="2:12" ht="15.75" thickTop="1">
      <c r="B408" s="184"/>
      <c r="C408" s="3"/>
      <c r="D408" s="3"/>
      <c r="E408" s="3"/>
      <c r="F408" s="2"/>
      <c r="G408" s="2"/>
      <c r="H408" s="2"/>
      <c r="I408" s="2"/>
      <c r="J408" s="2"/>
      <c r="K408" s="2"/>
    </row>
    <row r="409" spans="2:12" ht="15">
      <c r="B409" s="184"/>
      <c r="C409" s="2"/>
      <c r="D409" s="2"/>
      <c r="E409" s="2"/>
      <c r="F409" s="2"/>
      <c r="G409" s="2"/>
      <c r="H409" s="2"/>
      <c r="I409" s="2"/>
      <c r="J409" s="2"/>
      <c r="K409" s="2"/>
    </row>
    <row r="410" spans="2:12" ht="15">
      <c r="B410" s="1"/>
      <c r="C410" s="2"/>
      <c r="D410" s="2"/>
      <c r="E410" s="2"/>
      <c r="F410" s="2"/>
      <c r="G410" s="2"/>
      <c r="H410" s="2"/>
      <c r="I410" s="2"/>
      <c r="J410" s="2"/>
      <c r="K410" s="2"/>
    </row>
    <row r="411" spans="2:12" ht="15">
      <c r="B411" s="1"/>
      <c r="C411" s="2"/>
      <c r="D411" s="2"/>
      <c r="E411" s="2"/>
      <c r="F411" s="2"/>
      <c r="G411" s="2"/>
      <c r="H411" s="2"/>
      <c r="I411" s="2"/>
      <c r="J411" s="2"/>
      <c r="K411" s="2"/>
    </row>
    <row r="412" spans="2:12" ht="15">
      <c r="B412" s="1"/>
      <c r="C412" s="2"/>
      <c r="D412" s="2"/>
      <c r="E412" s="2"/>
      <c r="F412" s="2"/>
      <c r="G412" s="2"/>
      <c r="H412" s="2"/>
      <c r="I412" s="2"/>
      <c r="J412" s="2"/>
      <c r="K412" s="2"/>
    </row>
    <row r="413" spans="2:12" ht="15">
      <c r="B413" s="1"/>
      <c r="C413" s="2"/>
      <c r="D413" s="2"/>
      <c r="E413" s="2"/>
      <c r="F413" s="2"/>
      <c r="G413" s="2"/>
      <c r="H413" s="2"/>
      <c r="I413" s="2"/>
      <c r="J413" s="2"/>
      <c r="K413" s="2"/>
    </row>
    <row r="414" spans="2:12" ht="15">
      <c r="B414" s="1"/>
      <c r="C414" s="2"/>
      <c r="D414" s="2"/>
      <c r="E414" s="2"/>
      <c r="F414" s="2"/>
      <c r="G414" s="2"/>
      <c r="H414" s="2"/>
      <c r="I414" s="2"/>
      <c r="J414" s="2"/>
      <c r="K414" s="2"/>
    </row>
    <row r="415" spans="2:12" ht="15">
      <c r="B415" s="1"/>
      <c r="C415" s="2"/>
      <c r="D415" s="2"/>
      <c r="E415" s="2"/>
      <c r="F415" s="2"/>
      <c r="G415" s="2"/>
      <c r="H415" s="2"/>
      <c r="I415" s="2"/>
      <c r="J415" s="2"/>
      <c r="K415" s="2"/>
    </row>
    <row r="416" spans="2:12" ht="15">
      <c r="B416" s="1"/>
      <c r="C416" s="2"/>
      <c r="D416" s="2"/>
      <c r="E416" s="2"/>
      <c r="F416" s="2"/>
      <c r="G416" s="2"/>
      <c r="H416" s="2"/>
      <c r="I416" s="2"/>
      <c r="J416" s="2"/>
      <c r="K416" s="2"/>
    </row>
    <row r="417" spans="2:11" ht="15">
      <c r="B417" s="1"/>
      <c r="C417" s="2"/>
      <c r="D417" s="2"/>
      <c r="E417" s="2"/>
      <c r="F417" s="2"/>
      <c r="G417" s="2"/>
      <c r="H417" s="2"/>
      <c r="I417" s="2"/>
      <c r="J417" s="2"/>
      <c r="K417" s="2"/>
    </row>
    <row r="418" spans="2:11" ht="15">
      <c r="B418" s="1"/>
      <c r="C418" s="2"/>
      <c r="D418" s="2"/>
      <c r="E418" s="2"/>
      <c r="F418" s="2"/>
      <c r="G418" s="2"/>
      <c r="H418" s="2"/>
      <c r="I418" s="2"/>
      <c r="J418" s="2"/>
      <c r="K418" s="2"/>
    </row>
    <row r="419" spans="2:11" ht="15">
      <c r="B419" s="1"/>
      <c r="C419" s="2"/>
      <c r="D419" s="2"/>
      <c r="E419" s="2"/>
      <c r="F419" s="2"/>
      <c r="G419" s="2"/>
      <c r="H419" s="2"/>
      <c r="I419" s="2"/>
      <c r="J419" s="2"/>
      <c r="K419" s="2"/>
    </row>
    <row r="421" spans="2:11" ht="18.75">
      <c r="B421" s="722" t="s">
        <v>947</v>
      </c>
      <c r="C421" s="722"/>
      <c r="D421" s="722"/>
      <c r="E421" s="722"/>
      <c r="F421" s="722"/>
      <c r="G421" s="722"/>
      <c r="H421" s="722"/>
      <c r="I421" s="722"/>
      <c r="J421" s="722"/>
      <c r="K421" s="722"/>
    </row>
    <row r="422" spans="2:11" ht="15">
      <c r="B422" s="72"/>
      <c r="C422" s="3"/>
      <c r="D422" s="2"/>
      <c r="E422" s="2"/>
      <c r="F422" s="2"/>
      <c r="G422" s="2"/>
      <c r="H422" s="2"/>
      <c r="I422" s="2"/>
      <c r="J422" s="2"/>
      <c r="K422" s="2"/>
    </row>
    <row r="423" spans="2:11" ht="12.75" customHeight="1">
      <c r="B423" s="715" t="s">
        <v>948</v>
      </c>
      <c r="C423" s="715"/>
      <c r="D423" s="715"/>
      <c r="E423" s="715"/>
      <c r="F423" s="715"/>
      <c r="G423" s="715"/>
      <c r="H423" s="715"/>
      <c r="I423" s="715"/>
      <c r="J423" s="715"/>
      <c r="K423" s="715"/>
    </row>
    <row r="424" spans="2:11" ht="18" customHeight="1">
      <c r="B424" s="715"/>
      <c r="C424" s="715"/>
      <c r="D424" s="715"/>
      <c r="E424" s="715"/>
      <c r="F424" s="715"/>
      <c r="G424" s="715"/>
      <c r="H424" s="715"/>
      <c r="I424" s="715"/>
      <c r="J424" s="715"/>
      <c r="K424" s="715"/>
    </row>
    <row r="425" spans="2:11" ht="7.5" customHeight="1">
      <c r="B425" s="686"/>
      <c r="C425" s="25"/>
      <c r="D425" s="25"/>
      <c r="E425" s="25"/>
      <c r="F425" s="2"/>
      <c r="G425" s="2"/>
      <c r="H425" s="2"/>
      <c r="I425" s="2"/>
      <c r="J425" s="2"/>
      <c r="K425" s="2"/>
    </row>
    <row r="426" spans="2:11" ht="15">
      <c r="B426" s="5"/>
      <c r="C426" s="72"/>
      <c r="D426" s="73"/>
      <c r="E426" s="72" t="s">
        <v>283</v>
      </c>
      <c r="F426" s="1"/>
      <c r="G426" s="1"/>
      <c r="H426" s="1"/>
      <c r="I426" s="1"/>
      <c r="J426" s="1"/>
      <c r="K426" s="1"/>
    </row>
    <row r="427" spans="2:11" ht="15">
      <c r="B427" s="73"/>
      <c r="C427" s="72" t="s">
        <v>229</v>
      </c>
      <c r="D427" s="96" t="s">
        <v>282</v>
      </c>
      <c r="E427" s="73" t="s">
        <v>917</v>
      </c>
      <c r="F427" s="73" t="s">
        <v>283</v>
      </c>
      <c r="G427" s="73" t="s">
        <v>298</v>
      </c>
      <c r="H427" s="73" t="s">
        <v>299</v>
      </c>
      <c r="I427" s="73" t="s">
        <v>300</v>
      </c>
      <c r="J427" s="73" t="s">
        <v>1087</v>
      </c>
      <c r="K427" s="73" t="s">
        <v>1224</v>
      </c>
    </row>
    <row r="428" spans="2:11" ht="15.75" thickBot="1">
      <c r="B428" s="188"/>
      <c r="C428" s="75" t="s">
        <v>1</v>
      </c>
      <c r="D428" s="75" t="s">
        <v>1</v>
      </c>
      <c r="E428" s="75" t="s">
        <v>871</v>
      </c>
      <c r="F428" s="75" t="s">
        <v>20</v>
      </c>
      <c r="G428" s="75" t="s">
        <v>917</v>
      </c>
      <c r="H428" s="75" t="s">
        <v>20</v>
      </c>
      <c r="I428" s="75" t="s">
        <v>20</v>
      </c>
      <c r="J428" s="75" t="s">
        <v>20</v>
      </c>
      <c r="K428" s="75" t="s">
        <v>20</v>
      </c>
    </row>
    <row r="429" spans="2:11" ht="15">
      <c r="B429" s="71"/>
      <c r="C429" s="189"/>
      <c r="D429" s="2"/>
      <c r="E429" s="2"/>
      <c r="F429" s="2"/>
      <c r="G429" s="2"/>
      <c r="H429" s="2"/>
      <c r="I429" s="2"/>
      <c r="J429" s="2"/>
      <c r="K429" s="2"/>
    </row>
    <row r="430" spans="2:11" ht="15">
      <c r="B430" s="177" t="s">
        <v>918</v>
      </c>
      <c r="C430" s="2"/>
      <c r="D430" s="2"/>
      <c r="E430" s="2"/>
      <c r="F430" s="2"/>
      <c r="G430" s="2"/>
      <c r="H430" s="2"/>
      <c r="I430" s="2"/>
      <c r="J430" s="2"/>
      <c r="K430" s="2"/>
    </row>
    <row r="431" spans="2:11" ht="20.100000000000001" customHeight="1">
      <c r="B431" s="688" t="s">
        <v>919</v>
      </c>
      <c r="C431" s="2">
        <f>'Budget Detail FY 2012-19'!N570</f>
        <v>133524</v>
      </c>
      <c r="D431" s="2">
        <f>'Budget Detail FY 2012-19'!O570</f>
        <v>132793</v>
      </c>
      <c r="E431" s="2">
        <f>'Budget Detail FY 2012-19'!P570</f>
        <v>43027</v>
      </c>
      <c r="F431" s="2">
        <f>'Budget Detail FY 2012-19'!Q570</f>
        <v>41403</v>
      </c>
      <c r="G431" s="2">
        <f>'Budget Detail FY 2012-19'!R570</f>
        <v>5235</v>
      </c>
      <c r="H431" s="2">
        <f>'Budget Detail FY 2012-19'!S570</f>
        <v>0</v>
      </c>
      <c r="I431" s="2">
        <f>'Budget Detail FY 2012-19'!T570</f>
        <v>0</v>
      </c>
      <c r="J431" s="2">
        <f>'Budget Detail FY 2012-19'!U570</f>
        <v>0</v>
      </c>
      <c r="K431" s="2">
        <f>'Budget Detail FY 2012-19'!V570</f>
        <v>0</v>
      </c>
    </row>
    <row r="432" spans="2:11" ht="20.100000000000001" customHeight="1">
      <c r="B432" s="687" t="s">
        <v>921</v>
      </c>
      <c r="C432" s="2">
        <f>'Budget Detail FY 2012-19'!N571</f>
        <v>11970</v>
      </c>
      <c r="D432" s="2">
        <f>'Budget Detail FY 2012-19'!O571</f>
        <v>80880</v>
      </c>
      <c r="E432" s="2">
        <f>'Budget Detail FY 2012-19'!P571</f>
        <v>0</v>
      </c>
      <c r="F432" s="2">
        <f>'Budget Detail FY 2012-19'!Q571</f>
        <v>0</v>
      </c>
      <c r="G432" s="2">
        <f>'Budget Detail FY 2012-19'!R571</f>
        <v>0</v>
      </c>
      <c r="H432" s="2">
        <f>'Budget Detail FY 2012-19'!S571</f>
        <v>0</v>
      </c>
      <c r="I432" s="2">
        <f>'Budget Detail FY 2012-19'!T571</f>
        <v>0</v>
      </c>
      <c r="J432" s="2">
        <f>'Budget Detail FY 2012-19'!U571</f>
        <v>0</v>
      </c>
      <c r="K432" s="2">
        <f>'Budget Detail FY 2012-19'!V571</f>
        <v>0</v>
      </c>
    </row>
    <row r="433" spans="2:12" ht="20.100000000000001" customHeight="1">
      <c r="B433" s="688" t="s">
        <v>923</v>
      </c>
      <c r="C433" s="2">
        <f>SUM('Budget Detail FY 2012-19'!N572:N577)</f>
        <v>2584199</v>
      </c>
      <c r="D433" s="2">
        <f>SUM('Budget Detail FY 2012-19'!O572:O577)</f>
        <v>2742476</v>
      </c>
      <c r="E433" s="2">
        <f>SUM('Budget Detail FY 2012-19'!P572:P577)</f>
        <v>2458740</v>
      </c>
      <c r="F433" s="2">
        <f>SUM('Budget Detail FY 2012-19'!Q572:Q577)</f>
        <v>2317132</v>
      </c>
      <c r="G433" s="2">
        <f>SUM('Budget Detail FY 2012-19'!R572:R577)</f>
        <v>2693000</v>
      </c>
      <c r="H433" s="2">
        <f>SUM('Budget Detail FY 2012-19'!S572:S577)</f>
        <v>3012125</v>
      </c>
      <c r="I433" s="2">
        <f>SUM('Budget Detail FY 2012-19'!T572:T577)</f>
        <v>3256788</v>
      </c>
      <c r="J433" s="2">
        <f>SUM('Budget Detail FY 2012-19'!U572:U577)</f>
        <v>3256788</v>
      </c>
      <c r="K433" s="2">
        <f>SUM('Budget Detail FY 2012-19'!V572:V577)</f>
        <v>3256788</v>
      </c>
    </row>
    <row r="434" spans="2:12" ht="20.100000000000001" customHeight="1">
      <c r="B434" s="688" t="s">
        <v>924</v>
      </c>
      <c r="C434" s="2">
        <f>'Budget Detail FY 2012-19'!N578</f>
        <v>282</v>
      </c>
      <c r="D434" s="2">
        <f>'Budget Detail FY 2012-19'!O578</f>
        <v>2203</v>
      </c>
      <c r="E434" s="2">
        <f>'Budget Detail FY 2012-19'!P578</f>
        <v>2000</v>
      </c>
      <c r="F434" s="2">
        <f>'Budget Detail FY 2012-19'!Q578</f>
        <v>2200</v>
      </c>
      <c r="G434" s="2">
        <f>'Budget Detail FY 2012-19'!R578</f>
        <v>2200</v>
      </c>
      <c r="H434" s="2">
        <f>'Budget Detail FY 2012-19'!S578</f>
        <v>1000</v>
      </c>
      <c r="I434" s="2">
        <f>'Budget Detail FY 2012-19'!T578</f>
        <v>1000</v>
      </c>
      <c r="J434" s="2">
        <f>'Budget Detail FY 2012-19'!U578</f>
        <v>1000</v>
      </c>
      <c r="K434" s="2">
        <f>'Budget Detail FY 2012-19'!V578</f>
        <v>1000</v>
      </c>
    </row>
    <row r="435" spans="2:12" ht="20.100000000000001" customHeight="1">
      <c r="B435" s="688" t="s">
        <v>925</v>
      </c>
      <c r="C435" s="2">
        <f>SUM('Budget Detail FY 2012-19'!N579:N581)</f>
        <v>1771</v>
      </c>
      <c r="D435" s="2">
        <f>SUM('Budget Detail FY 2012-19'!O579:O581)</f>
        <v>10476</v>
      </c>
      <c r="E435" s="2">
        <f>SUM('Budget Detail FY 2012-19'!P579:P581)</f>
        <v>0</v>
      </c>
      <c r="F435" s="2">
        <f>SUM('Budget Detail FY 2012-19'!Q579:Q581)</f>
        <v>6064</v>
      </c>
      <c r="G435" s="2">
        <f>SUM('Budget Detail FY 2012-19'!R579:R581)</f>
        <v>0</v>
      </c>
      <c r="H435" s="2">
        <f>SUM('Budget Detail FY 2012-19'!S579:S581)</f>
        <v>0</v>
      </c>
      <c r="I435" s="2">
        <f>SUM('Budget Detail FY 2012-19'!T579:T581)</f>
        <v>0</v>
      </c>
      <c r="J435" s="2">
        <f>SUM('Budget Detail FY 2012-19'!U579:U581)</f>
        <v>0</v>
      </c>
      <c r="K435" s="2">
        <f>SUM('Budget Detail FY 2012-19'!V579:V581)</f>
        <v>0</v>
      </c>
    </row>
    <row r="436" spans="2:12" ht="20.100000000000001" customHeight="1">
      <c r="B436" s="688" t="s">
        <v>926</v>
      </c>
      <c r="C436" s="2">
        <f>SUM('Budget Detail FY 2012-19'!N582:N583)</f>
        <v>39589</v>
      </c>
      <c r="D436" s="2">
        <f>SUM('Budget Detail FY 2012-19'!O582:O583)</f>
        <v>53223</v>
      </c>
      <c r="E436" s="2">
        <f>SUM('Budget Detail FY 2012-19'!P582:P583)</f>
        <v>54336</v>
      </c>
      <c r="F436" s="2">
        <f>SUM('Budget Detail FY 2012-19'!Q582:Q583)</f>
        <v>54121</v>
      </c>
      <c r="G436" s="2">
        <f>SUM('Budget Detail FY 2012-19'!R582:R583)</f>
        <v>55203</v>
      </c>
      <c r="H436" s="2">
        <f>SUM('Budget Detail FY 2012-19'!S582:S583)</f>
        <v>56307</v>
      </c>
      <c r="I436" s="2">
        <f>SUM('Budget Detail FY 2012-19'!T582:T583)</f>
        <v>57433</v>
      </c>
      <c r="J436" s="2">
        <f>SUM('Budget Detail FY 2012-19'!U582:U583)</f>
        <v>58582</v>
      </c>
      <c r="K436" s="2">
        <f>SUM('Budget Detail FY 2012-19'!V582:V583)</f>
        <v>59754</v>
      </c>
    </row>
    <row r="437" spans="2:12" ht="20.100000000000001" customHeight="1">
      <c r="B437" s="688" t="s">
        <v>927</v>
      </c>
      <c r="C437" s="2">
        <f>'Budget Detail FY 2012-19'!N584</f>
        <v>83863</v>
      </c>
      <c r="D437" s="2">
        <f>'Budget Detail FY 2012-19'!O584</f>
        <v>82288</v>
      </c>
      <c r="E437" s="2">
        <f>'Budget Detail FY 2012-19'!P584</f>
        <v>82988</v>
      </c>
      <c r="F437" s="2">
        <f>'Budget Detail FY 2012-19'!Q584</f>
        <v>82988</v>
      </c>
      <c r="G437" s="2">
        <f>'Budget Detail FY 2012-19'!R584</f>
        <v>83588</v>
      </c>
      <c r="H437" s="2">
        <f>'Budget Detail FY 2012-19'!S584</f>
        <v>84088</v>
      </c>
      <c r="I437" s="2">
        <f>'Budget Detail FY 2012-19'!T584</f>
        <v>84488</v>
      </c>
      <c r="J437" s="2">
        <f>'Budget Detail FY 2012-19'!U584</f>
        <v>82288</v>
      </c>
      <c r="K437" s="2">
        <f>'Budget Detail FY 2012-19'!V584</f>
        <v>85088</v>
      </c>
    </row>
    <row r="438" spans="2:12" ht="20.100000000000001" customHeight="1" thickBot="1">
      <c r="B438" s="172" t="s">
        <v>928</v>
      </c>
      <c r="C438" s="169">
        <f t="shared" ref="C438:J438" si="70">SUM(C431:C437)</f>
        <v>2855198</v>
      </c>
      <c r="D438" s="169">
        <f>SUM(D431:D437)</f>
        <v>3104339</v>
      </c>
      <c r="E438" s="169">
        <f t="shared" si="70"/>
        <v>2641091</v>
      </c>
      <c r="F438" s="169">
        <f t="shared" si="70"/>
        <v>2503908</v>
      </c>
      <c r="G438" s="169">
        <f t="shared" si="70"/>
        <v>2839226</v>
      </c>
      <c r="H438" s="169">
        <f t="shared" si="70"/>
        <v>3153520</v>
      </c>
      <c r="I438" s="169">
        <f t="shared" si="70"/>
        <v>3399709</v>
      </c>
      <c r="J438" s="169">
        <f t="shared" si="70"/>
        <v>3398658</v>
      </c>
      <c r="K438" s="169">
        <f>SUM(K431:K437)</f>
        <v>3402630</v>
      </c>
      <c r="L438" s="173"/>
    </row>
    <row r="439" spans="2:12" s="173" customFormat="1" ht="15" hidden="1">
      <c r="B439" s="174"/>
      <c r="C439" s="146">
        <f>'Budget Detail FY 2012-19'!N586</f>
        <v>2855198</v>
      </c>
      <c r="D439" s="146">
        <f>'Budget Detail FY 2012-19'!O586</f>
        <v>3104339</v>
      </c>
      <c r="E439" s="146">
        <f>'Budget Detail FY 2012-19'!P586</f>
        <v>2641091</v>
      </c>
      <c r="F439" s="146">
        <f>'Budget Detail FY 2012-19'!Q586</f>
        <v>2503908</v>
      </c>
      <c r="G439" s="146">
        <f>'Budget Detail FY 2012-19'!R586</f>
        <v>2839226</v>
      </c>
      <c r="H439" s="146">
        <f>'Budget Detail FY 2012-19'!S586</f>
        <v>3153520</v>
      </c>
      <c r="I439" s="146">
        <f>'Budget Detail FY 2012-19'!T586</f>
        <v>3399709</v>
      </c>
      <c r="J439" s="146">
        <f>'Budget Detail FY 2012-19'!U586</f>
        <v>3398658</v>
      </c>
      <c r="K439" s="146">
        <f>'Budget Detail FY 2012-19'!V586</f>
        <v>3402630</v>
      </c>
      <c r="L439" s="586" t="s">
        <v>1299</v>
      </c>
    </row>
    <row r="440" spans="2:12" s="175" customFormat="1" ht="14.25" hidden="1">
      <c r="B440" s="176"/>
      <c r="C440" s="147">
        <f>C438-C439</f>
        <v>0</v>
      </c>
      <c r="D440" s="147">
        <f t="shared" ref="D440:K440" si="71">D438-D439</f>
        <v>0</v>
      </c>
      <c r="E440" s="147">
        <f t="shared" si="71"/>
        <v>0</v>
      </c>
      <c r="F440" s="147">
        <f t="shared" si="71"/>
        <v>0</v>
      </c>
      <c r="G440" s="147">
        <f t="shared" si="71"/>
        <v>0</v>
      </c>
      <c r="H440" s="147">
        <f t="shared" si="71"/>
        <v>0</v>
      </c>
      <c r="I440" s="147">
        <f t="shared" si="71"/>
        <v>0</v>
      </c>
      <c r="J440" s="147">
        <f t="shared" si="71"/>
        <v>0</v>
      </c>
      <c r="K440" s="147">
        <f t="shared" si="71"/>
        <v>0</v>
      </c>
      <c r="L440" s="587" t="s">
        <v>1300</v>
      </c>
    </row>
    <row r="441" spans="2:12" ht="7.5" customHeight="1">
      <c r="B441" s="1"/>
      <c r="C441" s="2"/>
      <c r="D441" s="2"/>
      <c r="E441" s="2"/>
      <c r="F441" s="2"/>
      <c r="G441" s="2"/>
      <c r="H441" s="2"/>
      <c r="I441" s="2"/>
      <c r="J441" s="2"/>
      <c r="K441" s="2"/>
    </row>
    <row r="442" spans="2:12" ht="15">
      <c r="B442" s="177" t="s">
        <v>661</v>
      </c>
      <c r="C442" s="2"/>
      <c r="D442" s="2"/>
      <c r="E442" s="2"/>
      <c r="F442" s="2"/>
      <c r="G442" s="2"/>
      <c r="H442" s="2"/>
      <c r="I442" s="2"/>
      <c r="J442" s="2"/>
      <c r="K442" s="2"/>
    </row>
    <row r="443" spans="2:12" ht="20.100000000000001" customHeight="1">
      <c r="B443" s="689" t="s">
        <v>929</v>
      </c>
      <c r="C443" s="2">
        <f>SUM('Budget Detail FY 2012-19'!N589:N591)</f>
        <v>332461</v>
      </c>
      <c r="D443" s="2">
        <f>SUM('Budget Detail FY 2012-19'!O589:O591)</f>
        <v>337375</v>
      </c>
      <c r="E443" s="2">
        <f>SUM('Budget Detail FY 2012-19'!P589:P591)</f>
        <v>339697</v>
      </c>
      <c r="F443" s="2">
        <f>SUM('Budget Detail FY 2012-19'!Q589:Q591)</f>
        <v>339697</v>
      </c>
      <c r="G443" s="2">
        <f>SUM('Budget Detail FY 2012-19'!R589:R591)</f>
        <v>351860</v>
      </c>
      <c r="H443" s="2">
        <f>SUM('Budget Detail FY 2012-19'!S589:S591)</f>
        <v>356082</v>
      </c>
      <c r="I443" s="2">
        <f>SUM('Budget Detail FY 2012-19'!T589:T591)</f>
        <v>368125</v>
      </c>
      <c r="J443" s="2">
        <f>SUM('Budget Detail FY 2012-19'!U589:U591)</f>
        <v>380589</v>
      </c>
      <c r="K443" s="2">
        <f>SUM('Budget Detail FY 2012-19'!V589:V591)</f>
        <v>393490</v>
      </c>
    </row>
    <row r="444" spans="2:12" ht="20.100000000000001" customHeight="1">
      <c r="B444" s="689" t="s">
        <v>930</v>
      </c>
      <c r="C444" s="2">
        <f>SUM('Budget Detail FY 2012-19'!N592:N599)</f>
        <v>56284</v>
      </c>
      <c r="D444" s="2">
        <f>SUM('Budget Detail FY 2012-19'!O592:O599)</f>
        <v>175472</v>
      </c>
      <c r="E444" s="2">
        <f>SUM('Budget Detail FY 2012-19'!P592:P599)</f>
        <v>202339</v>
      </c>
      <c r="F444" s="2">
        <f>SUM('Budget Detail FY 2012-19'!Q592:Q599)</f>
        <v>200514</v>
      </c>
      <c r="G444" s="2">
        <f>SUM('Budget Detail FY 2012-19'!R592:R599)</f>
        <v>215055</v>
      </c>
      <c r="H444" s="2">
        <f>SUM('Budget Detail FY 2012-19'!S592:S599)</f>
        <v>229428</v>
      </c>
      <c r="I444" s="2">
        <f>SUM('Budget Detail FY 2012-19'!T592:T599)</f>
        <v>246292</v>
      </c>
      <c r="J444" s="2">
        <f>SUM('Budget Detail FY 2012-19'!U592:U599)</f>
        <v>264470</v>
      </c>
      <c r="K444" s="2">
        <f>SUM('Budget Detail FY 2012-19'!V592:V599)</f>
        <v>284136</v>
      </c>
    </row>
    <row r="445" spans="2:12" ht="20.100000000000001" customHeight="1">
      <c r="B445" s="689" t="s">
        <v>931</v>
      </c>
      <c r="C445" s="2">
        <f>SUM('Budget Detail FY 2012-19'!N600:N620)</f>
        <v>518831</v>
      </c>
      <c r="D445" s="2">
        <f>SUM('Budget Detail FY 2012-19'!O600:O620)</f>
        <v>490186</v>
      </c>
      <c r="E445" s="2">
        <f>SUM('Budget Detail FY 2012-19'!P600:P620)</f>
        <v>497450</v>
      </c>
      <c r="F445" s="2">
        <f>SUM('Budget Detail FY 2012-19'!Q600:Q620)</f>
        <v>438950</v>
      </c>
      <c r="G445" s="2">
        <f>SUM('Budget Detail FY 2012-19'!R600:R620)</f>
        <v>485700</v>
      </c>
      <c r="H445" s="2">
        <f>SUM('Budget Detail FY 2012-19'!S600:S620)</f>
        <v>501225</v>
      </c>
      <c r="I445" s="2">
        <f>SUM('Budget Detail FY 2012-19'!T600:T620)</f>
        <v>517682</v>
      </c>
      <c r="J445" s="2">
        <f>SUM('Budget Detail FY 2012-19'!U600:U620)</f>
        <v>535126</v>
      </c>
      <c r="K445" s="2">
        <f>SUM('Budget Detail FY 2012-19'!V600:V620)</f>
        <v>553617</v>
      </c>
    </row>
    <row r="446" spans="2:12" ht="20.100000000000001" customHeight="1">
      <c r="B446" s="689" t="s">
        <v>932</v>
      </c>
      <c r="C446" s="2">
        <f>SUM('Budget Detail FY 2012-19'!N621:N630)</f>
        <v>267849</v>
      </c>
      <c r="D446" s="2">
        <f>SUM('Budget Detail FY 2012-19'!O621:O630)</f>
        <v>243224</v>
      </c>
      <c r="E446" s="2">
        <f>SUM('Budget Detail FY 2012-19'!P621:P630)</f>
        <v>301873</v>
      </c>
      <c r="F446" s="2">
        <f>SUM('Budget Detail FY 2012-19'!Q621:Q630)</f>
        <v>301873</v>
      </c>
      <c r="G446" s="2">
        <f>SUM('Budget Detail FY 2012-19'!R621:R630)</f>
        <v>301234</v>
      </c>
      <c r="H446" s="2">
        <f>SUM('Budget Detail FY 2012-19'!S621:S630)</f>
        <v>304295</v>
      </c>
      <c r="I446" s="2">
        <f>SUM('Budget Detail FY 2012-19'!T621:T630)</f>
        <v>307571</v>
      </c>
      <c r="J446" s="2">
        <f>SUM('Budget Detail FY 2012-19'!U621:U630)</f>
        <v>311076</v>
      </c>
      <c r="K446" s="2">
        <f>SUM('Budget Detail FY 2012-19'!V621:V630)</f>
        <v>314826</v>
      </c>
    </row>
    <row r="447" spans="2:12" ht="20.100000000000001" customHeight="1">
      <c r="B447" s="689" t="s">
        <v>933</v>
      </c>
      <c r="C447" s="2">
        <f>SUM('Budget Detail FY 2012-19'!N631:N635)</f>
        <v>25054</v>
      </c>
      <c r="D447" s="2">
        <f>SUM('Budget Detail FY 2012-19'!O631:O635)</f>
        <v>75305</v>
      </c>
      <c r="E447" s="2">
        <f>SUM('Budget Detail FY 2012-19'!P631:P635)</f>
        <v>345434</v>
      </c>
      <c r="F447" s="2">
        <f>SUM('Budget Detail FY 2012-19'!Q631:Q635)</f>
        <v>345434</v>
      </c>
      <c r="G447" s="2">
        <f>SUM('Budget Detail FY 2012-19'!R631:R635)</f>
        <v>571548</v>
      </c>
      <c r="H447" s="2">
        <f>SUM('Budget Detail FY 2012-19'!S631:S635)</f>
        <v>700548</v>
      </c>
      <c r="I447" s="2">
        <f>SUM('Budget Detail FY 2012-19'!T631:T635)</f>
        <v>900548</v>
      </c>
      <c r="J447" s="2">
        <f>SUM('Budget Detail FY 2012-19'!U631:U635)</f>
        <v>700548</v>
      </c>
      <c r="K447" s="2">
        <f>SUM('Budget Detail FY 2012-19'!V631:V635)</f>
        <v>300548</v>
      </c>
    </row>
    <row r="448" spans="2:12" ht="20.100000000000001" customHeight="1">
      <c r="B448" s="690" t="s">
        <v>949</v>
      </c>
      <c r="C448" s="2">
        <f>SUM('Budget Detail FY 2012-19'!N636)</f>
        <v>275865</v>
      </c>
      <c r="D448" s="2">
        <f>SUM('Budget Detail FY 2012-19'!O636)</f>
        <v>160921</v>
      </c>
      <c r="E448" s="2">
        <f>SUM('Budget Detail FY 2012-19'!P636)</f>
        <v>0</v>
      </c>
      <c r="F448" s="2">
        <f>SUM('Budget Detail FY 2012-19'!Q636)</f>
        <v>0</v>
      </c>
      <c r="G448" s="2">
        <f>SUM('Budget Detail FY 2012-19'!R636)</f>
        <v>0</v>
      </c>
      <c r="H448" s="2">
        <f>SUM('Budget Detail FY 2012-19'!S636)</f>
        <v>0</v>
      </c>
      <c r="I448" s="2">
        <f>SUM('Budget Detail FY 2012-19'!T636)</f>
        <v>0</v>
      </c>
      <c r="J448" s="2">
        <f>SUM('Budget Detail FY 2012-19'!U636)</f>
        <v>0</v>
      </c>
      <c r="K448" s="2">
        <f>SUM('Budget Detail FY 2012-19'!V636)</f>
        <v>0</v>
      </c>
    </row>
    <row r="449" spans="2:12" ht="20.100000000000001" customHeight="1">
      <c r="B449" s="690" t="s">
        <v>852</v>
      </c>
      <c r="C449" s="2">
        <f>SUM('Budget Detail FY 2012-19'!N638:N653)</f>
        <v>903277</v>
      </c>
      <c r="D449" s="2">
        <f>SUM('Budget Detail FY 2012-19'!O638:O653)</f>
        <v>1396016</v>
      </c>
      <c r="E449" s="2">
        <f>SUM('Budget Detail FY 2012-19'!P638:P653)</f>
        <v>1172802</v>
      </c>
      <c r="F449" s="2">
        <f>SUM('Budget Detail FY 2012-19'!Q638:Q653)</f>
        <v>1172802</v>
      </c>
      <c r="G449" s="2">
        <f>SUM('Budget Detail FY 2012-19'!R638:R653)</f>
        <v>1168384</v>
      </c>
      <c r="H449" s="2">
        <f>SUM('Budget Detail FY 2012-19'!S638:S653)</f>
        <v>1163054</v>
      </c>
      <c r="I449" s="2">
        <f>SUM('Budget Detail FY 2012-19'!T638:T653)</f>
        <v>1166825</v>
      </c>
      <c r="J449" s="2">
        <f>SUM('Budget Detail FY 2012-19'!U638:U653)</f>
        <v>1154236</v>
      </c>
      <c r="K449" s="2">
        <f>SUM('Budget Detail FY 2012-19'!V638:V653)</f>
        <v>1355949</v>
      </c>
    </row>
    <row r="450" spans="2:12" ht="20.100000000000001" customHeight="1" thickBot="1">
      <c r="B450" s="172" t="s">
        <v>950</v>
      </c>
      <c r="C450" s="169">
        <f t="shared" ref="C450:K450" si="72">SUM(C443:C449)</f>
        <v>2379621</v>
      </c>
      <c r="D450" s="169">
        <f t="shared" si="72"/>
        <v>2878499</v>
      </c>
      <c r="E450" s="169">
        <f t="shared" si="72"/>
        <v>2859595</v>
      </c>
      <c r="F450" s="169">
        <f t="shared" si="72"/>
        <v>2799270</v>
      </c>
      <c r="G450" s="169">
        <f t="shared" si="72"/>
        <v>3093781</v>
      </c>
      <c r="H450" s="169">
        <f t="shared" si="72"/>
        <v>3254632</v>
      </c>
      <c r="I450" s="169">
        <f t="shared" si="72"/>
        <v>3507043</v>
      </c>
      <c r="J450" s="169">
        <f t="shared" si="72"/>
        <v>3346045</v>
      </c>
      <c r="K450" s="169">
        <f t="shared" si="72"/>
        <v>3202566</v>
      </c>
      <c r="L450" s="173"/>
    </row>
    <row r="451" spans="2:12" s="173" customFormat="1" ht="15" hidden="1">
      <c r="B451" s="174"/>
      <c r="C451" s="146">
        <f>'Budget Detail FY 2012-19'!N655</f>
        <v>2379621</v>
      </c>
      <c r="D451" s="146">
        <f>'Budget Detail FY 2012-19'!O655</f>
        <v>2878499</v>
      </c>
      <c r="E451" s="146">
        <f>'Budget Detail FY 2012-19'!P655</f>
        <v>2859595</v>
      </c>
      <c r="F451" s="146">
        <f>'Budget Detail FY 2012-19'!Q655</f>
        <v>2799270</v>
      </c>
      <c r="G451" s="146">
        <f>'Budget Detail FY 2012-19'!R655</f>
        <v>3093781</v>
      </c>
      <c r="H451" s="146">
        <f>'Budget Detail FY 2012-19'!S655</f>
        <v>3254632</v>
      </c>
      <c r="I451" s="146">
        <f>'Budget Detail FY 2012-19'!T655</f>
        <v>3507043</v>
      </c>
      <c r="J451" s="146">
        <f>'Budget Detail FY 2012-19'!U655</f>
        <v>3346045</v>
      </c>
      <c r="K451" s="146">
        <f>'Budget Detail FY 2012-19'!V655</f>
        <v>3202566</v>
      </c>
      <c r="L451" s="586" t="s">
        <v>1299</v>
      </c>
    </row>
    <row r="452" spans="2:12" s="175" customFormat="1" ht="15" hidden="1">
      <c r="B452" s="176"/>
      <c r="C452" s="182">
        <f>C450-C451</f>
        <v>0</v>
      </c>
      <c r="D452" s="182">
        <f t="shared" ref="D452:K452" si="73">D450-D451</f>
        <v>0</v>
      </c>
      <c r="E452" s="182">
        <f t="shared" si="73"/>
        <v>0</v>
      </c>
      <c r="F452" s="182">
        <f t="shared" si="73"/>
        <v>0</v>
      </c>
      <c r="G452" s="182">
        <f t="shared" si="73"/>
        <v>0</v>
      </c>
      <c r="H452" s="182">
        <f t="shared" si="73"/>
        <v>0</v>
      </c>
      <c r="I452" s="182">
        <f t="shared" si="73"/>
        <v>0</v>
      </c>
      <c r="J452" s="182">
        <f t="shared" si="73"/>
        <v>0</v>
      </c>
      <c r="K452" s="182">
        <f t="shared" si="73"/>
        <v>0</v>
      </c>
      <c r="L452" s="587" t="s">
        <v>1300</v>
      </c>
    </row>
    <row r="453" spans="2:12" ht="7.5" customHeight="1">
      <c r="B453" s="179"/>
      <c r="C453" s="3"/>
      <c r="D453" s="2"/>
      <c r="E453" s="2"/>
      <c r="F453" s="2"/>
      <c r="G453" s="2"/>
      <c r="H453" s="2"/>
      <c r="I453" s="2"/>
      <c r="J453" s="2"/>
      <c r="K453" s="2"/>
    </row>
    <row r="454" spans="2:12" ht="20.100000000000001" customHeight="1">
      <c r="B454" s="691" t="s">
        <v>937</v>
      </c>
      <c r="C454" s="3">
        <f t="shared" ref="C454:K454" si="74">+C438-C450</f>
        <v>475577</v>
      </c>
      <c r="D454" s="3">
        <f t="shared" si="74"/>
        <v>225840</v>
      </c>
      <c r="E454" s="3">
        <f t="shared" si="74"/>
        <v>-218504</v>
      </c>
      <c r="F454" s="3">
        <f t="shared" si="74"/>
        <v>-295362</v>
      </c>
      <c r="G454" s="3">
        <f t="shared" si="74"/>
        <v>-254555</v>
      </c>
      <c r="H454" s="3">
        <f t="shared" si="74"/>
        <v>-101112</v>
      </c>
      <c r="I454" s="3">
        <f t="shared" si="74"/>
        <v>-107334</v>
      </c>
      <c r="J454" s="3">
        <f t="shared" si="74"/>
        <v>52613</v>
      </c>
      <c r="K454" s="3">
        <f t="shared" si="74"/>
        <v>200064</v>
      </c>
      <c r="L454" s="173"/>
    </row>
    <row r="455" spans="2:12" s="173" customFormat="1" ht="15" hidden="1">
      <c r="B455" s="180"/>
      <c r="C455" s="146">
        <f>'Budget Detail FY 2012-19'!N657</f>
        <v>475577</v>
      </c>
      <c r="D455" s="146">
        <f>'Budget Detail FY 2012-19'!O657</f>
        <v>225840</v>
      </c>
      <c r="E455" s="146">
        <f>'Budget Detail FY 2012-19'!P657</f>
        <v>-218504</v>
      </c>
      <c r="F455" s="146">
        <f>'Budget Detail FY 2012-19'!Q657</f>
        <v>-295362</v>
      </c>
      <c r="G455" s="146">
        <f>'Budget Detail FY 2012-19'!R657</f>
        <v>-254555</v>
      </c>
      <c r="H455" s="146">
        <f>'Budget Detail FY 2012-19'!S657</f>
        <v>-101112</v>
      </c>
      <c r="I455" s="146">
        <f>'Budget Detail FY 2012-19'!T657</f>
        <v>-107334</v>
      </c>
      <c r="J455" s="146">
        <f>'Budget Detail FY 2012-19'!U657</f>
        <v>52613</v>
      </c>
      <c r="K455" s="146">
        <f>'Budget Detail FY 2012-19'!V657</f>
        <v>200064</v>
      </c>
      <c r="L455" s="586" t="s">
        <v>1299</v>
      </c>
    </row>
    <row r="456" spans="2:12" s="175" customFormat="1" ht="15" hidden="1">
      <c r="B456" s="181"/>
      <c r="C456" s="190">
        <f>C454-C455</f>
        <v>0</v>
      </c>
      <c r="D456" s="190">
        <f t="shared" ref="D456:K456" si="75">D454-D455</f>
        <v>0</v>
      </c>
      <c r="E456" s="190">
        <f t="shared" si="75"/>
        <v>0</v>
      </c>
      <c r="F456" s="190">
        <f t="shared" si="75"/>
        <v>0</v>
      </c>
      <c r="G456" s="190">
        <f t="shared" si="75"/>
        <v>0</v>
      </c>
      <c r="H456" s="190">
        <f t="shared" si="75"/>
        <v>0</v>
      </c>
      <c r="I456" s="190">
        <f t="shared" si="75"/>
        <v>0</v>
      </c>
      <c r="J456" s="190">
        <f t="shared" si="75"/>
        <v>0</v>
      </c>
      <c r="K456" s="190">
        <f t="shared" si="75"/>
        <v>0</v>
      </c>
      <c r="L456" s="587" t="s">
        <v>1300</v>
      </c>
    </row>
    <row r="457" spans="2:12" ht="7.5" customHeight="1">
      <c r="B457" s="183"/>
      <c r="C457" s="3"/>
      <c r="D457" s="2"/>
      <c r="E457" s="2"/>
      <c r="F457" s="2"/>
      <c r="G457" s="2"/>
      <c r="H457" s="2"/>
      <c r="I457" s="2"/>
      <c r="J457" s="2"/>
      <c r="K457" s="2"/>
    </row>
    <row r="458" spans="2:12" ht="20.100000000000001" customHeight="1" thickBot="1">
      <c r="B458" s="171" t="s">
        <v>951</v>
      </c>
      <c r="C458" s="91">
        <v>1300837</v>
      </c>
      <c r="D458" s="91">
        <v>1526679</v>
      </c>
      <c r="E458" s="91">
        <v>1160768</v>
      </c>
      <c r="F458" s="91">
        <f>D458+F454</f>
        <v>1231317</v>
      </c>
      <c r="G458" s="91">
        <f>F458+G454</f>
        <v>976762</v>
      </c>
      <c r="H458" s="91">
        <f>G458+H454</f>
        <v>875650</v>
      </c>
      <c r="I458" s="91">
        <f>H458+I454</f>
        <v>768316</v>
      </c>
      <c r="J458" s="91">
        <f>I458+J454</f>
        <v>820929</v>
      </c>
      <c r="K458" s="91">
        <f>J458+K454</f>
        <v>1020993</v>
      </c>
      <c r="L458" s="173"/>
    </row>
    <row r="459" spans="2:12" s="173" customFormat="1" ht="15.75" hidden="1" thickTop="1">
      <c r="B459" s="174"/>
      <c r="C459" s="146">
        <f>'Budget Detail FY 2012-19'!N659</f>
        <v>1300837</v>
      </c>
      <c r="D459" s="146">
        <f>'Budget Detail FY 2012-19'!O659</f>
        <v>1526679</v>
      </c>
      <c r="E459" s="146">
        <f>'Budget Detail FY 2012-19'!P659</f>
        <v>1160768</v>
      </c>
      <c r="F459" s="146">
        <f>'Budget Detail FY 2012-19'!Q659</f>
        <v>1231317</v>
      </c>
      <c r="G459" s="146">
        <f>'Budget Detail FY 2012-19'!R659</f>
        <v>976762</v>
      </c>
      <c r="H459" s="146">
        <f>'Budget Detail FY 2012-19'!S659</f>
        <v>875650</v>
      </c>
      <c r="I459" s="146">
        <f>'Budget Detail FY 2012-19'!T659</f>
        <v>768316</v>
      </c>
      <c r="J459" s="146">
        <f>'Budget Detail FY 2012-19'!U659</f>
        <v>820929</v>
      </c>
      <c r="K459" s="146">
        <f>'Budget Detail FY 2012-19'!V659</f>
        <v>1020993</v>
      </c>
      <c r="L459" s="586" t="s">
        <v>1299</v>
      </c>
    </row>
    <row r="460" spans="2:12" s="175" customFormat="1" ht="14.25" hidden="1">
      <c r="B460" s="176"/>
      <c r="C460" s="147">
        <f>C458-C459</f>
        <v>0</v>
      </c>
      <c r="D460" s="147">
        <f t="shared" ref="D460:K460" si="76">D458-D459</f>
        <v>0</v>
      </c>
      <c r="E460" s="147">
        <f t="shared" si="76"/>
        <v>0</v>
      </c>
      <c r="F460" s="147">
        <f t="shared" si="76"/>
        <v>0</v>
      </c>
      <c r="G460" s="147">
        <f t="shared" si="76"/>
        <v>0</v>
      </c>
      <c r="H460" s="147">
        <f t="shared" si="76"/>
        <v>0</v>
      </c>
      <c r="I460" s="147">
        <f t="shared" si="76"/>
        <v>0</v>
      </c>
      <c r="J460" s="147">
        <f t="shared" si="76"/>
        <v>0</v>
      </c>
      <c r="K460" s="147">
        <f t="shared" si="76"/>
        <v>0</v>
      </c>
      <c r="L460" s="587" t="s">
        <v>1300</v>
      </c>
    </row>
    <row r="461" spans="2:12" ht="15.75" thickTop="1">
      <c r="B461" s="184"/>
      <c r="C461" s="185">
        <f t="shared" ref="C461:J461" si="77">+C458/C450</f>
        <v>0.54665721978415893</v>
      </c>
      <c r="D461" s="185">
        <f t="shared" si="77"/>
        <v>0.5303732952486695</v>
      </c>
      <c r="E461" s="185">
        <f t="shared" si="77"/>
        <v>0.4059204188005644</v>
      </c>
      <c r="F461" s="185">
        <f t="shared" si="77"/>
        <v>0.43987075201749026</v>
      </c>
      <c r="G461" s="185">
        <f>+G458/G450</f>
        <v>0.31571788694804187</v>
      </c>
      <c r="H461" s="185">
        <f t="shared" si="77"/>
        <v>0.26904731471945215</v>
      </c>
      <c r="I461" s="185">
        <f t="shared" si="77"/>
        <v>0.2190780095938373</v>
      </c>
      <c r="J461" s="185">
        <f t="shared" si="77"/>
        <v>0.24534308414859932</v>
      </c>
      <c r="K461" s="185">
        <f>+K458/K450</f>
        <v>0.31880467100443832</v>
      </c>
    </row>
    <row r="462" spans="2:12" ht="15">
      <c r="B462" s="184"/>
      <c r="C462" s="185"/>
      <c r="D462" s="185"/>
      <c r="E462" s="185"/>
      <c r="F462" s="185"/>
      <c r="G462" s="185"/>
      <c r="H462" s="185"/>
      <c r="I462" s="185"/>
      <c r="J462" s="185"/>
      <c r="K462" s="185"/>
    </row>
    <row r="463" spans="2:12" ht="7.5" customHeight="1">
      <c r="B463" s="184"/>
      <c r="C463" s="2"/>
      <c r="D463" s="2"/>
      <c r="E463" s="2"/>
      <c r="F463" s="2"/>
      <c r="G463" s="2"/>
      <c r="H463" s="2"/>
      <c r="I463" s="2"/>
      <c r="J463" s="2"/>
      <c r="K463" s="2"/>
    </row>
    <row r="464" spans="2:12" ht="15">
      <c r="B464" s="1"/>
      <c r="C464" s="2"/>
      <c r="D464" s="2"/>
      <c r="E464" s="2"/>
      <c r="F464" s="2"/>
      <c r="G464" s="2"/>
      <c r="H464" s="2"/>
      <c r="I464" s="2"/>
      <c r="J464" s="2"/>
      <c r="K464" s="2"/>
    </row>
    <row r="465" spans="2:11" ht="15">
      <c r="B465" s="1"/>
      <c r="C465" s="2"/>
      <c r="D465" s="2"/>
      <c r="E465" s="2"/>
      <c r="F465" s="2"/>
      <c r="G465" s="2"/>
      <c r="H465" s="2"/>
      <c r="I465" s="2"/>
      <c r="J465" s="2"/>
      <c r="K465" s="2"/>
    </row>
    <row r="466" spans="2:11" ht="15">
      <c r="B466" s="1"/>
      <c r="C466" s="2"/>
      <c r="D466" s="2"/>
      <c r="E466" s="2"/>
      <c r="F466" s="2"/>
      <c r="G466" s="2"/>
      <c r="H466" s="2"/>
      <c r="I466" s="2"/>
      <c r="J466" s="2"/>
      <c r="K466" s="2"/>
    </row>
    <row r="467" spans="2:11" ht="15">
      <c r="B467" s="1"/>
      <c r="C467" s="2"/>
      <c r="D467" s="2"/>
      <c r="E467" s="2"/>
      <c r="F467" s="2"/>
      <c r="G467" s="2"/>
      <c r="H467" s="2"/>
      <c r="I467" s="2"/>
      <c r="J467" s="2"/>
      <c r="K467" s="2"/>
    </row>
    <row r="468" spans="2:11" ht="15">
      <c r="B468" s="1"/>
      <c r="C468" s="2"/>
      <c r="D468" s="2"/>
      <c r="E468" s="2"/>
      <c r="F468" s="2"/>
      <c r="G468" s="2"/>
      <c r="H468" s="2"/>
      <c r="I468" s="2"/>
      <c r="J468" s="2"/>
      <c r="K468" s="2"/>
    </row>
    <row r="469" spans="2:11" ht="15">
      <c r="B469" s="1"/>
      <c r="C469" s="2"/>
      <c r="D469" s="2"/>
      <c r="E469" s="2"/>
      <c r="F469" s="2"/>
      <c r="G469" s="2"/>
      <c r="H469" s="2"/>
      <c r="I469" s="2"/>
      <c r="J469" s="2"/>
      <c r="K469" s="2"/>
    </row>
    <row r="470" spans="2:11" ht="15">
      <c r="B470" s="1"/>
      <c r="C470" s="2"/>
      <c r="D470" s="2"/>
      <c r="E470" s="2"/>
      <c r="F470" s="2"/>
      <c r="G470" s="2"/>
      <c r="H470" s="2"/>
      <c r="I470" s="2"/>
      <c r="J470" s="2"/>
      <c r="K470" s="2"/>
    </row>
    <row r="471" spans="2:11" ht="15">
      <c r="B471" s="1"/>
      <c r="C471" s="2"/>
      <c r="D471" s="2"/>
      <c r="E471" s="2"/>
      <c r="F471" s="2"/>
      <c r="G471" s="2"/>
      <c r="H471" s="2"/>
      <c r="I471" s="2"/>
      <c r="J471" s="2"/>
      <c r="K471" s="2"/>
    </row>
    <row r="472" spans="2:11" ht="15">
      <c r="B472" s="1"/>
      <c r="C472" s="2"/>
      <c r="D472" s="2"/>
      <c r="E472" s="2"/>
      <c r="F472" s="2"/>
      <c r="G472" s="2"/>
      <c r="H472" s="2"/>
      <c r="I472" s="2"/>
      <c r="J472" s="2"/>
      <c r="K472" s="2"/>
    </row>
    <row r="473" spans="2:11" ht="15">
      <c r="B473" s="1"/>
      <c r="C473" s="2"/>
      <c r="D473" s="2"/>
      <c r="E473" s="2"/>
      <c r="F473" s="2"/>
      <c r="G473" s="2"/>
      <c r="H473" s="2"/>
      <c r="I473" s="2"/>
      <c r="J473" s="2"/>
      <c r="K473" s="2"/>
    </row>
    <row r="474" spans="2:11" ht="15">
      <c r="B474" s="1"/>
      <c r="C474" s="2"/>
      <c r="D474" s="2"/>
      <c r="E474" s="2"/>
      <c r="F474" s="2"/>
      <c r="G474" s="2"/>
      <c r="H474" s="2"/>
      <c r="I474" s="2"/>
      <c r="J474" s="2"/>
      <c r="K474" s="2"/>
    </row>
    <row r="476" spans="2:11" ht="18.75">
      <c r="B476" s="722" t="s">
        <v>952</v>
      </c>
      <c r="C476" s="722"/>
      <c r="D476" s="722"/>
      <c r="E476" s="722"/>
      <c r="F476" s="722"/>
      <c r="G476" s="722"/>
      <c r="H476" s="722"/>
      <c r="I476" s="722"/>
      <c r="J476" s="722"/>
      <c r="K476" s="722"/>
    </row>
    <row r="477" spans="2:11" ht="15">
      <c r="B477" s="72"/>
      <c r="C477" s="3"/>
      <c r="D477" s="2"/>
      <c r="E477" s="2"/>
      <c r="F477" s="2"/>
      <c r="G477" s="2"/>
      <c r="H477" s="2"/>
      <c r="I477" s="2"/>
      <c r="J477" s="2"/>
      <c r="K477" s="2"/>
    </row>
    <row r="478" spans="2:11" ht="12.75" customHeight="1">
      <c r="B478" s="715" t="s">
        <v>953</v>
      </c>
      <c r="C478" s="715"/>
      <c r="D478" s="715"/>
      <c r="E478" s="715"/>
      <c r="F478" s="715"/>
      <c r="G478" s="715"/>
      <c r="H478" s="715"/>
      <c r="I478" s="715"/>
      <c r="J478" s="715"/>
      <c r="K478" s="715"/>
    </row>
    <row r="479" spans="2:11" ht="18" customHeight="1">
      <c r="B479" s="715"/>
      <c r="C479" s="715"/>
      <c r="D479" s="715"/>
      <c r="E479" s="715"/>
      <c r="F479" s="715"/>
      <c r="G479" s="715"/>
      <c r="H479" s="715"/>
      <c r="I479" s="715"/>
      <c r="J479" s="715"/>
      <c r="K479" s="715"/>
    </row>
    <row r="480" spans="2:11" ht="7.5" customHeight="1">
      <c r="B480" s="686"/>
      <c r="C480" s="25"/>
      <c r="D480" s="25"/>
      <c r="E480" s="25"/>
      <c r="F480" s="2"/>
      <c r="G480" s="2"/>
      <c r="H480" s="2"/>
      <c r="I480" s="2"/>
      <c r="J480" s="2"/>
      <c r="K480" s="2"/>
    </row>
    <row r="481" spans="2:12" ht="15">
      <c r="B481" s="5"/>
      <c r="C481" s="72"/>
      <c r="D481" s="73"/>
      <c r="E481" s="72" t="s">
        <v>283</v>
      </c>
      <c r="F481" s="1"/>
      <c r="G481" s="1"/>
      <c r="H481" s="1"/>
      <c r="I481" s="1"/>
      <c r="J481" s="1"/>
      <c r="K481" s="1"/>
    </row>
    <row r="482" spans="2:12" ht="15">
      <c r="B482" s="73"/>
      <c r="C482" s="72" t="s">
        <v>229</v>
      </c>
      <c r="D482" s="96" t="s">
        <v>282</v>
      </c>
      <c r="E482" s="73" t="s">
        <v>917</v>
      </c>
      <c r="F482" s="73" t="s">
        <v>283</v>
      </c>
      <c r="G482" s="73" t="s">
        <v>298</v>
      </c>
      <c r="H482" s="73" t="s">
        <v>299</v>
      </c>
      <c r="I482" s="73" t="s">
        <v>300</v>
      </c>
      <c r="J482" s="73" t="s">
        <v>1087</v>
      </c>
      <c r="K482" s="73" t="s">
        <v>1224</v>
      </c>
    </row>
    <row r="483" spans="2:12" ht="15.75" thickBot="1">
      <c r="B483" s="188"/>
      <c r="C483" s="75" t="s">
        <v>1</v>
      </c>
      <c r="D483" s="75" t="s">
        <v>1</v>
      </c>
      <c r="E483" s="75" t="s">
        <v>871</v>
      </c>
      <c r="F483" s="75" t="s">
        <v>20</v>
      </c>
      <c r="G483" s="75" t="s">
        <v>917</v>
      </c>
      <c r="H483" s="75" t="s">
        <v>20</v>
      </c>
      <c r="I483" s="75" t="s">
        <v>20</v>
      </c>
      <c r="J483" s="75" t="s">
        <v>20</v>
      </c>
      <c r="K483" s="75" t="s">
        <v>20</v>
      </c>
    </row>
    <row r="484" spans="2:12" ht="7.5" customHeight="1">
      <c r="B484" s="71"/>
      <c r="C484" s="189"/>
      <c r="D484" s="2"/>
      <c r="E484" s="2"/>
      <c r="F484" s="2"/>
      <c r="G484" s="2"/>
      <c r="H484" s="2"/>
      <c r="I484" s="2"/>
      <c r="J484" s="2"/>
      <c r="K484" s="2"/>
    </row>
    <row r="485" spans="2:12" ht="15">
      <c r="B485" s="177" t="s">
        <v>918</v>
      </c>
      <c r="C485" s="2"/>
      <c r="D485" s="2"/>
      <c r="E485" s="2"/>
      <c r="F485" s="2"/>
      <c r="G485" s="2"/>
      <c r="H485" s="2"/>
      <c r="I485" s="2"/>
      <c r="J485" s="2"/>
      <c r="K485" s="2"/>
    </row>
    <row r="486" spans="2:12" ht="20.100000000000001" customHeight="1">
      <c r="B486" s="688" t="s">
        <v>919</v>
      </c>
      <c r="C486" s="2">
        <f>SUM('Budget Detail FY 2012-19'!N664:N666)</f>
        <v>1750206</v>
      </c>
      <c r="D486" s="2">
        <f>SUM('Budget Detail FY 2012-19'!O664:O666)</f>
        <v>262543</v>
      </c>
      <c r="E486" s="2">
        <f>SUM('Budget Detail FY 2012-19'!P664:P666)</f>
        <v>114940</v>
      </c>
      <c r="F486" s="2">
        <f>SUM('Budget Detail FY 2012-19'!Q664:Q666)</f>
        <v>110601</v>
      </c>
      <c r="G486" s="2">
        <f>SUM('Budget Detail FY 2012-19'!R664:R666)</f>
        <v>0</v>
      </c>
      <c r="H486" s="2">
        <f>SUM('Budget Detail FY 2012-19'!S664:S666)</f>
        <v>0</v>
      </c>
      <c r="I486" s="2">
        <f>SUM('Budget Detail FY 2012-19'!T664:T666)</f>
        <v>0</v>
      </c>
      <c r="J486" s="2">
        <f>SUM('Budget Detail FY 2012-19'!U664:U666)</f>
        <v>0</v>
      </c>
      <c r="K486" s="2">
        <f>SUM('Budget Detail FY 2012-19'!V664:V666)</f>
        <v>0</v>
      </c>
    </row>
    <row r="487" spans="2:12" ht="20.100000000000001" customHeight="1">
      <c r="B487" s="687" t="s">
        <v>921</v>
      </c>
      <c r="C487" s="2">
        <f>'Budget Detail FY 2012-19'!N667</f>
        <v>4000</v>
      </c>
      <c r="D487" s="2">
        <f>'Budget Detail FY 2012-19'!O667</f>
        <v>24000</v>
      </c>
      <c r="E487" s="2">
        <f>'Budget Detail FY 2012-19'!P667</f>
        <v>0</v>
      </c>
      <c r="F487" s="2">
        <f>'Budget Detail FY 2012-19'!Q667</f>
        <v>0</v>
      </c>
      <c r="G487" s="2">
        <f>'Budget Detail FY 2012-19'!R667</f>
        <v>0</v>
      </c>
      <c r="H487" s="2">
        <f>'Budget Detail FY 2012-19'!S667</f>
        <v>0</v>
      </c>
      <c r="I487" s="2">
        <f>'Budget Detail FY 2012-19'!T667</f>
        <v>0</v>
      </c>
      <c r="J487" s="2">
        <f>'Budget Detail FY 2012-19'!U667</f>
        <v>0</v>
      </c>
      <c r="K487" s="2">
        <f>'Budget Detail FY 2012-19'!V667</f>
        <v>0</v>
      </c>
    </row>
    <row r="488" spans="2:12" ht="20.100000000000001" customHeight="1">
      <c r="B488" s="688" t="s">
        <v>923</v>
      </c>
      <c r="C488" s="2">
        <f>SUM('Budget Detail FY 2012-19'!N668:N674)</f>
        <v>1362022</v>
      </c>
      <c r="D488" s="2">
        <f>SUM('Budget Detail FY 2012-19'!O668:O674)</f>
        <v>1348205</v>
      </c>
      <c r="E488" s="2">
        <f>SUM('Budget Detail FY 2012-19'!P668:P674)</f>
        <v>1097560</v>
      </c>
      <c r="F488" s="2">
        <f>SUM('Budget Detail FY 2012-19'!Q668:Q674)</f>
        <v>1111261</v>
      </c>
      <c r="G488" s="2">
        <f>SUM('Budget Detail FY 2012-19'!R668:R674)</f>
        <v>1140500</v>
      </c>
      <c r="H488" s="2">
        <f>SUM('Budget Detail FY 2012-19'!S668:S674)</f>
        <v>1163675</v>
      </c>
      <c r="I488" s="2">
        <f>SUM('Budget Detail FY 2012-19'!T668:T674)</f>
        <v>1203459</v>
      </c>
      <c r="J488" s="2">
        <f>SUM('Budget Detail FY 2012-19'!U668:U674)</f>
        <v>1245232</v>
      </c>
      <c r="K488" s="2">
        <f>SUM('Budget Detail FY 2012-19'!V668:V674)</f>
        <v>1289094</v>
      </c>
    </row>
    <row r="489" spans="2:12" ht="20.100000000000001" customHeight="1">
      <c r="B489" s="688" t="s">
        <v>924</v>
      </c>
      <c r="C489" s="2">
        <f>'Budget Detail FY 2012-19'!N675</f>
        <v>2405</v>
      </c>
      <c r="D489" s="2">
        <f>'Budget Detail FY 2012-19'!O675</f>
        <v>7339</v>
      </c>
      <c r="E489" s="2">
        <f>'Budget Detail FY 2012-19'!P675</f>
        <v>5500</v>
      </c>
      <c r="F489" s="2">
        <f>'Budget Detail FY 2012-19'!Q675</f>
        <v>8500</v>
      </c>
      <c r="G489" s="2">
        <f>'Budget Detail FY 2012-19'!R675</f>
        <v>6000</v>
      </c>
      <c r="H489" s="2">
        <f>'Budget Detail FY 2012-19'!S675</f>
        <v>5000</v>
      </c>
      <c r="I489" s="2">
        <f>'Budget Detail FY 2012-19'!T675</f>
        <v>4500</v>
      </c>
      <c r="J489" s="2">
        <f>'Budget Detail FY 2012-19'!U675</f>
        <v>4500</v>
      </c>
      <c r="K489" s="2">
        <f>'Budget Detail FY 2012-19'!V675</f>
        <v>4500</v>
      </c>
    </row>
    <row r="490" spans="2:12" ht="20.100000000000001" customHeight="1">
      <c r="B490" s="688" t="s">
        <v>925</v>
      </c>
      <c r="C490" s="2">
        <f>SUM('Budget Detail FY 2012-19'!N676:N677)</f>
        <v>1741</v>
      </c>
      <c r="D490" s="2">
        <f>SUM('Budget Detail FY 2012-19'!O676:O677)</f>
        <v>7908</v>
      </c>
      <c r="E490" s="2">
        <f>SUM('Budget Detail FY 2012-19'!P676:P677)</f>
        <v>0</v>
      </c>
      <c r="F490" s="2">
        <f>SUM('Budget Detail FY 2012-19'!Q676:Q677)</f>
        <v>0</v>
      </c>
      <c r="G490" s="2">
        <f>SUM('Budget Detail FY 2012-19'!R676:R677)</f>
        <v>0</v>
      </c>
      <c r="H490" s="2">
        <f>SUM('Budget Detail FY 2012-19'!S676:S677)</f>
        <v>0</v>
      </c>
      <c r="I490" s="2">
        <f>SUM('Budget Detail FY 2012-19'!T676:T677)</f>
        <v>0</v>
      </c>
      <c r="J490" s="2">
        <f>SUM('Budget Detail FY 2012-19'!U676:U677)</f>
        <v>0</v>
      </c>
      <c r="K490" s="2">
        <f>SUM('Budget Detail FY 2012-19'!V676:V677)</f>
        <v>0</v>
      </c>
    </row>
    <row r="491" spans="2:12" ht="20.100000000000001" customHeight="1">
      <c r="B491" s="688" t="s">
        <v>927</v>
      </c>
      <c r="C491" s="2">
        <f>'Budget Detail FY 2012-19'!N678+'Budget Detail FY 2012-19'!N679</f>
        <v>0</v>
      </c>
      <c r="D491" s="2">
        <f>'Budget Detail FY 2012-19'!O678+'Budget Detail FY 2012-19'!O679</f>
        <v>0</v>
      </c>
      <c r="E491" s="2">
        <f>'Budget Detail FY 2012-19'!P678+'Budget Detail FY 2012-19'!P679</f>
        <v>1137220</v>
      </c>
      <c r="F491" s="2">
        <f>'Budget Detail FY 2012-19'!Q678+'Budget Detail FY 2012-19'!Q679</f>
        <v>1137220</v>
      </c>
      <c r="G491" s="2">
        <f>'Budget Detail FY 2012-19'!R678+'Budget Detail FY 2012-19'!R679</f>
        <v>1238972</v>
      </c>
      <c r="H491" s="2">
        <f>'Budget Detail FY 2012-19'!S678+'Budget Detail FY 2012-19'!S679</f>
        <v>1134654</v>
      </c>
      <c r="I491" s="2">
        <f>'Budget Detail FY 2012-19'!T678+'Budget Detail FY 2012-19'!T679</f>
        <v>1134052</v>
      </c>
      <c r="J491" s="2">
        <f>'Budget Detail FY 2012-19'!U678+'Budget Detail FY 2012-19'!U679</f>
        <v>1137166</v>
      </c>
      <c r="K491" s="2">
        <f>'Budget Detail FY 2012-19'!V678+'Budget Detail FY 2012-19'!V679</f>
        <v>1133782</v>
      </c>
    </row>
    <row r="492" spans="2:12" ht="20.100000000000001" customHeight="1" thickBot="1">
      <c r="B492" s="172" t="s">
        <v>928</v>
      </c>
      <c r="C492" s="169">
        <f t="shared" ref="C492:J492" si="78">SUM(C486:C491)</f>
        <v>3120374</v>
      </c>
      <c r="D492" s="169">
        <f>SUM(D486:D491)</f>
        <v>1649995</v>
      </c>
      <c r="E492" s="169">
        <f t="shared" si="78"/>
        <v>2355220</v>
      </c>
      <c r="F492" s="169">
        <f t="shared" si="78"/>
        <v>2367582</v>
      </c>
      <c r="G492" s="169">
        <f t="shared" si="78"/>
        <v>2385472</v>
      </c>
      <c r="H492" s="169">
        <f t="shared" si="78"/>
        <v>2303329</v>
      </c>
      <c r="I492" s="169">
        <f t="shared" si="78"/>
        <v>2342011</v>
      </c>
      <c r="J492" s="169">
        <f t="shared" si="78"/>
        <v>2386898</v>
      </c>
      <c r="K492" s="169">
        <f>SUM(K486:K491)</f>
        <v>2427376</v>
      </c>
      <c r="L492" s="173"/>
    </row>
    <row r="493" spans="2:12" s="173" customFormat="1" ht="15" hidden="1">
      <c r="B493" s="174"/>
      <c r="C493" s="146">
        <f>'Budget Detail FY 2012-19'!N681</f>
        <v>3120374</v>
      </c>
      <c r="D493" s="146">
        <f>'Budget Detail FY 2012-19'!O681</f>
        <v>1649995</v>
      </c>
      <c r="E493" s="146">
        <f>'Budget Detail FY 2012-19'!P681</f>
        <v>2355220</v>
      </c>
      <c r="F493" s="146">
        <f>'Budget Detail FY 2012-19'!Q681</f>
        <v>2367582</v>
      </c>
      <c r="G493" s="146">
        <f>'Budget Detail FY 2012-19'!R681</f>
        <v>2385472</v>
      </c>
      <c r="H493" s="146">
        <f>'Budget Detail FY 2012-19'!S681</f>
        <v>2303329</v>
      </c>
      <c r="I493" s="146">
        <f>'Budget Detail FY 2012-19'!T681</f>
        <v>2342011</v>
      </c>
      <c r="J493" s="146">
        <f>'Budget Detail FY 2012-19'!U681</f>
        <v>2386898</v>
      </c>
      <c r="K493" s="146">
        <f>'Budget Detail FY 2012-19'!V681</f>
        <v>2427376</v>
      </c>
      <c r="L493" s="586" t="s">
        <v>1299</v>
      </c>
    </row>
    <row r="494" spans="2:12" s="175" customFormat="1" ht="14.25" hidden="1">
      <c r="B494" s="176"/>
      <c r="C494" s="147">
        <f>C492-C493</f>
        <v>0</v>
      </c>
      <c r="D494" s="147">
        <f t="shared" ref="D494:K494" si="79">D492-D493</f>
        <v>0</v>
      </c>
      <c r="E494" s="147">
        <f t="shared" si="79"/>
        <v>0</v>
      </c>
      <c r="F494" s="147">
        <f t="shared" si="79"/>
        <v>0</v>
      </c>
      <c r="G494" s="147">
        <f t="shared" si="79"/>
        <v>0</v>
      </c>
      <c r="H494" s="147">
        <f t="shared" si="79"/>
        <v>0</v>
      </c>
      <c r="I494" s="147">
        <f t="shared" si="79"/>
        <v>0</v>
      </c>
      <c r="J494" s="147">
        <f t="shared" si="79"/>
        <v>0</v>
      </c>
      <c r="K494" s="147">
        <f t="shared" si="79"/>
        <v>0</v>
      </c>
      <c r="L494" s="587" t="s">
        <v>1300</v>
      </c>
    </row>
    <row r="495" spans="2:12" ht="7.5" customHeight="1">
      <c r="B495" s="1"/>
      <c r="C495" s="2"/>
      <c r="D495" s="2"/>
      <c r="E495" s="2"/>
      <c r="F495" s="2"/>
      <c r="G495" s="2"/>
      <c r="H495" s="2"/>
      <c r="I495" s="2"/>
      <c r="J495" s="2"/>
      <c r="K495" s="2"/>
    </row>
    <row r="496" spans="2:12" ht="15">
      <c r="B496" s="177" t="s">
        <v>661</v>
      </c>
      <c r="C496" s="2"/>
      <c r="D496" s="2"/>
      <c r="E496" s="2"/>
      <c r="F496" s="2"/>
      <c r="G496" s="2"/>
      <c r="H496" s="2"/>
      <c r="I496" s="2"/>
      <c r="J496" s="2"/>
      <c r="K496" s="2"/>
    </row>
    <row r="497" spans="2:12" ht="20.100000000000001" customHeight="1">
      <c r="B497" s="689" t="s">
        <v>929</v>
      </c>
      <c r="C497" s="2">
        <f>SUM('Budget Detail FY 2012-19'!N684:N686)</f>
        <v>198218</v>
      </c>
      <c r="D497" s="2">
        <f>SUM('Budget Detail FY 2012-19'!O684:O686)</f>
        <v>190452</v>
      </c>
      <c r="E497" s="2">
        <f>SUM('Budget Detail FY 2012-19'!P684:P686)</f>
        <v>189544</v>
      </c>
      <c r="F497" s="2">
        <f>SUM('Budget Detail FY 2012-19'!Q684:Q686)</f>
        <v>189544</v>
      </c>
      <c r="G497" s="2">
        <f>SUM('Budget Detail FY 2012-19'!R684:R686)</f>
        <v>195304</v>
      </c>
      <c r="H497" s="2">
        <f>SUM('Budget Detail FY 2012-19'!S684:S686)</f>
        <v>201103</v>
      </c>
      <c r="I497" s="2">
        <f>SUM('Budget Detail FY 2012-19'!T684:T686)</f>
        <v>208072</v>
      </c>
      <c r="J497" s="2">
        <f>SUM('Budget Detail FY 2012-19'!U684:U686)</f>
        <v>215285</v>
      </c>
      <c r="K497" s="2">
        <f>SUM('Budget Detail FY 2012-19'!V684:V686)</f>
        <v>222750</v>
      </c>
    </row>
    <row r="498" spans="2:12" ht="20.100000000000001" customHeight="1">
      <c r="B498" s="689" t="s">
        <v>930</v>
      </c>
      <c r="C498" s="2">
        <f>SUM('Budget Detail FY 2012-19'!N687:N694)</f>
        <v>33563</v>
      </c>
      <c r="D498" s="2">
        <f>SUM('Budget Detail FY 2012-19'!O687:O694)</f>
        <v>95946</v>
      </c>
      <c r="E498" s="2">
        <f>SUM('Budget Detail FY 2012-19'!P687:P694)</f>
        <v>98540</v>
      </c>
      <c r="F498" s="2">
        <f>SUM('Budget Detail FY 2012-19'!Q687:Q694)</f>
        <v>98040</v>
      </c>
      <c r="G498" s="2">
        <f>SUM('Budget Detail FY 2012-19'!R687:R694)</f>
        <v>105056</v>
      </c>
      <c r="H498" s="2">
        <f>SUM('Budget Detail FY 2012-19'!S687:S694)</f>
        <v>112430</v>
      </c>
      <c r="I498" s="2">
        <f>SUM('Budget Detail FY 2012-19'!T687:T694)</f>
        <v>120531</v>
      </c>
      <c r="J498" s="2">
        <f>SUM('Budget Detail FY 2012-19'!U687:U694)</f>
        <v>129260</v>
      </c>
      <c r="K498" s="2">
        <f>SUM('Budget Detail FY 2012-19'!V687:V694)</f>
        <v>138704</v>
      </c>
    </row>
    <row r="499" spans="2:12" ht="20.100000000000001" customHeight="1">
      <c r="B499" s="689" t="s">
        <v>931</v>
      </c>
      <c r="C499" s="2">
        <f>SUM('Budget Detail FY 2012-19'!N695:N708)</f>
        <v>140460</v>
      </c>
      <c r="D499" s="2">
        <f>SUM('Budget Detail FY 2012-19'!O695:O708)</f>
        <v>89177</v>
      </c>
      <c r="E499" s="2">
        <f>SUM('Budget Detail FY 2012-19'!P695:P708)</f>
        <v>80950</v>
      </c>
      <c r="F499" s="2">
        <f>SUM('Budget Detail FY 2012-19'!Q695:Q708)</f>
        <v>80950</v>
      </c>
      <c r="G499" s="2">
        <f>SUM('Budget Detail FY 2012-19'!R695:R708)</f>
        <v>95578</v>
      </c>
      <c r="H499" s="2">
        <f>SUM('Budget Detail FY 2012-19'!S695:S708)</f>
        <v>99073</v>
      </c>
      <c r="I499" s="2">
        <f>SUM('Budget Detail FY 2012-19'!T695:T708)</f>
        <v>103166</v>
      </c>
      <c r="J499" s="2">
        <f>SUM('Budget Detail FY 2012-19'!U695:U708)</f>
        <v>107497</v>
      </c>
      <c r="K499" s="2">
        <f>SUM('Budget Detail FY 2012-19'!V695:V708)</f>
        <v>112078</v>
      </c>
    </row>
    <row r="500" spans="2:12" ht="20.100000000000001" customHeight="1">
      <c r="B500" s="689" t="s">
        <v>932</v>
      </c>
      <c r="C500" s="2">
        <f>SUM('Budget Detail FY 2012-19'!N709:N717)</f>
        <v>45381</v>
      </c>
      <c r="D500" s="2">
        <f>SUM('Budget Detail FY 2012-19'!O709:O717)</f>
        <v>44378</v>
      </c>
      <c r="E500" s="2">
        <f>SUM('Budget Detail FY 2012-19'!P709:P717)</f>
        <v>83206</v>
      </c>
      <c r="F500" s="2">
        <f>SUM('Budget Detail FY 2012-19'!Q709:Q717)</f>
        <v>83206</v>
      </c>
      <c r="G500" s="2">
        <f>SUM('Budget Detail FY 2012-19'!R709:R717)</f>
        <v>90144</v>
      </c>
      <c r="H500" s="2">
        <f>SUM('Budget Detail FY 2012-19'!S709:S717)</f>
        <v>92485</v>
      </c>
      <c r="I500" s="2">
        <f>SUM('Budget Detail FY 2012-19'!T709:T717)</f>
        <v>94990</v>
      </c>
      <c r="J500" s="2">
        <f>SUM('Budget Detail FY 2012-19'!U709:U717)</f>
        <v>97670</v>
      </c>
      <c r="K500" s="2">
        <f>SUM('Budget Detail FY 2012-19'!V709:V717)</f>
        <v>100538</v>
      </c>
    </row>
    <row r="501" spans="2:12" ht="20.100000000000001" customHeight="1">
      <c r="B501" s="689" t="s">
        <v>933</v>
      </c>
      <c r="C501" s="2">
        <f>SUM('Budget Detail FY 2012-19'!N718:N720)</f>
        <v>25054</v>
      </c>
      <c r="D501" s="2">
        <f>SUM('Budget Detail FY 2012-19'!O718:O720)</f>
        <v>38951</v>
      </c>
      <c r="E501" s="2">
        <f>SUM('Budget Detail FY 2012-19'!P718:P720)</f>
        <v>66773</v>
      </c>
      <c r="F501" s="2">
        <f>SUM('Budget Detail FY 2012-19'!Q718:Q720)</f>
        <v>66773</v>
      </c>
      <c r="G501" s="2">
        <f>SUM('Budget Detail FY 2012-19'!R718:R720)</f>
        <v>593095</v>
      </c>
      <c r="H501" s="2">
        <f>SUM('Budget Detail FY 2012-19'!S718:S720)</f>
        <v>259098</v>
      </c>
      <c r="I501" s="2">
        <f>SUM('Budget Detail FY 2012-19'!T718:T720)</f>
        <v>259098</v>
      </c>
      <c r="J501" s="2">
        <f>SUM('Budget Detail FY 2012-19'!U718:U720)</f>
        <v>259098</v>
      </c>
      <c r="K501" s="2">
        <f>SUM('Budget Detail FY 2012-19'!V718:V720)</f>
        <v>259098</v>
      </c>
    </row>
    <row r="502" spans="2:12" ht="20.100000000000001" customHeight="1">
      <c r="B502" s="690" t="s">
        <v>949</v>
      </c>
      <c r="C502" s="2">
        <f>SUM('Budget Detail FY 2012-19'!N721:N721)</f>
        <v>30996</v>
      </c>
      <c r="D502" s="2">
        <f>SUM('Budget Detail FY 2012-19'!O721:O721)</f>
        <v>30996</v>
      </c>
      <c r="E502" s="2">
        <f>SUM('Budget Detail FY 2012-19'!P721:P721)</f>
        <v>0</v>
      </c>
      <c r="F502" s="2">
        <f>SUM('Budget Detail FY 2012-19'!Q721:Q721)</f>
        <v>0</v>
      </c>
      <c r="G502" s="2">
        <f>SUM('Budget Detail FY 2012-19'!R721:R721)</f>
        <v>0</v>
      </c>
      <c r="H502" s="2">
        <f>SUM('Budget Detail FY 2012-19'!S721:S721)</f>
        <v>0</v>
      </c>
      <c r="I502" s="2">
        <f>SUM('Budget Detail FY 2012-19'!T721:T721)</f>
        <v>0</v>
      </c>
      <c r="J502" s="2">
        <f>SUM('Budget Detail FY 2012-19'!U721:U721)</f>
        <v>0</v>
      </c>
      <c r="K502" s="2">
        <f>SUM('Budget Detail FY 2012-19'!V721:V721)</f>
        <v>0</v>
      </c>
    </row>
    <row r="503" spans="2:12" ht="20.100000000000001" customHeight="1">
      <c r="B503" s="690" t="s">
        <v>852</v>
      </c>
      <c r="C503" s="2">
        <f>SUM('Budget Detail FY 2012-19'!N722:N743)</f>
        <v>1416416</v>
      </c>
      <c r="D503" s="2">
        <f>SUM('Budget Detail FY 2012-19'!O722:O743)</f>
        <v>1088012</v>
      </c>
      <c r="E503" s="2">
        <f>SUM('Budget Detail FY 2012-19'!P722:P743)</f>
        <v>1968119</v>
      </c>
      <c r="F503" s="2">
        <f>SUM('Budget Detail FY 2012-19'!Q722:Q743)</f>
        <v>1968119</v>
      </c>
      <c r="G503" s="2">
        <f>SUM('Budget Detail FY 2012-19'!R722:R743)</f>
        <v>2054461</v>
      </c>
      <c r="H503" s="2">
        <f>SUM('Budget Detail FY 2012-19'!S722:S743)</f>
        <v>1865399</v>
      </c>
      <c r="I503" s="2">
        <f>SUM('Budget Detail FY 2012-19'!T722:T743)</f>
        <v>1865857</v>
      </c>
      <c r="J503" s="2">
        <f>SUM('Budget Detail FY 2012-19'!U722:U743)</f>
        <v>1877110</v>
      </c>
      <c r="K503" s="2">
        <f>SUM('Budget Detail FY 2012-19'!V722:V743)</f>
        <v>1880265</v>
      </c>
    </row>
    <row r="504" spans="2:12" ht="20.100000000000001" customHeight="1">
      <c r="B504" s="690" t="s">
        <v>935</v>
      </c>
      <c r="C504" s="2">
        <f>SUM('Budget Detail FY 2012-19'!N744:N745)</f>
        <v>604582</v>
      </c>
      <c r="D504" s="2">
        <f>SUM('Budget Detail FY 2012-19'!O744:O745)</f>
        <v>82288</v>
      </c>
      <c r="E504" s="2">
        <f>SUM('Budget Detail FY 2012-19'!P744:P745)</f>
        <v>82988</v>
      </c>
      <c r="F504" s="2">
        <f>SUM('Budget Detail FY 2012-19'!Q744:Q745)</f>
        <v>82988</v>
      </c>
      <c r="G504" s="2">
        <f>SUM('Budget Detail FY 2012-19'!R744:R745)</f>
        <v>83588</v>
      </c>
      <c r="H504" s="2">
        <f>SUM('Budget Detail FY 2012-19'!S744:S745)</f>
        <v>84088</v>
      </c>
      <c r="I504" s="2">
        <f>SUM('Budget Detail FY 2012-19'!T744:T745)</f>
        <v>84488</v>
      </c>
      <c r="J504" s="2">
        <f>SUM('Budget Detail FY 2012-19'!U744:U745)</f>
        <v>82288</v>
      </c>
      <c r="K504" s="2">
        <f>SUM('Budget Detail FY 2012-19'!V744:V745)</f>
        <v>85088</v>
      </c>
    </row>
    <row r="505" spans="2:12" ht="20.100000000000001" customHeight="1" thickBot="1">
      <c r="B505" s="172" t="s">
        <v>950</v>
      </c>
      <c r="C505" s="169">
        <f t="shared" ref="C505:J505" si="80">SUM(C497:C504)</f>
        <v>2494670</v>
      </c>
      <c r="D505" s="169">
        <f>SUM(D497:D504)</f>
        <v>1660200</v>
      </c>
      <c r="E505" s="169">
        <f t="shared" si="80"/>
        <v>2570120</v>
      </c>
      <c r="F505" s="169">
        <f>SUM(F497:F504)</f>
        <v>2569620</v>
      </c>
      <c r="G505" s="169">
        <f t="shared" si="80"/>
        <v>3217226</v>
      </c>
      <c r="H505" s="169">
        <f t="shared" si="80"/>
        <v>2713676</v>
      </c>
      <c r="I505" s="169">
        <f t="shared" si="80"/>
        <v>2736202</v>
      </c>
      <c r="J505" s="169">
        <f t="shared" si="80"/>
        <v>2768208</v>
      </c>
      <c r="K505" s="169">
        <f>SUM(K497:K504)</f>
        <v>2798521</v>
      </c>
      <c r="L505" s="173"/>
    </row>
    <row r="506" spans="2:12" s="173" customFormat="1" ht="15" hidden="1">
      <c r="B506" s="174"/>
      <c r="C506" s="146">
        <f>'Budget Detail FY 2012-19'!N747</f>
        <v>2494670</v>
      </c>
      <c r="D506" s="146">
        <f>'Budget Detail FY 2012-19'!O747</f>
        <v>1660200</v>
      </c>
      <c r="E506" s="146">
        <f>'Budget Detail FY 2012-19'!P747</f>
        <v>2570120</v>
      </c>
      <c r="F506" s="146">
        <f>'Budget Detail FY 2012-19'!Q747</f>
        <v>2569620</v>
      </c>
      <c r="G506" s="146">
        <f>'Budget Detail FY 2012-19'!R747</f>
        <v>3217226</v>
      </c>
      <c r="H506" s="146">
        <f>'Budget Detail FY 2012-19'!S747</f>
        <v>2713676</v>
      </c>
      <c r="I506" s="146">
        <f>'Budget Detail FY 2012-19'!T747</f>
        <v>2736202</v>
      </c>
      <c r="J506" s="146">
        <f>'Budget Detail FY 2012-19'!U747</f>
        <v>2768208</v>
      </c>
      <c r="K506" s="146">
        <f>'Budget Detail FY 2012-19'!V747</f>
        <v>2798521</v>
      </c>
      <c r="L506" s="586" t="s">
        <v>1299</v>
      </c>
    </row>
    <row r="507" spans="2:12" s="175" customFormat="1" ht="15" hidden="1">
      <c r="B507" s="176"/>
      <c r="C507" s="182">
        <f>C505-C506</f>
        <v>0</v>
      </c>
      <c r="D507" s="182">
        <f t="shared" ref="D507:K507" si="81">D505-D506</f>
        <v>0</v>
      </c>
      <c r="E507" s="182">
        <f t="shared" si="81"/>
        <v>0</v>
      </c>
      <c r="F507" s="182">
        <f t="shared" si="81"/>
        <v>0</v>
      </c>
      <c r="G507" s="182">
        <f t="shared" si="81"/>
        <v>0</v>
      </c>
      <c r="H507" s="182">
        <f t="shared" si="81"/>
        <v>0</v>
      </c>
      <c r="I507" s="182">
        <f t="shared" si="81"/>
        <v>0</v>
      </c>
      <c r="J507" s="182">
        <f t="shared" si="81"/>
        <v>0</v>
      </c>
      <c r="K507" s="182">
        <f t="shared" si="81"/>
        <v>0</v>
      </c>
      <c r="L507" s="587" t="s">
        <v>1300</v>
      </c>
    </row>
    <row r="508" spans="2:12" ht="7.5" customHeight="1">
      <c r="B508" s="179"/>
      <c r="C508" s="3"/>
      <c r="D508" s="2"/>
      <c r="E508" s="2"/>
      <c r="F508" s="2"/>
      <c r="G508" s="2"/>
      <c r="H508" s="2"/>
      <c r="I508" s="2"/>
      <c r="J508" s="2"/>
      <c r="K508" s="2"/>
    </row>
    <row r="509" spans="2:12" ht="20.100000000000001" customHeight="1">
      <c r="B509" s="691" t="s">
        <v>937</v>
      </c>
      <c r="C509" s="3">
        <f t="shared" ref="C509:K509" si="82">+C492-C505</f>
        <v>625704</v>
      </c>
      <c r="D509" s="3">
        <f t="shared" si="82"/>
        <v>-10205</v>
      </c>
      <c r="E509" s="3">
        <f t="shared" si="82"/>
        <v>-214900</v>
      </c>
      <c r="F509" s="3">
        <f t="shared" si="82"/>
        <v>-202038</v>
      </c>
      <c r="G509" s="3">
        <f t="shared" si="82"/>
        <v>-831754</v>
      </c>
      <c r="H509" s="3">
        <f t="shared" si="82"/>
        <v>-410347</v>
      </c>
      <c r="I509" s="3">
        <f t="shared" si="82"/>
        <v>-394191</v>
      </c>
      <c r="J509" s="3">
        <f t="shared" si="82"/>
        <v>-381310</v>
      </c>
      <c r="K509" s="3">
        <f t="shared" si="82"/>
        <v>-371145</v>
      </c>
      <c r="L509" s="173"/>
    </row>
    <row r="510" spans="2:12" s="173" customFormat="1" ht="15" hidden="1">
      <c r="B510" s="180"/>
      <c r="C510" s="146">
        <f>'Budget Detail FY 2012-19'!N749</f>
        <v>625704</v>
      </c>
      <c r="D510" s="146">
        <f>'Budget Detail FY 2012-19'!O749</f>
        <v>-10205</v>
      </c>
      <c r="E510" s="146">
        <f>'Budget Detail FY 2012-19'!P749</f>
        <v>-214900</v>
      </c>
      <c r="F510" s="146">
        <f>'Budget Detail FY 2012-19'!Q749</f>
        <v>-202038</v>
      </c>
      <c r="G510" s="146">
        <f>'Budget Detail FY 2012-19'!R749</f>
        <v>-831754</v>
      </c>
      <c r="H510" s="146">
        <f>'Budget Detail FY 2012-19'!S749</f>
        <v>-410347</v>
      </c>
      <c r="I510" s="146">
        <f>'Budget Detail FY 2012-19'!T749</f>
        <v>-394191</v>
      </c>
      <c r="J510" s="146">
        <f>'Budget Detail FY 2012-19'!U749</f>
        <v>-381310</v>
      </c>
      <c r="K510" s="146">
        <f>'Budget Detail FY 2012-19'!V749</f>
        <v>-371145</v>
      </c>
      <c r="L510" s="586" t="s">
        <v>1299</v>
      </c>
    </row>
    <row r="511" spans="2:12" s="175" customFormat="1" ht="15" hidden="1">
      <c r="B511" s="181"/>
      <c r="C511" s="190">
        <f>C509-C510</f>
        <v>0</v>
      </c>
      <c r="D511" s="190">
        <f t="shared" ref="D511:K511" si="83">D509-D510</f>
        <v>0</v>
      </c>
      <c r="E511" s="190">
        <f t="shared" si="83"/>
        <v>0</v>
      </c>
      <c r="F511" s="190">
        <f t="shared" si="83"/>
        <v>0</v>
      </c>
      <c r="G511" s="190">
        <f t="shared" si="83"/>
        <v>0</v>
      </c>
      <c r="H511" s="190">
        <f t="shared" si="83"/>
        <v>0</v>
      </c>
      <c r="I511" s="190">
        <f t="shared" si="83"/>
        <v>0</v>
      </c>
      <c r="J511" s="190">
        <f t="shared" si="83"/>
        <v>0</v>
      </c>
      <c r="K511" s="190">
        <f t="shared" si="83"/>
        <v>0</v>
      </c>
      <c r="L511" s="587" t="s">
        <v>1300</v>
      </c>
    </row>
    <row r="512" spans="2:12" ht="7.5" customHeight="1">
      <c r="B512" s="183"/>
      <c r="C512" s="3"/>
      <c r="D512" s="2"/>
      <c r="E512" s="2"/>
      <c r="F512" s="2"/>
      <c r="G512" s="2"/>
      <c r="H512" s="2"/>
      <c r="I512" s="2"/>
      <c r="J512" s="2"/>
      <c r="K512" s="2"/>
    </row>
    <row r="513" spans="2:12" ht="20.100000000000001" customHeight="1" thickBot="1">
      <c r="B513" s="171" t="s">
        <v>951</v>
      </c>
      <c r="C513" s="91">
        <v>3003537</v>
      </c>
      <c r="D513" s="91">
        <v>2993332</v>
      </c>
      <c r="E513" s="91">
        <v>2681077</v>
      </c>
      <c r="F513" s="91">
        <f>D513+F509</f>
        <v>2791294</v>
      </c>
      <c r="G513" s="91">
        <f>F513+G509</f>
        <v>1959540</v>
      </c>
      <c r="H513" s="91">
        <f>G513+H509</f>
        <v>1549193</v>
      </c>
      <c r="I513" s="91">
        <f>H513+I509</f>
        <v>1155002</v>
      </c>
      <c r="J513" s="91">
        <f>I513+J509</f>
        <v>773692</v>
      </c>
      <c r="K513" s="91">
        <f>J513+K509</f>
        <v>402547</v>
      </c>
      <c r="L513" s="173"/>
    </row>
    <row r="514" spans="2:12" s="173" customFormat="1" ht="15.75" hidden="1" thickTop="1">
      <c r="B514" s="174"/>
      <c r="C514" s="146">
        <f>'Budget Detail FY 2012-19'!N751</f>
        <v>3003537</v>
      </c>
      <c r="D514" s="146">
        <f>'Budget Detail FY 2012-19'!O751</f>
        <v>2993332</v>
      </c>
      <c r="E514" s="146">
        <f>'Budget Detail FY 2012-19'!P751</f>
        <v>2681077</v>
      </c>
      <c r="F514" s="146">
        <f>'Budget Detail FY 2012-19'!Q751</f>
        <v>2791294</v>
      </c>
      <c r="G514" s="146">
        <f>'Budget Detail FY 2012-19'!R751</f>
        <v>1959540</v>
      </c>
      <c r="H514" s="146">
        <f>'Budget Detail FY 2012-19'!S751</f>
        <v>1549193</v>
      </c>
      <c r="I514" s="146">
        <f>'Budget Detail FY 2012-19'!T751</f>
        <v>1155002</v>
      </c>
      <c r="J514" s="146">
        <f>'Budget Detail FY 2012-19'!U751</f>
        <v>773692</v>
      </c>
      <c r="K514" s="146">
        <f>'Budget Detail FY 2012-19'!V751</f>
        <v>402547</v>
      </c>
      <c r="L514" s="586" t="s">
        <v>1299</v>
      </c>
    </row>
    <row r="515" spans="2:12" s="175" customFormat="1" ht="15" hidden="1">
      <c r="B515" s="176"/>
      <c r="C515" s="182">
        <f>C513-C514</f>
        <v>0</v>
      </c>
      <c r="D515" s="182">
        <f t="shared" ref="D515:K515" si="84">D513-D514</f>
        <v>0</v>
      </c>
      <c r="E515" s="182">
        <f t="shared" si="84"/>
        <v>0</v>
      </c>
      <c r="F515" s="182">
        <f t="shared" si="84"/>
        <v>0</v>
      </c>
      <c r="G515" s="182">
        <f t="shared" si="84"/>
        <v>0</v>
      </c>
      <c r="H515" s="182">
        <f t="shared" si="84"/>
        <v>0</v>
      </c>
      <c r="I515" s="182">
        <f t="shared" si="84"/>
        <v>0</v>
      </c>
      <c r="J515" s="182">
        <f t="shared" si="84"/>
        <v>0</v>
      </c>
      <c r="K515" s="182">
        <f t="shared" si="84"/>
        <v>0</v>
      </c>
      <c r="L515" s="587" t="s">
        <v>1300</v>
      </c>
    </row>
    <row r="516" spans="2:12" ht="15.75" thickTop="1">
      <c r="B516" s="184"/>
      <c r="C516" s="185">
        <f t="shared" ref="C516:J516" si="85">+C513/C505</f>
        <v>1.2039816889608645</v>
      </c>
      <c r="D516" s="185">
        <f t="shared" si="85"/>
        <v>1.8029948199012167</v>
      </c>
      <c r="E516" s="185">
        <f t="shared" si="85"/>
        <v>1.0431719141518685</v>
      </c>
      <c r="F516" s="185">
        <f t="shared" si="85"/>
        <v>1.0862672301741114</v>
      </c>
      <c r="G516" s="185">
        <f t="shared" si="85"/>
        <v>0.60907750963096785</v>
      </c>
      <c r="H516" s="185">
        <f t="shared" si="85"/>
        <v>0.570883554263663</v>
      </c>
      <c r="I516" s="185">
        <f t="shared" si="85"/>
        <v>0.42211868860559271</v>
      </c>
      <c r="J516" s="185">
        <f t="shared" si="85"/>
        <v>0.27949200349106712</v>
      </c>
      <c r="K516" s="185">
        <f>+K513/K505</f>
        <v>0.14384276551792893</v>
      </c>
    </row>
    <row r="517" spans="2:12" ht="15">
      <c r="B517" s="184"/>
      <c r="C517" s="185"/>
      <c r="D517" s="185"/>
      <c r="E517" s="185"/>
      <c r="F517" s="185"/>
      <c r="G517" s="185"/>
      <c r="H517" s="185"/>
      <c r="I517" s="185"/>
      <c r="J517" s="185"/>
      <c r="K517" s="185"/>
    </row>
    <row r="518" spans="2:12" ht="7.5" customHeight="1">
      <c r="B518" s="184"/>
      <c r="C518" s="2"/>
      <c r="D518" s="2"/>
      <c r="E518" s="2"/>
      <c r="F518" s="2"/>
      <c r="G518" s="2"/>
      <c r="H518" s="2"/>
      <c r="I518" s="2"/>
      <c r="J518" s="2"/>
      <c r="K518" s="2"/>
    </row>
    <row r="519" spans="2:12" ht="15">
      <c r="B519" s="1"/>
      <c r="C519" s="2"/>
      <c r="D519" s="2"/>
      <c r="E519" s="2"/>
      <c r="F519" s="2"/>
      <c r="G519" s="2"/>
      <c r="H519" s="2"/>
      <c r="I519" s="2"/>
      <c r="J519" s="2"/>
      <c r="K519" s="2"/>
    </row>
    <row r="520" spans="2:12" ht="15">
      <c r="B520" s="1"/>
      <c r="C520" s="2"/>
      <c r="D520" s="2"/>
      <c r="E520" s="2"/>
      <c r="F520" s="2"/>
      <c r="G520" s="2"/>
      <c r="H520" s="2"/>
      <c r="I520" s="2"/>
      <c r="J520" s="2"/>
      <c r="K520" s="2"/>
    </row>
    <row r="521" spans="2:12" ht="15">
      <c r="B521" s="1"/>
      <c r="C521" s="2"/>
      <c r="D521" s="2"/>
      <c r="E521" s="2"/>
      <c r="F521" s="2"/>
      <c r="G521" s="2"/>
      <c r="H521" s="2"/>
      <c r="I521" s="2"/>
      <c r="J521" s="2"/>
      <c r="K521" s="2"/>
    </row>
    <row r="522" spans="2:12" ht="15">
      <c r="B522" s="1"/>
      <c r="C522" s="2"/>
      <c r="D522" s="2"/>
      <c r="E522" s="2"/>
      <c r="F522" s="2"/>
      <c r="G522" s="2"/>
      <c r="H522" s="2"/>
      <c r="I522" s="2"/>
      <c r="J522" s="2"/>
      <c r="K522" s="2"/>
    </row>
    <row r="523" spans="2:12" ht="15">
      <c r="B523" s="1"/>
      <c r="C523" s="2"/>
      <c r="D523" s="2"/>
      <c r="E523" s="2"/>
      <c r="F523" s="2"/>
      <c r="G523" s="2"/>
      <c r="H523" s="2"/>
      <c r="I523" s="2"/>
      <c r="J523" s="2"/>
      <c r="K523" s="2"/>
    </row>
    <row r="524" spans="2:12" ht="15">
      <c r="B524" s="1"/>
      <c r="C524" s="2"/>
      <c r="D524" s="2"/>
      <c r="E524" s="2"/>
      <c r="F524" s="2"/>
      <c r="G524" s="2"/>
      <c r="H524" s="2"/>
      <c r="I524" s="2"/>
      <c r="J524" s="2"/>
      <c r="K524" s="2"/>
    </row>
    <row r="525" spans="2:12" ht="15">
      <c r="B525" s="1"/>
      <c r="C525" s="2"/>
      <c r="D525" s="2"/>
      <c r="E525" s="2"/>
      <c r="F525" s="2"/>
      <c r="G525" s="2"/>
      <c r="H525" s="2"/>
      <c r="I525" s="2"/>
      <c r="J525" s="2"/>
      <c r="K525" s="2"/>
    </row>
    <row r="526" spans="2:12" ht="15">
      <c r="B526" s="1"/>
      <c r="C526" s="2"/>
      <c r="D526" s="2"/>
      <c r="E526" s="2"/>
      <c r="F526" s="2"/>
      <c r="G526" s="2"/>
      <c r="H526" s="2"/>
      <c r="I526" s="2"/>
      <c r="J526" s="2"/>
      <c r="K526" s="2"/>
    </row>
    <row r="527" spans="2:12" ht="15">
      <c r="B527" s="1"/>
      <c r="C527" s="2"/>
      <c r="D527" s="2"/>
      <c r="E527" s="2"/>
      <c r="F527" s="2"/>
      <c r="G527" s="2"/>
      <c r="H527" s="2"/>
      <c r="I527" s="2"/>
      <c r="J527" s="2"/>
      <c r="K527" s="2"/>
    </row>
    <row r="528" spans="2:12" ht="15">
      <c r="B528" s="1"/>
      <c r="C528" s="2"/>
      <c r="D528" s="2"/>
      <c r="E528" s="2"/>
      <c r="F528" s="2"/>
      <c r="G528" s="2"/>
      <c r="H528" s="2"/>
      <c r="I528" s="2"/>
      <c r="J528" s="2"/>
      <c r="K528" s="2"/>
    </row>
    <row r="529" spans="2:11" ht="15">
      <c r="B529" s="1"/>
      <c r="C529" s="2"/>
      <c r="D529" s="2"/>
      <c r="E529" s="2"/>
      <c r="F529" s="2"/>
      <c r="G529" s="2"/>
      <c r="H529" s="2"/>
      <c r="I529" s="2"/>
      <c r="J529" s="2"/>
      <c r="K529" s="2"/>
    </row>
    <row r="530" spans="2:11" ht="15">
      <c r="B530" s="1"/>
      <c r="C530" s="2"/>
      <c r="D530" s="2"/>
      <c r="E530" s="2"/>
      <c r="F530" s="2"/>
      <c r="G530" s="2"/>
      <c r="H530" s="2"/>
      <c r="I530" s="2"/>
      <c r="J530" s="2"/>
      <c r="K530" s="2"/>
    </row>
    <row r="533" spans="2:11" ht="18.75">
      <c r="B533" s="722" t="s">
        <v>954</v>
      </c>
      <c r="C533" s="722"/>
      <c r="D533" s="722"/>
      <c r="E533" s="722"/>
      <c r="F533" s="722"/>
      <c r="G533" s="722"/>
      <c r="H533" s="722"/>
      <c r="I533" s="722"/>
      <c r="J533" s="722"/>
      <c r="K533" s="722"/>
    </row>
    <row r="534" spans="2:11" ht="15">
      <c r="B534" s="72"/>
      <c r="C534" s="3"/>
      <c r="D534" s="2"/>
      <c r="E534" s="2"/>
      <c r="F534" s="2"/>
      <c r="G534" s="2"/>
      <c r="H534" s="2"/>
      <c r="I534" s="2"/>
      <c r="J534" s="2"/>
      <c r="K534" s="2"/>
    </row>
    <row r="535" spans="2:11" ht="12.75" customHeight="1">
      <c r="B535" s="726" t="s">
        <v>955</v>
      </c>
      <c r="C535" s="726"/>
      <c r="D535" s="726"/>
      <c r="E535" s="726"/>
      <c r="F535" s="726"/>
      <c r="G535" s="726"/>
      <c r="H535" s="726"/>
      <c r="I535" s="726"/>
      <c r="J535" s="726"/>
      <c r="K535" s="726"/>
    </row>
    <row r="536" spans="2:11" ht="12.75" customHeight="1">
      <c r="B536" s="726"/>
      <c r="C536" s="726"/>
      <c r="D536" s="726"/>
      <c r="E536" s="726"/>
      <c r="F536" s="726"/>
      <c r="G536" s="726"/>
      <c r="H536" s="726"/>
      <c r="I536" s="726"/>
      <c r="J536" s="726"/>
      <c r="K536" s="726"/>
    </row>
    <row r="537" spans="2:11" ht="18.75" customHeight="1">
      <c r="B537" s="726"/>
      <c r="C537" s="726"/>
      <c r="D537" s="726"/>
      <c r="E537" s="726"/>
      <c r="F537" s="726"/>
      <c r="G537" s="726"/>
      <c r="H537" s="726"/>
      <c r="I537" s="726"/>
      <c r="J537" s="726"/>
      <c r="K537" s="726"/>
    </row>
    <row r="538" spans="2:11" ht="15">
      <c r="B538" s="5"/>
      <c r="C538" s="72"/>
      <c r="D538" s="73"/>
      <c r="E538" s="72" t="s">
        <v>283</v>
      </c>
      <c r="F538" s="1"/>
      <c r="G538" s="1"/>
      <c r="H538" s="1"/>
      <c r="I538" s="1"/>
      <c r="J538" s="1"/>
      <c r="K538" s="1"/>
    </row>
    <row r="539" spans="2:11" ht="15">
      <c r="B539" s="73"/>
      <c r="C539" s="72" t="s">
        <v>229</v>
      </c>
      <c r="D539" s="96" t="s">
        <v>282</v>
      </c>
      <c r="E539" s="73" t="s">
        <v>917</v>
      </c>
      <c r="F539" s="73" t="s">
        <v>283</v>
      </c>
      <c r="G539" s="73" t="s">
        <v>298</v>
      </c>
      <c r="H539" s="73" t="s">
        <v>299</v>
      </c>
      <c r="I539" s="73" t="s">
        <v>300</v>
      </c>
      <c r="J539" s="73" t="s">
        <v>1087</v>
      </c>
      <c r="K539" s="73" t="s">
        <v>1224</v>
      </c>
    </row>
    <row r="540" spans="2:11" ht="15.75" thickBot="1">
      <c r="B540" s="188"/>
      <c r="C540" s="75" t="s">
        <v>1</v>
      </c>
      <c r="D540" s="75" t="s">
        <v>1</v>
      </c>
      <c r="E540" s="75" t="s">
        <v>871</v>
      </c>
      <c r="F540" s="75" t="s">
        <v>20</v>
      </c>
      <c r="G540" s="75" t="s">
        <v>917</v>
      </c>
      <c r="H540" s="75" t="s">
        <v>20</v>
      </c>
      <c r="I540" s="75" t="s">
        <v>20</v>
      </c>
      <c r="J540" s="75" t="s">
        <v>20</v>
      </c>
      <c r="K540" s="75" t="s">
        <v>20</v>
      </c>
    </row>
    <row r="541" spans="2:11" ht="15">
      <c r="B541" s="71"/>
      <c r="C541" s="189"/>
      <c r="D541" s="2"/>
      <c r="E541" s="2"/>
      <c r="F541" s="2"/>
      <c r="G541" s="2"/>
      <c r="H541" s="2"/>
      <c r="I541" s="2"/>
      <c r="J541" s="2"/>
      <c r="K541" s="2"/>
    </row>
    <row r="542" spans="2:11" ht="15">
      <c r="B542" s="177" t="s">
        <v>918</v>
      </c>
      <c r="C542" s="2"/>
      <c r="D542" s="2"/>
      <c r="E542" s="2"/>
      <c r="F542" s="2"/>
      <c r="G542" s="2"/>
      <c r="H542" s="2"/>
      <c r="I542" s="2"/>
      <c r="J542" s="2"/>
      <c r="K542" s="2"/>
    </row>
    <row r="543" spans="2:11" ht="20.100000000000001" customHeight="1">
      <c r="B543" s="688" t="s">
        <v>920</v>
      </c>
      <c r="C543" s="2">
        <f>SUM('Budget Detail FY 2012-19'!N756:N759)</f>
        <v>400000</v>
      </c>
      <c r="D543" s="2">
        <f>SUM('Budget Detail FY 2012-19'!O756:O759)</f>
        <v>400000</v>
      </c>
      <c r="E543" s="2">
        <f>SUM('Budget Detail FY 2012-19'!P756:P759)</f>
        <v>96000</v>
      </c>
      <c r="F543" s="2">
        <f>SUM('Budget Detail FY 2012-19'!Q756:Q759)</f>
        <v>96000</v>
      </c>
      <c r="G543" s="2">
        <f>SUM('Budget Detail FY 2012-19'!R756:R759)</f>
        <v>0</v>
      </c>
      <c r="H543" s="2">
        <f>SUM('Budget Detail FY 2012-19'!S756:S759)</f>
        <v>0</v>
      </c>
      <c r="I543" s="2">
        <f>SUM('Budget Detail FY 2012-19'!T756:T759)</f>
        <v>400000</v>
      </c>
      <c r="J543" s="2">
        <f>SUM('Budget Detail FY 2012-19'!U756:U759)</f>
        <v>0</v>
      </c>
      <c r="K543" s="2">
        <f>SUM('Budget Detail FY 2012-19'!V756:V759)</f>
        <v>0</v>
      </c>
    </row>
    <row r="544" spans="2:11" ht="20.100000000000001" customHeight="1">
      <c r="B544" s="687" t="s">
        <v>921</v>
      </c>
      <c r="C544" s="2">
        <f>'Budget Detail FY 2012-19'!N760</f>
        <v>0</v>
      </c>
      <c r="D544" s="2">
        <f>'Budget Detail FY 2012-19'!O760</f>
        <v>0</v>
      </c>
      <c r="E544" s="2">
        <f>'Budget Detail FY 2012-19'!P760</f>
        <v>0</v>
      </c>
      <c r="F544" s="2">
        <f>'Budget Detail FY 2012-19'!Q760</f>
        <v>0</v>
      </c>
      <c r="G544" s="2">
        <f>'Budget Detail FY 2012-19'!R760</f>
        <v>0</v>
      </c>
      <c r="H544" s="2">
        <f>'Budget Detail FY 2012-19'!S760</f>
        <v>0</v>
      </c>
      <c r="I544" s="2">
        <f>'Budget Detail FY 2012-19'!T760</f>
        <v>0</v>
      </c>
      <c r="J544" s="2">
        <f>'Budget Detail FY 2012-19'!U760</f>
        <v>0</v>
      </c>
      <c r="K544" s="2">
        <f>'Budget Detail FY 2012-19'!V760</f>
        <v>0</v>
      </c>
    </row>
    <row r="545" spans="2:12" ht="20.100000000000001" customHeight="1">
      <c r="B545" s="688" t="s">
        <v>924</v>
      </c>
      <c r="C545" s="2">
        <f>'Budget Detail FY 2012-19'!N761</f>
        <v>0</v>
      </c>
      <c r="D545" s="2">
        <f>'Budget Detail FY 2012-19'!O761</f>
        <v>0</v>
      </c>
      <c r="E545" s="2">
        <f>'Budget Detail FY 2012-19'!P761</f>
        <v>0</v>
      </c>
      <c r="F545" s="2">
        <f>'Budget Detail FY 2012-19'!Q761</f>
        <v>5</v>
      </c>
      <c r="G545" s="2">
        <f>'Budget Detail FY 2012-19'!R761</f>
        <v>0</v>
      </c>
      <c r="H545" s="2">
        <f>'Budget Detail FY 2012-19'!S761</f>
        <v>0</v>
      </c>
      <c r="I545" s="2">
        <f>'Budget Detail FY 2012-19'!T761</f>
        <v>0</v>
      </c>
      <c r="J545" s="2">
        <f>'Budget Detail FY 2012-19'!U761</f>
        <v>0</v>
      </c>
      <c r="K545" s="2">
        <f>'Budget Detail FY 2012-19'!V761</f>
        <v>0</v>
      </c>
    </row>
    <row r="546" spans="2:12" ht="20.100000000000001" customHeight="1">
      <c r="B546" s="688" t="s">
        <v>956</v>
      </c>
      <c r="C546" s="2">
        <f>SUM('Budget Detail FY 2012-19'!N762:N766)</f>
        <v>30767</v>
      </c>
      <c r="D546" s="2">
        <f>SUM('Budget Detail FY 2012-19'!O762:O766)</f>
        <v>68768</v>
      </c>
      <c r="E546" s="2">
        <f>SUM('Budget Detail FY 2012-19'!P762:P766)</f>
        <v>20500</v>
      </c>
      <c r="F546" s="2">
        <f>SUM('Budget Detail FY 2012-19'!Q762:Q766)</f>
        <v>32212</v>
      </c>
      <c r="G546" s="2">
        <f>SUM('Budget Detail FY 2012-19'!R762:R766)</f>
        <v>23000</v>
      </c>
      <c r="H546" s="2">
        <f>SUM('Budget Detail FY 2012-19'!S762:S766)</f>
        <v>23000</v>
      </c>
      <c r="I546" s="2">
        <f>SUM('Budget Detail FY 2012-19'!T762:T766)</f>
        <v>23000</v>
      </c>
      <c r="J546" s="2">
        <f>SUM('Budget Detail FY 2012-19'!U762:U766)</f>
        <v>23000</v>
      </c>
      <c r="K546" s="2">
        <f>SUM('Budget Detail FY 2012-19'!V762:V766)</f>
        <v>23000</v>
      </c>
    </row>
    <row r="547" spans="2:12" ht="20.100000000000001" customHeight="1">
      <c r="B547" s="690" t="s">
        <v>927</v>
      </c>
      <c r="C547" s="2">
        <f>'Budget Detail FY 2012-19'!N767</f>
        <v>0</v>
      </c>
      <c r="D547" s="2">
        <f>'Budget Detail FY 2012-19'!O767</f>
        <v>0</v>
      </c>
      <c r="E547" s="2">
        <f>'Budget Detail FY 2012-19'!P767</f>
        <v>50000</v>
      </c>
      <c r="F547" s="2">
        <f>'Budget Detail FY 2012-19'!Q767</f>
        <v>50000</v>
      </c>
      <c r="G547" s="2">
        <f>'Budget Detail FY 2012-19'!R767</f>
        <v>50000</v>
      </c>
      <c r="H547" s="2">
        <f>'Budget Detail FY 2012-19'!S767</f>
        <v>50000</v>
      </c>
      <c r="I547" s="2">
        <f>'Budget Detail FY 2012-19'!T767</f>
        <v>0</v>
      </c>
      <c r="J547" s="2">
        <f>'Budget Detail FY 2012-19'!U767</f>
        <v>0</v>
      </c>
      <c r="K547" s="2">
        <f>'Budget Detail FY 2012-19'!V767</f>
        <v>0</v>
      </c>
    </row>
    <row r="548" spans="2:12" ht="20.100000000000001" customHeight="1" thickBot="1">
      <c r="B548" s="172" t="s">
        <v>928</v>
      </c>
      <c r="C548" s="169">
        <f>SUM(C543:C547)</f>
        <v>430767</v>
      </c>
      <c r="D548" s="169">
        <f t="shared" ref="D548:K548" si="86">SUM(D543:D547)</f>
        <v>468768</v>
      </c>
      <c r="E548" s="169">
        <f t="shared" si="86"/>
        <v>166500</v>
      </c>
      <c r="F548" s="169">
        <f t="shared" si="86"/>
        <v>178217</v>
      </c>
      <c r="G548" s="169">
        <f t="shared" si="86"/>
        <v>73000</v>
      </c>
      <c r="H548" s="169">
        <f t="shared" si="86"/>
        <v>73000</v>
      </c>
      <c r="I548" s="169">
        <f t="shared" si="86"/>
        <v>423000</v>
      </c>
      <c r="J548" s="169">
        <f t="shared" si="86"/>
        <v>23000</v>
      </c>
      <c r="K548" s="169">
        <f t="shared" si="86"/>
        <v>23000</v>
      </c>
      <c r="L548" s="173"/>
    </row>
    <row r="549" spans="2:12" s="173" customFormat="1" ht="15" hidden="1">
      <c r="B549" s="174"/>
      <c r="C549" s="146">
        <f>'Budget Detail FY 2012-19'!N769</f>
        <v>430767</v>
      </c>
      <c r="D549" s="146">
        <f>'Budget Detail FY 2012-19'!O769</f>
        <v>468768</v>
      </c>
      <c r="E549" s="146">
        <f>'Budget Detail FY 2012-19'!P769</f>
        <v>166500</v>
      </c>
      <c r="F549" s="146">
        <f>'Budget Detail FY 2012-19'!Q769</f>
        <v>178217</v>
      </c>
      <c r="G549" s="146">
        <f>'Budget Detail FY 2012-19'!R769</f>
        <v>73000</v>
      </c>
      <c r="H549" s="146">
        <f>'Budget Detail FY 2012-19'!S769</f>
        <v>73000</v>
      </c>
      <c r="I549" s="146">
        <f>'Budget Detail FY 2012-19'!T769</f>
        <v>423000</v>
      </c>
      <c r="J549" s="146">
        <f>'Budget Detail FY 2012-19'!U769</f>
        <v>23000</v>
      </c>
      <c r="K549" s="146">
        <f>'Budget Detail FY 2012-19'!V769</f>
        <v>23000</v>
      </c>
      <c r="L549" s="586" t="s">
        <v>1299</v>
      </c>
    </row>
    <row r="550" spans="2:12" s="175" customFormat="1" ht="14.25" hidden="1">
      <c r="B550" s="176"/>
      <c r="C550" s="147">
        <f>C548-C549</f>
        <v>0</v>
      </c>
      <c r="D550" s="147">
        <f t="shared" ref="D550:K550" si="87">D548-D549</f>
        <v>0</v>
      </c>
      <c r="E550" s="147">
        <f t="shared" si="87"/>
        <v>0</v>
      </c>
      <c r="F550" s="147">
        <f t="shared" si="87"/>
        <v>0</v>
      </c>
      <c r="G550" s="147">
        <f t="shared" si="87"/>
        <v>0</v>
      </c>
      <c r="H550" s="147">
        <f t="shared" si="87"/>
        <v>0</v>
      </c>
      <c r="I550" s="147">
        <f t="shared" si="87"/>
        <v>0</v>
      </c>
      <c r="J550" s="147">
        <f t="shared" si="87"/>
        <v>0</v>
      </c>
      <c r="K550" s="147">
        <f t="shared" si="87"/>
        <v>0</v>
      </c>
      <c r="L550" s="587" t="s">
        <v>1300</v>
      </c>
    </row>
    <row r="551" spans="2:12" ht="15">
      <c r="B551" s="1"/>
      <c r="C551" s="2"/>
      <c r="D551" s="2"/>
      <c r="E551" s="2"/>
      <c r="F551" s="2"/>
      <c r="G551" s="2"/>
      <c r="H551" s="2"/>
      <c r="I551" s="2"/>
      <c r="J551" s="2"/>
      <c r="K551" s="2"/>
    </row>
    <row r="552" spans="2:12" ht="15">
      <c r="B552" s="177" t="s">
        <v>659</v>
      </c>
      <c r="C552" s="2"/>
      <c r="D552" s="2"/>
      <c r="E552" s="2"/>
      <c r="F552" s="2"/>
      <c r="G552" s="2"/>
      <c r="H552" s="2"/>
      <c r="I552" s="2"/>
      <c r="J552" s="2"/>
      <c r="K552" s="2"/>
    </row>
    <row r="553" spans="2:12" ht="20.100000000000001" customHeight="1">
      <c r="B553" s="689" t="s">
        <v>931</v>
      </c>
      <c r="C553" s="2">
        <f>'Budget Detail FY 2012-19'!N771+'Budget Detail FY 2012-19'!N772</f>
        <v>20084</v>
      </c>
      <c r="D553" s="2">
        <f>'Budget Detail FY 2012-19'!O771+'Budget Detail FY 2012-19'!O772</f>
        <v>0</v>
      </c>
      <c r="E553" s="2">
        <f>'Budget Detail FY 2012-19'!P771+'Budget Detail FY 2012-19'!P772</f>
        <v>0</v>
      </c>
      <c r="F553" s="2">
        <f>'Budget Detail FY 2012-19'!Q771+'Budget Detail FY 2012-19'!Q772</f>
        <v>0</v>
      </c>
      <c r="G553" s="2">
        <f>'Budget Detail FY 2012-19'!R771+'Budget Detail FY 2012-19'!R772</f>
        <v>0</v>
      </c>
      <c r="H553" s="2">
        <f>'Budget Detail FY 2012-19'!S771+'Budget Detail FY 2012-19'!S772</f>
        <v>0</v>
      </c>
      <c r="I553" s="2">
        <f>'Budget Detail FY 2012-19'!T771+'Budget Detail FY 2012-19'!T772</f>
        <v>0</v>
      </c>
      <c r="J553" s="2">
        <f>'Budget Detail FY 2012-19'!U771+'Budget Detail FY 2012-19'!U772</f>
        <v>0</v>
      </c>
      <c r="K553" s="2">
        <f>'Budget Detail FY 2012-19'!V771+'Budget Detail FY 2012-19'!V772</f>
        <v>0</v>
      </c>
    </row>
    <row r="554" spans="2:12" ht="20.100000000000001" customHeight="1">
      <c r="B554" s="689" t="s">
        <v>933</v>
      </c>
      <c r="C554" s="2">
        <f>SUM('Budget Detail FY 2012-19'!N773:N780)</f>
        <v>316836</v>
      </c>
      <c r="D554" s="2">
        <f>SUM('Budget Detail FY 2012-19'!O773:O780)</f>
        <v>52570</v>
      </c>
      <c r="E554" s="2">
        <f>SUM('Budget Detail FY 2012-19'!P773:P780)</f>
        <v>111000</v>
      </c>
      <c r="F554" s="2">
        <f>SUM('Budget Detail FY 2012-19'!Q773:Q780)</f>
        <v>111000</v>
      </c>
      <c r="G554" s="2">
        <f>SUM('Budget Detail FY 2012-19'!R773:R780)</f>
        <v>406850</v>
      </c>
      <c r="H554" s="2">
        <f>SUM('Budget Detail FY 2012-19'!S773:S780)</f>
        <v>313000</v>
      </c>
      <c r="I554" s="2">
        <f>SUM('Budget Detail FY 2012-19'!T773:T780)</f>
        <v>13000</v>
      </c>
      <c r="J554" s="2">
        <f>SUM('Budget Detail FY 2012-19'!U773:U780)</f>
        <v>13000</v>
      </c>
      <c r="K554" s="2">
        <f>SUM('Budget Detail FY 2012-19'!V773:V780)</f>
        <v>13000</v>
      </c>
    </row>
    <row r="555" spans="2:12" ht="20.100000000000001" customHeight="1" thickBot="1">
      <c r="B555" s="172" t="s">
        <v>936</v>
      </c>
      <c r="C555" s="169">
        <f>SUM(C553:C554)</f>
        <v>336920</v>
      </c>
      <c r="D555" s="169">
        <f t="shared" ref="D555:K555" si="88">SUM(D553:D554)</f>
        <v>52570</v>
      </c>
      <c r="E555" s="169">
        <f t="shared" si="88"/>
        <v>111000</v>
      </c>
      <c r="F555" s="169">
        <f t="shared" si="88"/>
        <v>111000</v>
      </c>
      <c r="G555" s="169">
        <f t="shared" si="88"/>
        <v>406850</v>
      </c>
      <c r="H555" s="169">
        <f t="shared" si="88"/>
        <v>313000</v>
      </c>
      <c r="I555" s="169">
        <f t="shared" si="88"/>
        <v>13000</v>
      </c>
      <c r="J555" s="169">
        <f t="shared" si="88"/>
        <v>13000</v>
      </c>
      <c r="K555" s="169">
        <f t="shared" si="88"/>
        <v>13000</v>
      </c>
      <c r="L555" s="173"/>
    </row>
    <row r="556" spans="2:12" s="173" customFormat="1" ht="15" hidden="1">
      <c r="B556" s="174"/>
      <c r="C556" s="146">
        <f>'Budget Detail FY 2012-19'!N782</f>
        <v>336920</v>
      </c>
      <c r="D556" s="146">
        <f>'Budget Detail FY 2012-19'!O782</f>
        <v>52570</v>
      </c>
      <c r="E556" s="146">
        <f>'Budget Detail FY 2012-19'!P782</f>
        <v>111000</v>
      </c>
      <c r="F556" s="146">
        <f>'Budget Detail FY 2012-19'!Q782</f>
        <v>111000</v>
      </c>
      <c r="G556" s="146">
        <f>'Budget Detail FY 2012-19'!R782</f>
        <v>406850</v>
      </c>
      <c r="H556" s="146">
        <f>'Budget Detail FY 2012-19'!S782</f>
        <v>313000</v>
      </c>
      <c r="I556" s="146">
        <f>'Budget Detail FY 2012-19'!T782</f>
        <v>13000</v>
      </c>
      <c r="J556" s="146">
        <f>'Budget Detail FY 2012-19'!U782</f>
        <v>13000</v>
      </c>
      <c r="K556" s="146">
        <f>'Budget Detail FY 2012-19'!V782</f>
        <v>13000</v>
      </c>
      <c r="L556" s="586" t="s">
        <v>1299</v>
      </c>
    </row>
    <row r="557" spans="2:12" s="175" customFormat="1" ht="14.25" hidden="1">
      <c r="B557" s="176"/>
      <c r="C557" s="147">
        <f>C555-C556</f>
        <v>0</v>
      </c>
      <c r="D557" s="147">
        <f t="shared" ref="D557:K557" si="89">D555-D556</f>
        <v>0</v>
      </c>
      <c r="E557" s="147">
        <f t="shared" si="89"/>
        <v>0</v>
      </c>
      <c r="F557" s="147">
        <f t="shared" si="89"/>
        <v>0</v>
      </c>
      <c r="G557" s="147">
        <f t="shared" si="89"/>
        <v>0</v>
      </c>
      <c r="H557" s="147">
        <f t="shared" si="89"/>
        <v>0</v>
      </c>
      <c r="I557" s="147">
        <f t="shared" si="89"/>
        <v>0</v>
      </c>
      <c r="J557" s="147">
        <f t="shared" si="89"/>
        <v>0</v>
      </c>
      <c r="K557" s="147">
        <f t="shared" si="89"/>
        <v>0</v>
      </c>
      <c r="L557" s="587" t="s">
        <v>1300</v>
      </c>
    </row>
    <row r="558" spans="2:12" ht="15">
      <c r="B558" s="179"/>
      <c r="C558" s="3"/>
      <c r="D558" s="2"/>
      <c r="E558" s="2"/>
      <c r="F558" s="2"/>
      <c r="G558" s="2"/>
      <c r="H558" s="2"/>
      <c r="I558" s="2"/>
      <c r="J558" s="2"/>
      <c r="K558" s="2"/>
    </row>
    <row r="559" spans="2:12" ht="20.100000000000001" customHeight="1">
      <c r="B559" s="691" t="s">
        <v>937</v>
      </c>
      <c r="C559" s="3">
        <f t="shared" ref="C559:K559" si="90">+C548-C555</f>
        <v>93847</v>
      </c>
      <c r="D559" s="3">
        <f t="shared" si="90"/>
        <v>416198</v>
      </c>
      <c r="E559" s="3">
        <f t="shared" si="90"/>
        <v>55500</v>
      </c>
      <c r="F559" s="3">
        <f t="shared" si="90"/>
        <v>67217</v>
      </c>
      <c r="G559" s="3">
        <f t="shared" si="90"/>
        <v>-333850</v>
      </c>
      <c r="H559" s="3">
        <f t="shared" si="90"/>
        <v>-240000</v>
      </c>
      <c r="I559" s="3">
        <f t="shared" si="90"/>
        <v>410000</v>
      </c>
      <c r="J559" s="3">
        <f t="shared" si="90"/>
        <v>10000</v>
      </c>
      <c r="K559" s="3">
        <f t="shared" si="90"/>
        <v>10000</v>
      </c>
      <c r="L559" s="173"/>
    </row>
    <row r="560" spans="2:12" s="173" customFormat="1" ht="15" hidden="1">
      <c r="B560" s="180"/>
      <c r="C560" s="146">
        <f>'Budget Detail FY 2012-19'!N784</f>
        <v>93847</v>
      </c>
      <c r="D560" s="146">
        <f>'Budget Detail FY 2012-19'!O784</f>
        <v>416198</v>
      </c>
      <c r="E560" s="146">
        <f>'Budget Detail FY 2012-19'!P784</f>
        <v>55500</v>
      </c>
      <c r="F560" s="146">
        <f>'Budget Detail FY 2012-19'!Q784</f>
        <v>67217</v>
      </c>
      <c r="G560" s="146">
        <f>'Budget Detail FY 2012-19'!R784</f>
        <v>-333850</v>
      </c>
      <c r="H560" s="146">
        <f>'Budget Detail FY 2012-19'!S784</f>
        <v>-240000</v>
      </c>
      <c r="I560" s="146">
        <f>'Budget Detail FY 2012-19'!T784</f>
        <v>410000</v>
      </c>
      <c r="J560" s="146">
        <f>'Budget Detail FY 2012-19'!U784</f>
        <v>10000</v>
      </c>
      <c r="K560" s="146">
        <f>'Budget Detail FY 2012-19'!V784</f>
        <v>10000</v>
      </c>
      <c r="L560" s="586" t="s">
        <v>1299</v>
      </c>
    </row>
    <row r="561" spans="2:12" s="175" customFormat="1" ht="15" hidden="1">
      <c r="B561" s="181"/>
      <c r="C561" s="190">
        <f>C559-C560</f>
        <v>0</v>
      </c>
      <c r="D561" s="190">
        <f t="shared" ref="D561:K561" si="91">D559-D560</f>
        <v>0</v>
      </c>
      <c r="E561" s="190">
        <f t="shared" si="91"/>
        <v>0</v>
      </c>
      <c r="F561" s="190">
        <f t="shared" si="91"/>
        <v>0</v>
      </c>
      <c r="G561" s="190">
        <f t="shared" si="91"/>
        <v>0</v>
      </c>
      <c r="H561" s="190">
        <f t="shared" si="91"/>
        <v>0</v>
      </c>
      <c r="I561" s="190">
        <f t="shared" si="91"/>
        <v>0</v>
      </c>
      <c r="J561" s="190">
        <f t="shared" si="91"/>
        <v>0</v>
      </c>
      <c r="K561" s="190">
        <f t="shared" si="91"/>
        <v>0</v>
      </c>
      <c r="L561" s="587" t="s">
        <v>1300</v>
      </c>
    </row>
    <row r="562" spans="2:12" ht="15">
      <c r="B562" s="183"/>
      <c r="C562" s="3"/>
      <c r="D562" s="2"/>
      <c r="E562" s="2"/>
      <c r="F562" s="2"/>
      <c r="G562" s="2"/>
      <c r="H562" s="2"/>
      <c r="I562" s="2"/>
      <c r="J562" s="2"/>
      <c r="K562" s="2"/>
    </row>
    <row r="563" spans="2:12" ht="20.100000000000001" customHeight="1" thickBot="1">
      <c r="B563" s="171" t="s">
        <v>938</v>
      </c>
      <c r="C563" s="91">
        <v>-294778</v>
      </c>
      <c r="D563" s="91">
        <v>121420</v>
      </c>
      <c r="E563" s="91">
        <v>162581</v>
      </c>
      <c r="F563" s="91">
        <f>D563+F559</f>
        <v>188637</v>
      </c>
      <c r="G563" s="91">
        <f>F563+G559</f>
        <v>-145213</v>
      </c>
      <c r="H563" s="91">
        <f>G563+H559</f>
        <v>-385213</v>
      </c>
      <c r="I563" s="91">
        <f>H563+I559</f>
        <v>24787</v>
      </c>
      <c r="J563" s="91">
        <f>I563+J559</f>
        <v>34787</v>
      </c>
      <c r="K563" s="91">
        <f>J563+K559</f>
        <v>44787</v>
      </c>
      <c r="L563" s="173"/>
    </row>
    <row r="564" spans="2:12" s="173" customFormat="1" ht="15.75" hidden="1" thickTop="1">
      <c r="B564" s="174"/>
      <c r="C564" s="146">
        <f>'Budget Detail FY 2012-19'!N786</f>
        <v>-294778</v>
      </c>
      <c r="D564" s="146">
        <f>'Budget Detail FY 2012-19'!O786</f>
        <v>121420</v>
      </c>
      <c r="E564" s="146">
        <f>'Budget Detail FY 2012-19'!P786</f>
        <v>162581</v>
      </c>
      <c r="F564" s="146">
        <f>'Budget Detail FY 2012-19'!Q786</f>
        <v>188637</v>
      </c>
      <c r="G564" s="146">
        <f>'Budget Detail FY 2012-19'!R786</f>
        <v>-145213</v>
      </c>
      <c r="H564" s="146">
        <f>'Budget Detail FY 2012-19'!S786</f>
        <v>-385213</v>
      </c>
      <c r="I564" s="146">
        <f>'Budget Detail FY 2012-19'!T786</f>
        <v>24787</v>
      </c>
      <c r="J564" s="146">
        <f>'Budget Detail FY 2012-19'!U786</f>
        <v>34787</v>
      </c>
      <c r="K564" s="146">
        <f>'Budget Detail FY 2012-19'!V786</f>
        <v>44787</v>
      </c>
      <c r="L564" s="586" t="s">
        <v>1299</v>
      </c>
    </row>
    <row r="565" spans="2:12" s="175" customFormat="1" ht="14.25" hidden="1">
      <c r="B565" s="176"/>
      <c r="C565" s="147">
        <f>C563-C564</f>
        <v>0</v>
      </c>
      <c r="D565" s="147">
        <f t="shared" ref="D565:K565" si="92">D563-D564</f>
        <v>0</v>
      </c>
      <c r="E565" s="147">
        <f t="shared" si="92"/>
        <v>0</v>
      </c>
      <c r="F565" s="147">
        <f t="shared" si="92"/>
        <v>0</v>
      </c>
      <c r="G565" s="147">
        <f t="shared" si="92"/>
        <v>0</v>
      </c>
      <c r="H565" s="147">
        <f t="shared" si="92"/>
        <v>0</v>
      </c>
      <c r="I565" s="147">
        <f t="shared" si="92"/>
        <v>0</v>
      </c>
      <c r="J565" s="147">
        <f t="shared" si="92"/>
        <v>0</v>
      </c>
      <c r="K565" s="147">
        <f t="shared" si="92"/>
        <v>0</v>
      </c>
      <c r="L565" s="587" t="s">
        <v>1300</v>
      </c>
    </row>
    <row r="566" spans="2:12" ht="15.75" thickTop="1">
      <c r="B566" s="184"/>
      <c r="C566" s="3"/>
      <c r="D566" s="3"/>
      <c r="E566" s="3"/>
      <c r="F566" s="2"/>
      <c r="G566" s="2"/>
      <c r="H566" s="2"/>
      <c r="I566" s="2"/>
      <c r="J566" s="2"/>
      <c r="K566" s="2"/>
    </row>
    <row r="567" spans="2:12" ht="15">
      <c r="B567" s="184"/>
      <c r="C567" s="2"/>
      <c r="D567" s="2"/>
      <c r="E567" s="2"/>
      <c r="F567" s="2"/>
      <c r="G567" s="2"/>
      <c r="H567" s="2"/>
      <c r="I567" s="2"/>
      <c r="J567" s="2"/>
      <c r="K567" s="2"/>
    </row>
    <row r="568" spans="2:12" ht="15">
      <c r="B568" s="1"/>
      <c r="C568" s="2"/>
      <c r="D568" s="2"/>
      <c r="E568" s="2"/>
      <c r="F568" s="2"/>
      <c r="G568" s="2"/>
      <c r="H568" s="2"/>
      <c r="I568" s="2"/>
      <c r="J568" s="2"/>
      <c r="K568" s="2"/>
    </row>
    <row r="569" spans="2:12" ht="15">
      <c r="B569" s="1"/>
      <c r="C569" s="2"/>
      <c r="D569" s="2"/>
      <c r="E569" s="2"/>
      <c r="F569" s="2"/>
      <c r="G569" s="2"/>
      <c r="H569" s="2"/>
      <c r="I569" s="2"/>
      <c r="J569" s="2"/>
      <c r="K569" s="2"/>
    </row>
    <row r="570" spans="2:12" ht="15">
      <c r="B570" s="1"/>
      <c r="C570" s="2"/>
      <c r="D570" s="2"/>
      <c r="E570" s="2"/>
      <c r="F570" s="2"/>
      <c r="G570" s="2"/>
      <c r="H570" s="2"/>
      <c r="I570" s="2"/>
      <c r="J570" s="2"/>
      <c r="K570" s="2"/>
    </row>
    <row r="571" spans="2:12" ht="15">
      <c r="B571" s="1"/>
      <c r="C571" s="2"/>
      <c r="D571" s="2"/>
      <c r="E571" s="2"/>
      <c r="F571" s="2"/>
      <c r="G571" s="2"/>
      <c r="H571" s="2"/>
      <c r="I571" s="2"/>
      <c r="J571" s="2"/>
      <c r="K571" s="2"/>
    </row>
    <row r="572" spans="2:12" ht="15">
      <c r="B572" s="1"/>
      <c r="C572" s="2"/>
      <c r="D572" s="2"/>
      <c r="E572" s="2"/>
      <c r="F572" s="2"/>
      <c r="G572" s="2"/>
      <c r="H572" s="2"/>
      <c r="I572" s="2"/>
      <c r="J572" s="2"/>
      <c r="K572" s="2"/>
    </row>
    <row r="573" spans="2:12" ht="15">
      <c r="B573" s="1"/>
      <c r="C573" s="2"/>
      <c r="D573" s="2"/>
      <c r="E573" s="2"/>
      <c r="F573" s="2"/>
      <c r="G573" s="2"/>
      <c r="H573" s="2"/>
      <c r="I573" s="2"/>
      <c r="J573" s="2"/>
      <c r="K573" s="2"/>
    </row>
    <row r="574" spans="2:12" ht="15">
      <c r="B574" s="1"/>
      <c r="C574" s="2"/>
      <c r="D574" s="2"/>
      <c r="E574" s="2"/>
      <c r="F574" s="2"/>
      <c r="G574" s="2"/>
      <c r="H574" s="2"/>
      <c r="I574" s="2"/>
      <c r="J574" s="2"/>
      <c r="K574" s="2"/>
    </row>
    <row r="575" spans="2:12" ht="15">
      <c r="B575" s="1"/>
      <c r="C575" s="2"/>
      <c r="D575" s="2"/>
      <c r="E575" s="2"/>
      <c r="F575" s="2"/>
      <c r="G575" s="2"/>
      <c r="H575" s="2"/>
      <c r="I575" s="2"/>
      <c r="J575" s="2"/>
      <c r="K575" s="2"/>
    </row>
    <row r="576" spans="2:12" ht="15">
      <c r="B576" s="1"/>
      <c r="C576" s="2"/>
      <c r="D576" s="2"/>
      <c r="E576" s="2"/>
      <c r="F576" s="2"/>
      <c r="G576" s="2"/>
      <c r="H576" s="2"/>
      <c r="I576" s="2"/>
      <c r="J576" s="2"/>
      <c r="K576" s="2"/>
    </row>
    <row r="577" spans="2:11" ht="15">
      <c r="B577" s="1"/>
      <c r="C577" s="2"/>
      <c r="D577" s="2"/>
      <c r="E577" s="2"/>
      <c r="F577" s="2"/>
      <c r="G577" s="2"/>
      <c r="H577" s="2"/>
      <c r="I577" s="2"/>
      <c r="J577" s="2"/>
      <c r="K577" s="2"/>
    </row>
    <row r="578" spans="2:11" ht="15">
      <c r="B578" s="1"/>
      <c r="C578" s="2"/>
      <c r="D578" s="2"/>
      <c r="E578" s="2"/>
      <c r="F578" s="2"/>
      <c r="G578" s="2"/>
      <c r="H578" s="2"/>
      <c r="I578" s="2"/>
      <c r="J578" s="2"/>
      <c r="K578" s="2"/>
    </row>
    <row r="581" spans="2:11" ht="18.75" customHeight="1">
      <c r="B581" s="722" t="s">
        <v>957</v>
      </c>
      <c r="C581" s="722"/>
      <c r="D581" s="722"/>
      <c r="E581" s="722"/>
      <c r="F581" s="722"/>
      <c r="G581" s="722"/>
      <c r="H581" s="722"/>
      <c r="I581" s="722"/>
      <c r="J581" s="722"/>
      <c r="K581" s="722"/>
    </row>
    <row r="582" spans="2:11" ht="15">
      <c r="B582" s="72"/>
      <c r="C582" s="3"/>
      <c r="D582" s="2"/>
      <c r="E582" s="2"/>
      <c r="F582" s="2"/>
      <c r="G582" s="2"/>
      <c r="H582" s="2"/>
      <c r="I582" s="2"/>
      <c r="J582" s="2"/>
      <c r="K582" s="2"/>
    </row>
    <row r="583" spans="2:11" ht="12.75" customHeight="1">
      <c r="B583" s="715" t="s">
        <v>958</v>
      </c>
      <c r="C583" s="715"/>
      <c r="D583" s="715"/>
      <c r="E583" s="715"/>
      <c r="F583" s="715"/>
      <c r="G583" s="715"/>
      <c r="H583" s="715"/>
      <c r="I583" s="715"/>
      <c r="J583" s="715"/>
      <c r="K583" s="715"/>
    </row>
    <row r="584" spans="2:11" ht="12.75" customHeight="1">
      <c r="B584" s="715"/>
      <c r="C584" s="715"/>
      <c r="D584" s="715"/>
      <c r="E584" s="715"/>
      <c r="F584" s="715"/>
      <c r="G584" s="715"/>
      <c r="H584" s="715"/>
      <c r="I584" s="715"/>
      <c r="J584" s="715"/>
      <c r="K584" s="715"/>
    </row>
    <row r="585" spans="2:11" ht="12.75" customHeight="1">
      <c r="B585" s="715"/>
      <c r="C585" s="715"/>
      <c r="D585" s="715"/>
      <c r="E585" s="715"/>
      <c r="F585" s="715"/>
      <c r="G585" s="715"/>
      <c r="H585" s="715"/>
      <c r="I585" s="715"/>
      <c r="J585" s="715"/>
      <c r="K585" s="715"/>
    </row>
    <row r="586" spans="2:11" ht="23.25" customHeight="1">
      <c r="B586" s="715"/>
      <c r="C586" s="715"/>
      <c r="D586" s="715"/>
      <c r="E586" s="715"/>
      <c r="F586" s="715"/>
      <c r="G586" s="715"/>
      <c r="H586" s="715"/>
      <c r="I586" s="715"/>
      <c r="J586" s="715"/>
      <c r="K586" s="715"/>
    </row>
    <row r="587" spans="2:11" ht="15">
      <c r="B587" s="5"/>
      <c r="C587" s="72"/>
      <c r="D587" s="73"/>
      <c r="E587" s="72" t="s">
        <v>283</v>
      </c>
      <c r="F587" s="1"/>
      <c r="G587" s="1"/>
      <c r="H587" s="1"/>
      <c r="I587" s="1"/>
      <c r="J587" s="1"/>
      <c r="K587" s="1"/>
    </row>
    <row r="588" spans="2:11" ht="15">
      <c r="B588" s="73"/>
      <c r="C588" s="72" t="s">
        <v>229</v>
      </c>
      <c r="D588" s="96" t="s">
        <v>282</v>
      </c>
      <c r="E588" s="73" t="s">
        <v>917</v>
      </c>
      <c r="F588" s="73" t="s">
        <v>283</v>
      </c>
      <c r="G588" s="73" t="s">
        <v>298</v>
      </c>
      <c r="H588" s="73" t="s">
        <v>299</v>
      </c>
      <c r="I588" s="73" t="s">
        <v>300</v>
      </c>
      <c r="J588" s="73" t="s">
        <v>1087</v>
      </c>
      <c r="K588" s="73" t="s">
        <v>1224</v>
      </c>
    </row>
    <row r="589" spans="2:11" ht="15.75" thickBot="1">
      <c r="B589" s="188"/>
      <c r="C589" s="75" t="s">
        <v>1</v>
      </c>
      <c r="D589" s="75" t="s">
        <v>1</v>
      </c>
      <c r="E589" s="75" t="s">
        <v>871</v>
      </c>
      <c r="F589" s="75" t="s">
        <v>20</v>
      </c>
      <c r="G589" s="75" t="s">
        <v>917</v>
      </c>
      <c r="H589" s="75" t="s">
        <v>20</v>
      </c>
      <c r="I589" s="75" t="s">
        <v>20</v>
      </c>
      <c r="J589" s="75" t="s">
        <v>20</v>
      </c>
      <c r="K589" s="75" t="s">
        <v>20</v>
      </c>
    </row>
    <row r="590" spans="2:11" ht="7.5" customHeight="1">
      <c r="B590" s="71"/>
      <c r="C590" s="189"/>
      <c r="D590" s="2"/>
      <c r="E590" s="2"/>
      <c r="F590" s="2"/>
      <c r="G590" s="2"/>
      <c r="H590" s="2"/>
      <c r="I590" s="2"/>
      <c r="J590" s="2"/>
      <c r="K590" s="2"/>
    </row>
    <row r="591" spans="2:11" ht="15">
      <c r="B591" s="177" t="s">
        <v>918</v>
      </c>
      <c r="C591" s="2"/>
      <c r="D591" s="2"/>
      <c r="E591" s="2"/>
      <c r="F591" s="2"/>
      <c r="G591" s="2"/>
      <c r="H591" s="2"/>
      <c r="I591" s="2"/>
      <c r="J591" s="2"/>
      <c r="K591" s="2"/>
    </row>
    <row r="592" spans="2:11" ht="20.100000000000001" customHeight="1">
      <c r="B592" s="688" t="s">
        <v>923</v>
      </c>
      <c r="C592" s="2">
        <f>SUM('Budget Detail FY 2012-19'!N790:N794)</f>
        <v>265699</v>
      </c>
      <c r="D592" s="2">
        <f>SUM('Budget Detail FY 2012-19'!O790:O794)</f>
        <v>265614</v>
      </c>
      <c r="E592" s="2">
        <f>SUM('Budget Detail FY 2012-19'!P790:P794)</f>
        <v>240000</v>
      </c>
      <c r="F592" s="2">
        <f>SUM('Budget Detail FY 2012-19'!Q790:Q794)</f>
        <v>286676</v>
      </c>
      <c r="G592" s="2">
        <f>SUM('Budget Detail FY 2012-19'!R790:R794)</f>
        <v>280000</v>
      </c>
      <c r="H592" s="2">
        <f>SUM('Budget Detail FY 2012-19'!S790:S794)</f>
        <v>280000</v>
      </c>
      <c r="I592" s="2">
        <f>SUM('Budget Detail FY 2012-19'!T790:T794)</f>
        <v>280000</v>
      </c>
      <c r="J592" s="2">
        <f>SUM('Budget Detail FY 2012-19'!U790:U794)</f>
        <v>280000</v>
      </c>
      <c r="K592" s="2">
        <f>SUM('Budget Detail FY 2012-19'!V790:V794)</f>
        <v>280000</v>
      </c>
    </row>
    <row r="593" spans="2:12" ht="20.100000000000001" customHeight="1">
      <c r="B593" s="688" t="s">
        <v>924</v>
      </c>
      <c r="C593" s="2">
        <f>'Budget Detail FY 2012-19'!N795</f>
        <v>175</v>
      </c>
      <c r="D593" s="2">
        <f>'Budget Detail FY 2012-19'!O795</f>
        <v>244</v>
      </c>
      <c r="E593" s="2">
        <f>'Budget Detail FY 2012-19'!P795</f>
        <v>200</v>
      </c>
      <c r="F593" s="2">
        <f>'Budget Detail FY 2012-19'!Q795</f>
        <v>250</v>
      </c>
      <c r="G593" s="2">
        <f>'Budget Detail FY 2012-19'!R795</f>
        <v>250</v>
      </c>
      <c r="H593" s="2">
        <f>'Budget Detail FY 2012-19'!S795</f>
        <v>250</v>
      </c>
      <c r="I593" s="2">
        <f>'Budget Detail FY 2012-19'!T795</f>
        <v>250</v>
      </c>
      <c r="J593" s="2">
        <f>'Budget Detail FY 2012-19'!U795</f>
        <v>250</v>
      </c>
      <c r="K593" s="2">
        <f>'Budget Detail FY 2012-19'!V795</f>
        <v>250</v>
      </c>
    </row>
    <row r="594" spans="2:12" ht="20.100000000000001" customHeight="1">
      <c r="B594" s="688" t="s">
        <v>925</v>
      </c>
      <c r="C594" s="2">
        <f>SUM('Budget Detail FY 2012-19'!N796:N797)</f>
        <v>3336</v>
      </c>
      <c r="D594" s="2">
        <f>SUM('Budget Detail FY 2012-19'!O796:O797)</f>
        <v>20947</v>
      </c>
      <c r="E594" s="2">
        <f>SUM('Budget Detail FY 2012-19'!P796:P797)</f>
        <v>0</v>
      </c>
      <c r="F594" s="2">
        <f>SUM('Budget Detail FY 2012-19'!Q796:Q797)</f>
        <v>0</v>
      </c>
      <c r="G594" s="2">
        <f>SUM('Budget Detail FY 2012-19'!R796:R797)</f>
        <v>0</v>
      </c>
      <c r="H594" s="2">
        <f>SUM('Budget Detail FY 2012-19'!S796:S797)</f>
        <v>0</v>
      </c>
      <c r="I594" s="2">
        <f>SUM('Budget Detail FY 2012-19'!T796:T797)</f>
        <v>0</v>
      </c>
      <c r="J594" s="2">
        <f>SUM('Budget Detail FY 2012-19'!U796:U797)</f>
        <v>0</v>
      </c>
      <c r="K594" s="2">
        <f>SUM('Budget Detail FY 2012-19'!V796:V797)</f>
        <v>0</v>
      </c>
    </row>
    <row r="595" spans="2:12" ht="20.100000000000001" customHeight="1">
      <c r="B595" s="688" t="s">
        <v>926</v>
      </c>
      <c r="C595" s="2">
        <f>SUM('Budget Detail FY 2012-19'!N798:N802)</f>
        <v>193688</v>
      </c>
      <c r="D595" s="2">
        <f>SUM('Budget Detail FY 2012-19'!O798:O802)</f>
        <v>195868</v>
      </c>
      <c r="E595" s="2">
        <f>SUM('Budget Detail FY 2012-19'!P798:P802)</f>
        <v>223000</v>
      </c>
      <c r="F595" s="2">
        <f>SUM('Budget Detail FY 2012-19'!Q798:Q802)</f>
        <v>180339</v>
      </c>
      <c r="G595" s="2">
        <f>SUM('Budget Detail FY 2012-19'!R798:R802)</f>
        <v>208000</v>
      </c>
      <c r="H595" s="2">
        <f>SUM('Budget Detail FY 2012-19'!S798:S802)</f>
        <v>208000</v>
      </c>
      <c r="I595" s="2">
        <f>SUM('Budget Detail FY 2012-19'!T798:T802)</f>
        <v>208000</v>
      </c>
      <c r="J595" s="2">
        <f>SUM('Budget Detail FY 2012-19'!U798:U802)</f>
        <v>217700</v>
      </c>
      <c r="K595" s="2">
        <f>SUM('Budget Detail FY 2012-19'!V798:V802)</f>
        <v>217700</v>
      </c>
    </row>
    <row r="596" spans="2:12" ht="20.100000000000001" customHeight="1">
      <c r="B596" s="688" t="s">
        <v>927</v>
      </c>
      <c r="C596" s="2">
        <f>'Budget Detail FY 2012-19'!N803</f>
        <v>736710</v>
      </c>
      <c r="D596" s="2">
        <f>'Budget Detail FY 2012-19'!O803</f>
        <v>955886</v>
      </c>
      <c r="E596" s="2">
        <f>'Budget Detail FY 2012-19'!P803</f>
        <v>1765504</v>
      </c>
      <c r="F596" s="2">
        <f>'Budget Detail FY 2012-19'!Q803</f>
        <v>1765504</v>
      </c>
      <c r="G596" s="2">
        <f>'Budget Detail FY 2012-19'!R803</f>
        <v>1277606</v>
      </c>
      <c r="H596" s="2">
        <f>'Budget Detail FY 2012-19'!S803</f>
        <v>1339594</v>
      </c>
      <c r="I596" s="2">
        <f>'Budget Detail FY 2012-19'!T803</f>
        <v>1401968</v>
      </c>
      <c r="J596" s="2">
        <f>'Budget Detail FY 2012-19'!U803</f>
        <v>1460826</v>
      </c>
      <c r="K596" s="2">
        <f>'Budget Detail FY 2012-19'!V803</f>
        <v>1531004</v>
      </c>
    </row>
    <row r="597" spans="2:12" ht="20.100000000000001" customHeight="1" thickBot="1">
      <c r="B597" s="172" t="s">
        <v>928</v>
      </c>
      <c r="C597" s="169">
        <f>SUM(C592:C596)</f>
        <v>1199608</v>
      </c>
      <c r="D597" s="169">
        <f t="shared" ref="D597:K597" si="93">SUM(D592:D596)</f>
        <v>1438559</v>
      </c>
      <c r="E597" s="169">
        <f t="shared" si="93"/>
        <v>2228704</v>
      </c>
      <c r="F597" s="169">
        <f t="shared" si="93"/>
        <v>2232769</v>
      </c>
      <c r="G597" s="169">
        <f t="shared" si="93"/>
        <v>1765856</v>
      </c>
      <c r="H597" s="169">
        <f t="shared" si="93"/>
        <v>1827844</v>
      </c>
      <c r="I597" s="169">
        <f t="shared" si="93"/>
        <v>1890218</v>
      </c>
      <c r="J597" s="169">
        <f t="shared" si="93"/>
        <v>1958776</v>
      </c>
      <c r="K597" s="169">
        <f t="shared" si="93"/>
        <v>2028954</v>
      </c>
      <c r="L597" s="173"/>
    </row>
    <row r="598" spans="2:12" s="173" customFormat="1" ht="15" hidden="1">
      <c r="B598" s="174"/>
      <c r="C598" s="146">
        <f>'Budget Detail FY 2012-19'!N805</f>
        <v>1199608</v>
      </c>
      <c r="D598" s="146">
        <f>'Budget Detail FY 2012-19'!O805</f>
        <v>1438559</v>
      </c>
      <c r="E598" s="146">
        <f>'Budget Detail FY 2012-19'!P805</f>
        <v>2228704</v>
      </c>
      <c r="F598" s="146">
        <f>'Budget Detail FY 2012-19'!Q805</f>
        <v>2232769</v>
      </c>
      <c r="G598" s="146">
        <f>'Budget Detail FY 2012-19'!R805</f>
        <v>1765856</v>
      </c>
      <c r="H598" s="146">
        <f>'Budget Detail FY 2012-19'!S805</f>
        <v>1827844</v>
      </c>
      <c r="I598" s="146">
        <f>'Budget Detail FY 2012-19'!T805</f>
        <v>1890218</v>
      </c>
      <c r="J598" s="146">
        <f>'Budget Detail FY 2012-19'!U805</f>
        <v>1958776</v>
      </c>
      <c r="K598" s="146">
        <f>'Budget Detail FY 2012-19'!V805</f>
        <v>2028954</v>
      </c>
      <c r="L598" s="586" t="s">
        <v>1299</v>
      </c>
    </row>
    <row r="599" spans="2:12" s="175" customFormat="1" ht="14.25" hidden="1">
      <c r="B599" s="176"/>
      <c r="C599" s="147">
        <f>C597-C598</f>
        <v>0</v>
      </c>
      <c r="D599" s="147">
        <f t="shared" ref="D599:K599" si="94">D597-D598</f>
        <v>0</v>
      </c>
      <c r="E599" s="147">
        <f t="shared" si="94"/>
        <v>0</v>
      </c>
      <c r="F599" s="147">
        <f t="shared" si="94"/>
        <v>0</v>
      </c>
      <c r="G599" s="147">
        <f t="shared" si="94"/>
        <v>0</v>
      </c>
      <c r="H599" s="147">
        <f t="shared" si="94"/>
        <v>0</v>
      </c>
      <c r="I599" s="147">
        <f t="shared" si="94"/>
        <v>0</v>
      </c>
      <c r="J599" s="147">
        <f t="shared" si="94"/>
        <v>0</v>
      </c>
      <c r="K599" s="147">
        <f t="shared" si="94"/>
        <v>0</v>
      </c>
      <c r="L599" s="587" t="s">
        <v>1300</v>
      </c>
    </row>
    <row r="600" spans="2:12" ht="7.5" customHeight="1">
      <c r="B600" s="1"/>
      <c r="C600" s="2"/>
      <c r="D600" s="2"/>
      <c r="E600" s="2"/>
      <c r="F600" s="2"/>
      <c r="G600" s="2"/>
      <c r="H600" s="2"/>
      <c r="I600" s="2"/>
      <c r="J600" s="2"/>
      <c r="K600" s="2"/>
    </row>
    <row r="601" spans="2:12" ht="15">
      <c r="B601" s="177" t="s">
        <v>659</v>
      </c>
      <c r="C601" s="2"/>
      <c r="D601" s="2"/>
      <c r="E601" s="2"/>
      <c r="F601" s="2"/>
      <c r="G601" s="2"/>
      <c r="H601" s="2"/>
      <c r="I601" s="2"/>
      <c r="J601" s="2"/>
      <c r="K601" s="2"/>
    </row>
    <row r="602" spans="2:12" ht="20.100000000000001" customHeight="1">
      <c r="B602" s="689" t="s">
        <v>929</v>
      </c>
      <c r="C602" s="2">
        <f>SUM('Budget Detail FY 2012-19'!N808:N810)+SUM('Budget Detail FY 2012-19'!N835:N840)</f>
        <v>651906</v>
      </c>
      <c r="D602" s="2">
        <f>SUM('Budget Detail FY 2012-19'!O808:O810)+SUM('Budget Detail FY 2012-19'!O835:O840)</f>
        <v>671149</v>
      </c>
      <c r="E602" s="2">
        <f>SUM('Budget Detail FY 2012-19'!P808:P810)+SUM('Budget Detail FY 2012-19'!P835:P840)</f>
        <v>771493</v>
      </c>
      <c r="F602" s="2">
        <f>SUM('Budget Detail FY 2012-19'!Q808:Q810)+SUM('Budget Detail FY 2012-19'!Q835:Q840)</f>
        <v>771493</v>
      </c>
      <c r="G602" s="2">
        <f>SUM('Budget Detail FY 2012-19'!R808:R810)+SUM('Budget Detail FY 2012-19'!R835:R840)</f>
        <v>840647</v>
      </c>
      <c r="H602" s="2">
        <f>SUM('Budget Detail FY 2012-19'!S808:S810)+SUM('Budget Detail FY 2012-19'!S835:S840)</f>
        <v>862287</v>
      </c>
      <c r="I602" s="2">
        <f>SUM('Budget Detail FY 2012-19'!T808:T810)+SUM('Budget Detail FY 2012-19'!T835:T840)</f>
        <v>888292</v>
      </c>
      <c r="J602" s="2">
        <f>SUM('Budget Detail FY 2012-19'!U808:U810)+SUM('Budget Detail FY 2012-19'!U835:U840)</f>
        <v>915206</v>
      </c>
      <c r="K602" s="2">
        <f>SUM('Budget Detail FY 2012-19'!V808:V810)+SUM('Budget Detail FY 2012-19'!V835:V840)</f>
        <v>943063</v>
      </c>
    </row>
    <row r="603" spans="2:12" ht="20.100000000000001" customHeight="1">
      <c r="B603" s="689" t="s">
        <v>930</v>
      </c>
      <c r="C603" s="2">
        <f>SUM('Budget Detail FY 2012-19'!N811:N816)+SUM('Budget Detail FY 2012-19'!N841:N846)</f>
        <v>107010</v>
      </c>
      <c r="D603" s="2">
        <f>SUM('Budget Detail FY 2012-19'!O811:O816)+SUM('Budget Detail FY 2012-19'!O841:O846)</f>
        <v>283568</v>
      </c>
      <c r="E603" s="2">
        <f>SUM('Budget Detail FY 2012-19'!P811:P816)+SUM('Budget Detail FY 2012-19'!P841:P846)</f>
        <v>351668</v>
      </c>
      <c r="F603" s="2">
        <f>SUM('Budget Detail FY 2012-19'!Q811:Q816)+SUM('Budget Detail FY 2012-19'!Q841:Q846)</f>
        <v>351668</v>
      </c>
      <c r="G603" s="2">
        <f>SUM('Budget Detail FY 2012-19'!R811:R816)+SUM('Budget Detail FY 2012-19'!R841:R846)</f>
        <v>397762</v>
      </c>
      <c r="H603" s="2">
        <f>SUM('Budget Detail FY 2012-19'!S811:S816)+SUM('Budget Detail FY 2012-19'!S841:S846)</f>
        <v>427622</v>
      </c>
      <c r="I603" s="2">
        <f>SUM('Budget Detail FY 2012-19'!T811:T816)+SUM('Budget Detail FY 2012-19'!T841:T846)</f>
        <v>459948</v>
      </c>
      <c r="J603" s="2">
        <f>SUM('Budget Detail FY 2012-19'!U811:U816)+SUM('Budget Detail FY 2012-19'!U841:U846)</f>
        <v>494845</v>
      </c>
      <c r="K603" s="2">
        <f>SUM('Budget Detail FY 2012-19'!V811:V816)+SUM('Budget Detail FY 2012-19'!V841:V846)</f>
        <v>532667</v>
      </c>
    </row>
    <row r="604" spans="2:12" ht="20.100000000000001" customHeight="1">
      <c r="B604" s="689" t="s">
        <v>931</v>
      </c>
      <c r="C604" s="2">
        <f>SUM('Budget Detail FY 2012-19'!N817:N824)+SUM('Budget Detail FY 2012-19'!N847:N859)</f>
        <v>147598</v>
      </c>
      <c r="D604" s="2">
        <f>SUM('Budget Detail FY 2012-19'!O817:O824)+SUM('Budget Detail FY 2012-19'!O847:O859)</f>
        <v>159624</v>
      </c>
      <c r="E604" s="2">
        <f>SUM('Budget Detail FY 2012-19'!P817:P824)+SUM('Budget Detail FY 2012-19'!P847:P859)</f>
        <v>227280</v>
      </c>
      <c r="F604" s="2">
        <f>SUM('Budget Detail FY 2012-19'!Q817:Q824)+SUM('Budget Detail FY 2012-19'!Q847:Q859)</f>
        <v>227280</v>
      </c>
      <c r="G604" s="2">
        <f>SUM('Budget Detail FY 2012-19'!R817:R824)+SUM('Budget Detail FY 2012-19'!R847:R859)</f>
        <v>374430</v>
      </c>
      <c r="H604" s="2">
        <f>SUM('Budget Detail FY 2012-19'!S817:S824)+SUM('Budget Detail FY 2012-19'!S847:S859)</f>
        <v>253154</v>
      </c>
      <c r="I604" s="2">
        <f>SUM('Budget Detail FY 2012-19'!T817:T824)+SUM('Budget Detail FY 2012-19'!T847:T859)</f>
        <v>237623</v>
      </c>
      <c r="J604" s="2">
        <f>SUM('Budget Detail FY 2012-19'!U817:U824)+SUM('Budget Detail FY 2012-19'!U847:U859)</f>
        <v>239174</v>
      </c>
      <c r="K604" s="2">
        <f>SUM('Budget Detail FY 2012-19'!V817:V824)+SUM('Budget Detail FY 2012-19'!V847:V859)</f>
        <v>240818</v>
      </c>
    </row>
    <row r="605" spans="2:12" ht="20.100000000000001" customHeight="1">
      <c r="B605" s="689" t="s">
        <v>932</v>
      </c>
      <c r="C605" s="2">
        <f>SUM('Budget Detail FY 2012-19'!N825:N831)+SUM('Budget Detail FY 2012-19'!N860:N869)</f>
        <v>244584</v>
      </c>
      <c r="D605" s="2">
        <f>SUM('Budget Detail FY 2012-19'!O825:O831)+SUM('Budget Detail FY 2012-19'!O860:O869)</f>
        <v>283915</v>
      </c>
      <c r="E605" s="2">
        <f>SUM('Budget Detail FY 2012-19'!P825:P831)+SUM('Budget Detail FY 2012-19'!P860:P869)</f>
        <v>291650</v>
      </c>
      <c r="F605" s="2">
        <f>SUM('Budget Detail FY 2012-19'!Q825:Q831)+SUM('Budget Detail FY 2012-19'!Q860:Q869)</f>
        <v>282550</v>
      </c>
      <c r="G605" s="2">
        <f>SUM('Budget Detail FY 2012-19'!R825:R831)+SUM('Budget Detail FY 2012-19'!R860:R869)</f>
        <v>298608</v>
      </c>
      <c r="H605" s="2">
        <f>SUM('Budget Detail FY 2012-19'!S825:S831)+SUM('Budget Detail FY 2012-19'!S860:S869)</f>
        <v>295686</v>
      </c>
      <c r="I605" s="2">
        <f>SUM('Budget Detail FY 2012-19'!T825:T831)+SUM('Budget Detail FY 2012-19'!T860:T869)</f>
        <v>297641</v>
      </c>
      <c r="J605" s="2">
        <f>SUM('Budget Detail FY 2012-19'!U825:U831)+SUM('Budget Detail FY 2012-19'!U860:U869)</f>
        <v>299733</v>
      </c>
      <c r="K605" s="2">
        <f>SUM('Budget Detail FY 2012-19'!V825:V831)+SUM('Budget Detail FY 2012-19'!V860:V869)</f>
        <v>301972</v>
      </c>
    </row>
    <row r="606" spans="2:12" ht="20.100000000000001" customHeight="1">
      <c r="B606" s="690" t="s">
        <v>935</v>
      </c>
      <c r="C606" s="2">
        <f>'Budget Detail FY 2012-19'!N870</f>
        <v>0</v>
      </c>
      <c r="D606" s="2">
        <f>'Budget Detail FY 2012-19'!O870</f>
        <v>0</v>
      </c>
      <c r="E606" s="2">
        <f>'Budget Detail FY 2012-19'!P870</f>
        <v>556957</v>
      </c>
      <c r="F606" s="2">
        <f>'Budget Detail FY 2012-19'!Q870</f>
        <v>487840</v>
      </c>
      <c r="G606" s="2">
        <f>'Budget Detail FY 2012-19'!R870</f>
        <v>0</v>
      </c>
      <c r="H606" s="2">
        <f>'Budget Detail FY 2012-19'!S870</f>
        <v>0</v>
      </c>
      <c r="I606" s="2">
        <f>'Budget Detail FY 2012-19'!T870</f>
        <v>0</v>
      </c>
      <c r="J606" s="2">
        <f>'Budget Detail FY 2012-19'!U870</f>
        <v>0</v>
      </c>
      <c r="K606" s="2">
        <f>'Budget Detail FY 2012-19'!V870</f>
        <v>0</v>
      </c>
    </row>
    <row r="607" spans="2:12" ht="20.100000000000001" customHeight="1" thickBot="1">
      <c r="B607" s="172" t="s">
        <v>936</v>
      </c>
      <c r="C607" s="169">
        <f>SUM(C602:C606)</f>
        <v>1151098</v>
      </c>
      <c r="D607" s="169">
        <f t="shared" ref="D607:K607" si="95">SUM(D602:D606)</f>
        <v>1398256</v>
      </c>
      <c r="E607" s="169">
        <f t="shared" si="95"/>
        <v>2199048</v>
      </c>
      <c r="F607" s="169">
        <f t="shared" si="95"/>
        <v>2120831</v>
      </c>
      <c r="G607" s="169">
        <f t="shared" si="95"/>
        <v>1911447</v>
      </c>
      <c r="H607" s="169">
        <f t="shared" si="95"/>
        <v>1838749</v>
      </c>
      <c r="I607" s="169">
        <f t="shared" si="95"/>
        <v>1883504</v>
      </c>
      <c r="J607" s="169">
        <f t="shared" si="95"/>
        <v>1948958</v>
      </c>
      <c r="K607" s="169">
        <f t="shared" si="95"/>
        <v>2018520</v>
      </c>
      <c r="L607" s="173"/>
    </row>
    <row r="608" spans="2:12" s="173" customFormat="1" ht="15" hidden="1">
      <c r="B608" s="174"/>
      <c r="C608" s="146">
        <f>'Budget Detail FY 2012-19'!N873</f>
        <v>1151098</v>
      </c>
      <c r="D608" s="146">
        <f>'Budget Detail FY 2012-19'!O873</f>
        <v>1398256</v>
      </c>
      <c r="E608" s="146">
        <f>'Budget Detail FY 2012-19'!P873</f>
        <v>2199048</v>
      </c>
      <c r="F608" s="146">
        <f>'Budget Detail FY 2012-19'!Q873</f>
        <v>2120831</v>
      </c>
      <c r="G608" s="146">
        <f>'Budget Detail FY 2012-19'!R873</f>
        <v>1911447</v>
      </c>
      <c r="H608" s="146">
        <f>'Budget Detail FY 2012-19'!S873</f>
        <v>1838749</v>
      </c>
      <c r="I608" s="146">
        <f>'Budget Detail FY 2012-19'!T873</f>
        <v>1883504</v>
      </c>
      <c r="J608" s="146">
        <f>'Budget Detail FY 2012-19'!U873</f>
        <v>1948958</v>
      </c>
      <c r="K608" s="146">
        <f>'Budget Detail FY 2012-19'!V873</f>
        <v>2018520</v>
      </c>
      <c r="L608" s="586" t="s">
        <v>1299</v>
      </c>
    </row>
    <row r="609" spans="2:12" s="175" customFormat="1" ht="15" hidden="1">
      <c r="B609" s="176"/>
      <c r="C609" s="182">
        <f>C607-C608</f>
        <v>0</v>
      </c>
      <c r="D609" s="182">
        <f t="shared" ref="D609:K609" si="96">D607-D608</f>
        <v>0</v>
      </c>
      <c r="E609" s="182">
        <f t="shared" si="96"/>
        <v>0</v>
      </c>
      <c r="F609" s="182">
        <f t="shared" si="96"/>
        <v>0</v>
      </c>
      <c r="G609" s="182">
        <f t="shared" si="96"/>
        <v>0</v>
      </c>
      <c r="H609" s="182">
        <f t="shared" si="96"/>
        <v>0</v>
      </c>
      <c r="I609" s="182">
        <f t="shared" si="96"/>
        <v>0</v>
      </c>
      <c r="J609" s="182">
        <f t="shared" si="96"/>
        <v>0</v>
      </c>
      <c r="K609" s="182">
        <f t="shared" si="96"/>
        <v>0</v>
      </c>
      <c r="L609" s="587" t="s">
        <v>1300</v>
      </c>
    </row>
    <row r="610" spans="2:12" ht="7.5" customHeight="1">
      <c r="B610" s="179"/>
      <c r="C610" s="3"/>
      <c r="D610" s="2"/>
      <c r="E610" s="2"/>
      <c r="F610" s="2"/>
      <c r="G610" s="2"/>
      <c r="H610" s="2"/>
      <c r="I610" s="2"/>
      <c r="J610" s="2"/>
      <c r="K610" s="2"/>
    </row>
    <row r="611" spans="2:12" ht="20.100000000000001" customHeight="1">
      <c r="B611" s="691" t="s">
        <v>937</v>
      </c>
      <c r="C611" s="3">
        <f t="shared" ref="C611:K611" si="97">+C597-C607</f>
        <v>48510</v>
      </c>
      <c r="D611" s="3">
        <f t="shared" si="97"/>
        <v>40303</v>
      </c>
      <c r="E611" s="3">
        <f t="shared" si="97"/>
        <v>29656</v>
      </c>
      <c r="F611" s="3">
        <f t="shared" si="97"/>
        <v>111938</v>
      </c>
      <c r="G611" s="3">
        <f t="shared" si="97"/>
        <v>-145591</v>
      </c>
      <c r="H611" s="3">
        <f t="shared" si="97"/>
        <v>-10905</v>
      </c>
      <c r="I611" s="3">
        <f t="shared" si="97"/>
        <v>6714</v>
      </c>
      <c r="J611" s="3">
        <f t="shared" si="97"/>
        <v>9818</v>
      </c>
      <c r="K611" s="3">
        <f t="shared" si="97"/>
        <v>10434</v>
      </c>
      <c r="L611" s="173"/>
    </row>
    <row r="612" spans="2:12" s="173" customFormat="1" ht="15" hidden="1">
      <c r="B612" s="180"/>
      <c r="C612" s="146">
        <f>'Budget Detail FY 2012-19'!N875</f>
        <v>48510</v>
      </c>
      <c r="D612" s="146">
        <f>'Budget Detail FY 2012-19'!O875</f>
        <v>40303</v>
      </c>
      <c r="E612" s="146">
        <f>'Budget Detail FY 2012-19'!P875</f>
        <v>29656</v>
      </c>
      <c r="F612" s="146">
        <f>'Budget Detail FY 2012-19'!Q875</f>
        <v>111938</v>
      </c>
      <c r="G612" s="146">
        <f>'Budget Detail FY 2012-19'!R875</f>
        <v>-145591</v>
      </c>
      <c r="H612" s="146">
        <f>'Budget Detail FY 2012-19'!S875</f>
        <v>-10905</v>
      </c>
      <c r="I612" s="146">
        <f>'Budget Detail FY 2012-19'!T875</f>
        <v>6714</v>
      </c>
      <c r="J612" s="146">
        <f>'Budget Detail FY 2012-19'!U875</f>
        <v>9818</v>
      </c>
      <c r="K612" s="146">
        <f>'Budget Detail FY 2012-19'!V875</f>
        <v>10434</v>
      </c>
      <c r="L612" s="586" t="s">
        <v>1299</v>
      </c>
    </row>
    <row r="613" spans="2:12" s="175" customFormat="1" ht="15" hidden="1">
      <c r="B613" s="181"/>
      <c r="C613" s="182">
        <f>C611-C612</f>
        <v>0</v>
      </c>
      <c r="D613" s="182">
        <f t="shared" ref="D613:K613" si="98">D611-D612</f>
        <v>0</v>
      </c>
      <c r="E613" s="182">
        <f t="shared" si="98"/>
        <v>0</v>
      </c>
      <c r="F613" s="182">
        <f t="shared" si="98"/>
        <v>0</v>
      </c>
      <c r="G613" s="182">
        <f t="shared" si="98"/>
        <v>0</v>
      </c>
      <c r="H613" s="182">
        <f t="shared" si="98"/>
        <v>0</v>
      </c>
      <c r="I613" s="182">
        <f t="shared" si="98"/>
        <v>0</v>
      </c>
      <c r="J613" s="182">
        <f t="shared" si="98"/>
        <v>0</v>
      </c>
      <c r="K613" s="182">
        <f t="shared" si="98"/>
        <v>0</v>
      </c>
      <c r="L613" s="587" t="s">
        <v>1300</v>
      </c>
    </row>
    <row r="614" spans="2:12" ht="7.5" customHeight="1">
      <c r="B614" s="183"/>
      <c r="C614" s="3"/>
      <c r="D614" s="2"/>
      <c r="E614" s="2"/>
      <c r="F614" s="2"/>
      <c r="G614" s="2"/>
      <c r="H614" s="2"/>
      <c r="I614" s="2"/>
      <c r="J614" s="2"/>
      <c r="K614" s="2"/>
    </row>
    <row r="615" spans="2:12" ht="20.100000000000001" customHeight="1" thickBot="1">
      <c r="B615" s="171" t="s">
        <v>938</v>
      </c>
      <c r="C615" s="91">
        <v>280065</v>
      </c>
      <c r="D615" s="91">
        <v>320370</v>
      </c>
      <c r="E615" s="91">
        <v>322699</v>
      </c>
      <c r="F615" s="91">
        <f>D615+F611</f>
        <v>432308</v>
      </c>
      <c r="G615" s="91">
        <f>F615+G611</f>
        <v>286717</v>
      </c>
      <c r="H615" s="91">
        <f>G615+H611</f>
        <v>275812</v>
      </c>
      <c r="I615" s="91">
        <f>H615+I611</f>
        <v>282526</v>
      </c>
      <c r="J615" s="91">
        <f>I615+J611</f>
        <v>292344</v>
      </c>
      <c r="K615" s="91">
        <f>J615+K611</f>
        <v>302778</v>
      </c>
      <c r="L615" s="173"/>
    </row>
    <row r="616" spans="2:12" s="173" customFormat="1" ht="15.75" hidden="1" thickTop="1">
      <c r="B616" s="174"/>
      <c r="C616" s="146">
        <f>'Budget Detail FY 2012-19'!N877</f>
        <v>280065</v>
      </c>
      <c r="D616" s="146">
        <f>'Budget Detail FY 2012-19'!O877</f>
        <v>320370</v>
      </c>
      <c r="E616" s="146">
        <f>'Budget Detail FY 2012-19'!P877</f>
        <v>322699</v>
      </c>
      <c r="F616" s="146">
        <f>'Budget Detail FY 2012-19'!Q877</f>
        <v>432308</v>
      </c>
      <c r="G616" s="146">
        <f>'Budget Detail FY 2012-19'!R877</f>
        <v>286717</v>
      </c>
      <c r="H616" s="146">
        <f>'Budget Detail FY 2012-19'!S877</f>
        <v>275812</v>
      </c>
      <c r="I616" s="146">
        <f>'Budget Detail FY 2012-19'!T877</f>
        <v>282526</v>
      </c>
      <c r="J616" s="146">
        <f>'Budget Detail FY 2012-19'!U877</f>
        <v>292344</v>
      </c>
      <c r="K616" s="146">
        <f>'Budget Detail FY 2012-19'!V877</f>
        <v>302778</v>
      </c>
      <c r="L616" s="586" t="s">
        <v>1299</v>
      </c>
    </row>
    <row r="617" spans="2:12" s="175" customFormat="1" ht="15" hidden="1">
      <c r="B617" s="176"/>
      <c r="C617" s="182">
        <f>C615-C616</f>
        <v>0</v>
      </c>
      <c r="D617" s="182">
        <f t="shared" ref="D617:K617" si="99">D615-D616</f>
        <v>0</v>
      </c>
      <c r="E617" s="182">
        <f t="shared" si="99"/>
        <v>0</v>
      </c>
      <c r="F617" s="182">
        <f t="shared" si="99"/>
        <v>0</v>
      </c>
      <c r="G617" s="182">
        <f t="shared" si="99"/>
        <v>0</v>
      </c>
      <c r="H617" s="182">
        <f t="shared" si="99"/>
        <v>0</v>
      </c>
      <c r="I617" s="182">
        <f t="shared" si="99"/>
        <v>0</v>
      </c>
      <c r="J617" s="182">
        <f t="shared" si="99"/>
        <v>0</v>
      </c>
      <c r="K617" s="182">
        <f t="shared" si="99"/>
        <v>0</v>
      </c>
      <c r="L617" s="587" t="s">
        <v>1300</v>
      </c>
    </row>
    <row r="618" spans="2:12" ht="15.75" thickTop="1">
      <c r="B618" s="184"/>
      <c r="C618" s="185">
        <f>+C615/C607</f>
        <v>0.24330248163058227</v>
      </c>
      <c r="D618" s="185">
        <f t="shared" ref="D618:J618" si="100">+D615/D607</f>
        <v>0.22912113375519219</v>
      </c>
      <c r="E618" s="185">
        <f t="shared" si="100"/>
        <v>0.14674486414121019</v>
      </c>
      <c r="F618" s="185">
        <f t="shared" si="100"/>
        <v>0.2038389668955235</v>
      </c>
      <c r="G618" s="185">
        <f t="shared" si="100"/>
        <v>0.14999997384180674</v>
      </c>
      <c r="H618" s="185">
        <f t="shared" si="100"/>
        <v>0.14999980965319357</v>
      </c>
      <c r="I618" s="185">
        <f t="shared" si="100"/>
        <v>0.15000021237013567</v>
      </c>
      <c r="J618" s="185">
        <f t="shared" si="100"/>
        <v>0.15000015392840688</v>
      </c>
      <c r="K618" s="185">
        <f>+K615/K607</f>
        <v>0.15</v>
      </c>
    </row>
    <row r="619" spans="2:12" ht="15">
      <c r="B619" s="184"/>
      <c r="C619" s="185"/>
      <c r="D619" s="185"/>
      <c r="E619" s="185"/>
      <c r="F619" s="185"/>
      <c r="G619" s="185"/>
      <c r="H619" s="185"/>
      <c r="I619" s="185"/>
      <c r="J619" s="185"/>
      <c r="K619" s="185"/>
    </row>
    <row r="620" spans="2:12" ht="7.5" customHeight="1">
      <c r="B620" s="184"/>
      <c r="C620" s="2"/>
      <c r="D620" s="2"/>
      <c r="E620" s="2"/>
      <c r="F620" s="2"/>
      <c r="G620" s="2"/>
      <c r="H620" s="2"/>
      <c r="I620" s="2"/>
      <c r="J620" s="2"/>
      <c r="K620" s="2"/>
    </row>
    <row r="621" spans="2:12" ht="15">
      <c r="B621" s="1"/>
      <c r="C621" s="2"/>
      <c r="D621" s="2"/>
      <c r="E621" s="2"/>
      <c r="F621" s="2"/>
      <c r="G621" s="2"/>
      <c r="H621" s="2"/>
      <c r="I621" s="2"/>
      <c r="J621" s="2"/>
      <c r="K621" s="2"/>
    </row>
    <row r="622" spans="2:12" ht="15">
      <c r="B622" s="1"/>
      <c r="C622" s="2"/>
      <c r="D622" s="2"/>
      <c r="E622" s="2"/>
      <c r="F622" s="2"/>
      <c r="G622" s="2"/>
      <c r="H622" s="2"/>
      <c r="I622" s="2"/>
      <c r="J622" s="2"/>
      <c r="K622" s="2"/>
    </row>
    <row r="623" spans="2:12" ht="15">
      <c r="B623" s="1"/>
      <c r="C623" s="2"/>
      <c r="D623" s="2"/>
      <c r="E623" s="2"/>
      <c r="F623" s="2"/>
      <c r="G623" s="2"/>
      <c r="H623" s="2"/>
      <c r="I623" s="2"/>
      <c r="J623" s="2"/>
      <c r="K623" s="2"/>
    </row>
    <row r="624" spans="2:12" ht="15">
      <c r="B624" s="1"/>
      <c r="C624" s="2"/>
      <c r="D624" s="2"/>
      <c r="E624" s="2"/>
      <c r="F624" s="2"/>
      <c r="G624" s="2"/>
      <c r="H624" s="2"/>
      <c r="I624" s="2"/>
      <c r="J624" s="2"/>
      <c r="K624" s="2"/>
    </row>
    <row r="625" spans="2:11" ht="15">
      <c r="B625" s="1"/>
      <c r="C625" s="2"/>
      <c r="D625" s="2"/>
      <c r="E625" s="2"/>
      <c r="F625" s="2"/>
      <c r="G625" s="2"/>
      <c r="H625" s="2"/>
      <c r="I625" s="2"/>
      <c r="J625" s="2"/>
      <c r="K625" s="2"/>
    </row>
    <row r="626" spans="2:11" ht="15">
      <c r="B626" s="1"/>
      <c r="C626" s="2"/>
      <c r="D626" s="2"/>
      <c r="E626" s="2"/>
      <c r="F626" s="2"/>
      <c r="G626" s="2"/>
      <c r="H626" s="2"/>
      <c r="I626" s="2"/>
      <c r="J626" s="2"/>
      <c r="K626" s="2"/>
    </row>
    <row r="627" spans="2:11" ht="15">
      <c r="B627" s="1"/>
      <c r="C627" s="2"/>
      <c r="D627" s="2"/>
      <c r="E627" s="2"/>
      <c r="F627" s="2"/>
      <c r="G627" s="2"/>
      <c r="H627" s="2"/>
      <c r="I627" s="2"/>
      <c r="J627" s="2"/>
      <c r="K627" s="2"/>
    </row>
    <row r="628" spans="2:11" ht="15">
      <c r="B628" s="1"/>
      <c r="C628" s="2"/>
      <c r="D628" s="2"/>
      <c r="E628" s="2"/>
      <c r="F628" s="2"/>
      <c r="G628" s="2"/>
      <c r="H628" s="2"/>
      <c r="I628" s="2"/>
      <c r="J628" s="2"/>
      <c r="K628" s="2"/>
    </row>
    <row r="629" spans="2:11" ht="15">
      <c r="B629" s="1"/>
      <c r="C629" s="2"/>
      <c r="D629" s="2"/>
      <c r="E629" s="2"/>
      <c r="F629" s="2"/>
      <c r="G629" s="2"/>
      <c r="H629" s="2"/>
      <c r="I629" s="2"/>
      <c r="J629" s="2"/>
      <c r="K629" s="2"/>
    </row>
    <row r="630" spans="2:11" ht="15">
      <c r="B630" s="1"/>
      <c r="C630" s="2"/>
      <c r="D630" s="2"/>
      <c r="E630" s="2"/>
      <c r="F630" s="2"/>
      <c r="G630" s="2"/>
      <c r="H630" s="2"/>
      <c r="I630" s="2"/>
      <c r="J630" s="2"/>
      <c r="K630" s="2"/>
    </row>
    <row r="631" spans="2:11" ht="15">
      <c r="B631" s="1"/>
      <c r="C631" s="2"/>
      <c r="D631" s="2"/>
      <c r="E631" s="2"/>
      <c r="F631" s="2"/>
      <c r="G631" s="2"/>
      <c r="H631" s="2"/>
      <c r="I631" s="2"/>
      <c r="J631" s="2"/>
      <c r="K631" s="2"/>
    </row>
    <row r="634" spans="2:11" ht="18.75" customHeight="1">
      <c r="B634" s="722" t="s">
        <v>959</v>
      </c>
      <c r="C634" s="722"/>
      <c r="D634" s="722"/>
      <c r="E634" s="722"/>
      <c r="F634" s="722"/>
      <c r="G634" s="722"/>
      <c r="H634" s="722"/>
      <c r="I634" s="722"/>
      <c r="J634" s="722"/>
      <c r="K634" s="722"/>
    </row>
    <row r="635" spans="2:11" ht="15">
      <c r="B635" s="72"/>
      <c r="C635" s="3"/>
      <c r="D635" s="2"/>
      <c r="E635" s="2"/>
      <c r="F635" s="2"/>
      <c r="G635" s="2"/>
      <c r="H635" s="2"/>
      <c r="I635" s="2"/>
      <c r="J635" s="2"/>
      <c r="K635" s="2"/>
    </row>
    <row r="636" spans="2:11" ht="12.75" customHeight="1">
      <c r="B636" s="715" t="s">
        <v>1484</v>
      </c>
      <c r="C636" s="715"/>
      <c r="D636" s="715"/>
      <c r="E636" s="715"/>
      <c r="F636" s="715"/>
      <c r="G636" s="715"/>
      <c r="H636" s="715"/>
      <c r="I636" s="715"/>
      <c r="J636" s="715"/>
      <c r="K636" s="715"/>
    </row>
    <row r="637" spans="2:11" ht="12.75" customHeight="1">
      <c r="B637" s="715"/>
      <c r="C637" s="715"/>
      <c r="D637" s="715"/>
      <c r="E637" s="715"/>
      <c r="F637" s="715"/>
      <c r="G637" s="715"/>
      <c r="H637" s="715"/>
      <c r="I637" s="715"/>
      <c r="J637" s="715"/>
      <c r="K637" s="715"/>
    </row>
    <row r="638" spans="2:11" ht="12.75" customHeight="1">
      <c r="B638" s="715"/>
      <c r="C638" s="715"/>
      <c r="D638" s="715"/>
      <c r="E638" s="715"/>
      <c r="F638" s="715"/>
      <c r="G638" s="715"/>
      <c r="H638" s="715"/>
      <c r="I638" s="715"/>
      <c r="J638" s="715"/>
      <c r="K638" s="715"/>
    </row>
    <row r="639" spans="2:11" ht="7.5" customHeight="1">
      <c r="B639" s="686"/>
      <c r="C639" s="25"/>
      <c r="D639" s="25"/>
      <c r="E639" s="25"/>
      <c r="F639" s="25"/>
      <c r="G639" s="25"/>
      <c r="H639" s="2"/>
      <c r="I639" s="2"/>
      <c r="J639" s="2"/>
      <c r="K639" s="2"/>
    </row>
    <row r="640" spans="2:11" ht="15">
      <c r="B640" s="5"/>
      <c r="C640" s="72"/>
      <c r="D640" s="73"/>
      <c r="E640" s="72" t="s">
        <v>283</v>
      </c>
      <c r="F640" s="1"/>
      <c r="G640" s="1"/>
      <c r="H640" s="1"/>
      <c r="I640" s="1"/>
      <c r="J640" s="1"/>
      <c r="K640" s="1"/>
    </row>
    <row r="641" spans="2:12" ht="15">
      <c r="B641" s="73"/>
      <c r="C641" s="72" t="s">
        <v>229</v>
      </c>
      <c r="D641" s="96" t="s">
        <v>282</v>
      </c>
      <c r="E641" s="73" t="s">
        <v>917</v>
      </c>
      <c r="F641" s="73" t="s">
        <v>283</v>
      </c>
      <c r="G641" s="73" t="s">
        <v>298</v>
      </c>
      <c r="H641" s="73" t="s">
        <v>299</v>
      </c>
      <c r="I641" s="73" t="s">
        <v>300</v>
      </c>
      <c r="J641" s="73" t="s">
        <v>1087</v>
      </c>
      <c r="K641" s="73" t="s">
        <v>1224</v>
      </c>
    </row>
    <row r="642" spans="2:12" ht="15.75" thickBot="1">
      <c r="B642" s="188"/>
      <c r="C642" s="75" t="s">
        <v>1</v>
      </c>
      <c r="D642" s="75" t="s">
        <v>1</v>
      </c>
      <c r="E642" s="75" t="s">
        <v>871</v>
      </c>
      <c r="F642" s="75" t="s">
        <v>20</v>
      </c>
      <c r="G642" s="75" t="s">
        <v>917</v>
      </c>
      <c r="H642" s="75" t="s">
        <v>20</v>
      </c>
      <c r="I642" s="75" t="s">
        <v>20</v>
      </c>
      <c r="J642" s="75" t="s">
        <v>20</v>
      </c>
      <c r="K642" s="75" t="s">
        <v>20</v>
      </c>
    </row>
    <row r="643" spans="2:12" ht="15">
      <c r="B643" s="71"/>
      <c r="C643" s="189"/>
      <c r="D643" s="2"/>
      <c r="E643" s="2"/>
      <c r="F643" s="2"/>
      <c r="G643" s="2"/>
      <c r="H643" s="2"/>
      <c r="I643" s="2"/>
      <c r="J643" s="2"/>
      <c r="K643" s="2"/>
    </row>
    <row r="644" spans="2:12" ht="15">
      <c r="B644" s="177" t="s">
        <v>918</v>
      </c>
      <c r="C644" s="2"/>
      <c r="D644" s="2"/>
      <c r="E644" s="2"/>
      <c r="F644" s="2"/>
      <c r="G644" s="2"/>
      <c r="H644" s="2"/>
      <c r="I644" s="2"/>
      <c r="J644" s="2"/>
      <c r="K644" s="2"/>
    </row>
    <row r="645" spans="2:12" ht="20.100000000000001" customHeight="1">
      <c r="B645" s="688" t="s">
        <v>923</v>
      </c>
      <c r="C645" s="2">
        <f>SUM('Budget Detail FY 2012-19'!N884:N890)</f>
        <v>620489</v>
      </c>
      <c r="D645" s="2">
        <f>SUM('Budget Detail FY 2012-19'!O884:O890)</f>
        <v>493619</v>
      </c>
      <c r="E645" s="2">
        <f>SUM('Budget Detail FY 2012-19'!P884:P890)</f>
        <v>61000</v>
      </c>
      <c r="F645" s="2">
        <f>SUM('Budget Detail FY 2012-19'!Q884:Q890)</f>
        <v>44891</v>
      </c>
      <c r="G645" s="2">
        <f>SUM('Budget Detail FY 2012-19'!R884:R890)</f>
        <v>0</v>
      </c>
      <c r="H645" s="2">
        <f>SUM('Budget Detail FY 2012-19'!S884:S890)</f>
        <v>0</v>
      </c>
      <c r="I645" s="2">
        <f>SUM('Budget Detail FY 2012-19'!T884:T890)</f>
        <v>0</v>
      </c>
      <c r="J645" s="2">
        <f>SUM('Budget Detail FY 2012-19'!U884:U890)</f>
        <v>0</v>
      </c>
      <c r="K645" s="2">
        <f>SUM('Budget Detail FY 2012-19'!V884:V890)</f>
        <v>0</v>
      </c>
    </row>
    <row r="646" spans="2:12" ht="20.100000000000001" customHeight="1">
      <c r="B646" s="688" t="s">
        <v>926</v>
      </c>
      <c r="C646" s="2">
        <f>SUM('Budget Detail FY 2012-19'!N891:N893)</f>
        <v>14074</v>
      </c>
      <c r="D646" s="2">
        <f>SUM('Budget Detail FY 2012-19'!O891:O893)</f>
        <v>17467</v>
      </c>
      <c r="E646" s="2">
        <f>SUM('Budget Detail FY 2012-19'!P891:P893)</f>
        <v>0</v>
      </c>
      <c r="F646" s="2">
        <f>SUM('Budget Detail FY 2012-19'!Q891:Q893)</f>
        <v>572</v>
      </c>
      <c r="G646" s="2">
        <f>SUM('Budget Detail FY 2012-19'!R891:R893)</f>
        <v>0</v>
      </c>
      <c r="H646" s="2">
        <f>SUM('Budget Detail FY 2012-19'!S891:S893)</f>
        <v>0</v>
      </c>
      <c r="I646" s="2">
        <f>SUM('Budget Detail FY 2012-19'!T891:T893)</f>
        <v>0</v>
      </c>
      <c r="J646" s="2">
        <f>SUM('Budget Detail FY 2012-19'!U891:U893)</f>
        <v>0</v>
      </c>
      <c r="K646" s="2">
        <f>SUM('Budget Detail FY 2012-19'!V891:V893)</f>
        <v>0</v>
      </c>
    </row>
    <row r="647" spans="2:12" ht="20.100000000000001" customHeight="1">
      <c r="B647" s="688" t="s">
        <v>927</v>
      </c>
      <c r="C647" s="2">
        <f>'Budget Detail FY 2012-19'!N894</f>
        <v>0</v>
      </c>
      <c r="D647" s="2">
        <f>'Budget Detail FY 2012-19'!O894</f>
        <v>0</v>
      </c>
      <c r="E647" s="2">
        <f>'Budget Detail FY 2012-19'!P894</f>
        <v>556957</v>
      </c>
      <c r="F647" s="2">
        <f>'Budget Detail FY 2012-19'!Q894</f>
        <v>487840</v>
      </c>
      <c r="G647" s="2">
        <f>'Budget Detail FY 2012-19'!R894</f>
        <v>0</v>
      </c>
      <c r="H647" s="2">
        <f>'Budget Detail FY 2012-19'!S894</f>
        <v>0</v>
      </c>
      <c r="I647" s="2">
        <f>'Budget Detail FY 2012-19'!T894</f>
        <v>0</v>
      </c>
      <c r="J647" s="2">
        <f>'Budget Detail FY 2012-19'!U894</f>
        <v>0</v>
      </c>
      <c r="K647" s="2">
        <f>'Budget Detail FY 2012-19'!V894</f>
        <v>0</v>
      </c>
    </row>
    <row r="648" spans="2:12" ht="20.100000000000001" customHeight="1" thickBot="1">
      <c r="B648" s="172" t="s">
        <v>928</v>
      </c>
      <c r="C648" s="169">
        <f>SUM(C645:C647)</f>
        <v>634563</v>
      </c>
      <c r="D648" s="169">
        <f t="shared" ref="D648:K648" si="101">SUM(D645:D647)</f>
        <v>511086</v>
      </c>
      <c r="E648" s="169">
        <f t="shared" si="101"/>
        <v>617957</v>
      </c>
      <c r="F648" s="169">
        <f t="shared" si="101"/>
        <v>533303</v>
      </c>
      <c r="G648" s="169">
        <f t="shared" si="101"/>
        <v>0</v>
      </c>
      <c r="H648" s="169">
        <f t="shared" si="101"/>
        <v>0</v>
      </c>
      <c r="I648" s="169">
        <f t="shared" si="101"/>
        <v>0</v>
      </c>
      <c r="J648" s="169">
        <f t="shared" si="101"/>
        <v>0</v>
      </c>
      <c r="K648" s="169">
        <f t="shared" si="101"/>
        <v>0</v>
      </c>
      <c r="L648" s="173"/>
    </row>
    <row r="649" spans="2:12" s="173" customFormat="1" ht="15" hidden="1" customHeight="1">
      <c r="B649" s="174"/>
      <c r="C649" s="146">
        <f>'Budget Detail FY 2012-19'!N896</f>
        <v>634563</v>
      </c>
      <c r="D649" s="146">
        <f>'Budget Detail FY 2012-19'!O896</f>
        <v>511086</v>
      </c>
      <c r="E649" s="146">
        <f>'Budget Detail FY 2012-19'!P896</f>
        <v>617957</v>
      </c>
      <c r="F649" s="146">
        <f>'Budget Detail FY 2012-19'!Q896</f>
        <v>533303</v>
      </c>
      <c r="G649" s="146">
        <f>'Budget Detail FY 2012-19'!R896</f>
        <v>0</v>
      </c>
      <c r="H649" s="146">
        <f>'Budget Detail FY 2012-19'!S896</f>
        <v>0</v>
      </c>
      <c r="I649" s="146">
        <f>'Budget Detail FY 2012-19'!T896</f>
        <v>0</v>
      </c>
      <c r="J649" s="146">
        <f>'Budget Detail FY 2012-19'!U896</f>
        <v>0</v>
      </c>
      <c r="K649" s="146">
        <f>'Budget Detail FY 2012-19'!V896</f>
        <v>0</v>
      </c>
      <c r="L649" s="586" t="s">
        <v>1299</v>
      </c>
    </row>
    <row r="650" spans="2:12" s="175" customFormat="1" ht="14.25" hidden="1" customHeight="1">
      <c r="B650" s="176"/>
      <c r="C650" s="147">
        <f>C648-C649</f>
        <v>0</v>
      </c>
      <c r="D650" s="147">
        <f t="shared" ref="D650:K650" si="102">D648-D649</f>
        <v>0</v>
      </c>
      <c r="E650" s="147">
        <f t="shared" si="102"/>
        <v>0</v>
      </c>
      <c r="F650" s="147">
        <f t="shared" si="102"/>
        <v>0</v>
      </c>
      <c r="G650" s="147">
        <f t="shared" si="102"/>
        <v>0</v>
      </c>
      <c r="H650" s="147">
        <f t="shared" si="102"/>
        <v>0</v>
      </c>
      <c r="I650" s="147">
        <f t="shared" si="102"/>
        <v>0</v>
      </c>
      <c r="J650" s="147">
        <f t="shared" si="102"/>
        <v>0</v>
      </c>
      <c r="K650" s="147">
        <f t="shared" si="102"/>
        <v>0</v>
      </c>
      <c r="L650" s="587" t="s">
        <v>1300</v>
      </c>
    </row>
    <row r="651" spans="2:12" ht="15">
      <c r="B651" s="1"/>
      <c r="C651" s="2"/>
      <c r="D651" s="2"/>
      <c r="E651" s="2"/>
      <c r="F651" s="2"/>
      <c r="G651" s="2"/>
      <c r="H651" s="2"/>
      <c r="I651" s="2"/>
      <c r="J651" s="2"/>
      <c r="K651" s="2"/>
    </row>
    <row r="652" spans="2:12" ht="15">
      <c r="B652" s="177" t="s">
        <v>661</v>
      </c>
      <c r="C652" s="2"/>
      <c r="D652" s="2"/>
      <c r="E652" s="2"/>
      <c r="F652" s="2"/>
      <c r="G652" s="2"/>
      <c r="H652" s="2"/>
      <c r="I652" s="2"/>
      <c r="J652" s="2"/>
      <c r="K652" s="2"/>
    </row>
    <row r="653" spans="2:12" ht="20.100000000000001" customHeight="1">
      <c r="B653" s="689" t="s">
        <v>929</v>
      </c>
      <c r="C653" s="2">
        <f>SUM('Budget Detail FY 2012-19'!N899:N902)</f>
        <v>201757</v>
      </c>
      <c r="D653" s="2">
        <f>SUM('Budget Detail FY 2012-19'!O899:O902)</f>
        <v>169838</v>
      </c>
      <c r="E653" s="2">
        <f>SUM('Budget Detail FY 2012-19'!P899:P902)</f>
        <v>20000</v>
      </c>
      <c r="F653" s="2">
        <f>SUM('Budget Detail FY 2012-19'!Q899:Q902)</f>
        <v>18775</v>
      </c>
      <c r="G653" s="2">
        <f>SUM('Budget Detail FY 2012-19'!R899:R902)</f>
        <v>0</v>
      </c>
      <c r="H653" s="2">
        <f>SUM('Budget Detail FY 2012-19'!S899:S902)</f>
        <v>0</v>
      </c>
      <c r="I653" s="2">
        <f>SUM('Budget Detail FY 2012-19'!T899:T902)</f>
        <v>0</v>
      </c>
      <c r="J653" s="2">
        <f>SUM('Budget Detail FY 2012-19'!U899:U902)</f>
        <v>0</v>
      </c>
      <c r="K653" s="2">
        <f>SUM('Budget Detail FY 2012-19'!V899:V902)</f>
        <v>0</v>
      </c>
    </row>
    <row r="654" spans="2:12" ht="20.100000000000001" customHeight="1">
      <c r="B654" s="689" t="s">
        <v>930</v>
      </c>
      <c r="C654" s="2">
        <f>SUM('Budget Detail FY 2012-19'!N903:N906)</f>
        <v>25706</v>
      </c>
      <c r="D654" s="2">
        <f>SUM('Budget Detail FY 2012-19'!O903:O906)</f>
        <v>23718</v>
      </c>
      <c r="E654" s="2">
        <f>SUM('Budget Detail FY 2012-19'!P903:P906)</f>
        <v>0</v>
      </c>
      <c r="F654" s="2">
        <f>SUM('Budget Detail FY 2012-19'!Q903:Q906)</f>
        <v>1965</v>
      </c>
      <c r="G654" s="2">
        <f>SUM('Budget Detail FY 2012-19'!R903:R906)</f>
        <v>0</v>
      </c>
      <c r="H654" s="2">
        <f>SUM('Budget Detail FY 2012-19'!S903:S906)</f>
        <v>0</v>
      </c>
      <c r="I654" s="2">
        <f>SUM('Budget Detail FY 2012-19'!T903:T906)</f>
        <v>0</v>
      </c>
      <c r="J654" s="2">
        <f>SUM('Budget Detail FY 2012-19'!U903:U906)</f>
        <v>0</v>
      </c>
      <c r="K654" s="2">
        <f>SUM('Budget Detail FY 2012-19'!V903:V906)</f>
        <v>0</v>
      </c>
    </row>
    <row r="655" spans="2:12" ht="20.100000000000001" customHeight="1">
      <c r="B655" s="689" t="s">
        <v>931</v>
      </c>
      <c r="C655" s="2">
        <f>SUM('Budget Detail FY 2012-19'!N907:N916)</f>
        <v>392972</v>
      </c>
      <c r="D655" s="2">
        <f>SUM('Budget Detail FY 2012-19'!O907:O916)</f>
        <v>360432</v>
      </c>
      <c r="E655" s="2">
        <f>SUM('Budget Detail FY 2012-19'!P907:P916)</f>
        <v>114250</v>
      </c>
      <c r="F655" s="2">
        <f>SUM('Budget Detail FY 2012-19'!Q907:Q916)</f>
        <v>208635</v>
      </c>
      <c r="G655" s="2">
        <f>SUM('Budget Detail FY 2012-19'!R907:R916)</f>
        <v>0</v>
      </c>
      <c r="H655" s="2">
        <f>SUM('Budget Detail FY 2012-19'!S907:S916)</f>
        <v>0</v>
      </c>
      <c r="I655" s="2">
        <f>SUM('Budget Detail FY 2012-19'!T907:T916)</f>
        <v>0</v>
      </c>
      <c r="J655" s="2">
        <f>SUM('Budget Detail FY 2012-19'!U907:U916)</f>
        <v>0</v>
      </c>
      <c r="K655" s="2">
        <f>SUM('Budget Detail FY 2012-19'!V907:V916)</f>
        <v>0</v>
      </c>
    </row>
    <row r="656" spans="2:12" ht="20.100000000000001" customHeight="1">
      <c r="B656" s="689" t="s">
        <v>932</v>
      </c>
      <c r="C656" s="2">
        <f>SUM('Budget Detail FY 2012-19'!N917:N924)</f>
        <v>39041</v>
      </c>
      <c r="D656" s="2">
        <f>SUM('Budget Detail FY 2012-19'!O917:O924)</f>
        <v>37516</v>
      </c>
      <c r="E656" s="2">
        <f>SUM('Budget Detail FY 2012-19'!P917:P924)</f>
        <v>16239</v>
      </c>
      <c r="F656" s="2">
        <f>SUM('Budget Detail FY 2012-19'!Q917:Q924)</f>
        <v>3508</v>
      </c>
      <c r="G656" s="2">
        <f>SUM('Budget Detail FY 2012-19'!R917:R924)</f>
        <v>0</v>
      </c>
      <c r="H656" s="2">
        <f>SUM('Budget Detail FY 2012-19'!S917:S924)</f>
        <v>0</v>
      </c>
      <c r="I656" s="2">
        <f>SUM('Budget Detail FY 2012-19'!T917:T924)</f>
        <v>0</v>
      </c>
      <c r="J656" s="2">
        <f>SUM('Budget Detail FY 2012-19'!U917:U924)</f>
        <v>0</v>
      </c>
      <c r="K656" s="2">
        <f>SUM('Budget Detail FY 2012-19'!V917:V924)</f>
        <v>0</v>
      </c>
    </row>
    <row r="657" spans="2:12" ht="20.100000000000001" customHeight="1" thickBot="1">
      <c r="B657" s="172" t="s">
        <v>950</v>
      </c>
      <c r="C657" s="169">
        <f t="shared" ref="C657:J657" si="103">SUM(C653:C656)</f>
        <v>659476</v>
      </c>
      <c r="D657" s="169">
        <f>SUM(D653:D656)</f>
        <v>591504</v>
      </c>
      <c r="E657" s="169">
        <f t="shared" si="103"/>
        <v>150489</v>
      </c>
      <c r="F657" s="169">
        <f t="shared" si="103"/>
        <v>232883</v>
      </c>
      <c r="G657" s="169">
        <f t="shared" si="103"/>
        <v>0</v>
      </c>
      <c r="H657" s="169">
        <f t="shared" si="103"/>
        <v>0</v>
      </c>
      <c r="I657" s="169">
        <f t="shared" si="103"/>
        <v>0</v>
      </c>
      <c r="J657" s="169">
        <f t="shared" si="103"/>
        <v>0</v>
      </c>
      <c r="K657" s="169">
        <f>SUM(K653:K656)</f>
        <v>0</v>
      </c>
      <c r="L657" s="173"/>
    </row>
    <row r="658" spans="2:12" s="173" customFormat="1" ht="15" hidden="1">
      <c r="B658" s="174"/>
      <c r="C658" s="146">
        <f>'Budget Detail FY 2012-19'!N926</f>
        <v>659476</v>
      </c>
      <c r="D658" s="146">
        <f>'Budget Detail FY 2012-19'!O926</f>
        <v>591504</v>
      </c>
      <c r="E658" s="146">
        <f>'Budget Detail FY 2012-19'!P926</f>
        <v>150489</v>
      </c>
      <c r="F658" s="146">
        <f>'Budget Detail FY 2012-19'!Q926</f>
        <v>232883</v>
      </c>
      <c r="G658" s="146">
        <f>'Budget Detail FY 2012-19'!R926</f>
        <v>0</v>
      </c>
      <c r="H658" s="146">
        <f>'Budget Detail FY 2012-19'!S926</f>
        <v>0</v>
      </c>
      <c r="I658" s="146">
        <f>'Budget Detail FY 2012-19'!T926</f>
        <v>0</v>
      </c>
      <c r="J658" s="146">
        <f>'Budget Detail FY 2012-19'!U926</f>
        <v>0</v>
      </c>
      <c r="K658" s="146">
        <f>'Budget Detail FY 2012-19'!V926</f>
        <v>0</v>
      </c>
      <c r="L658" s="586" t="s">
        <v>1299</v>
      </c>
    </row>
    <row r="659" spans="2:12" s="175" customFormat="1" ht="15" hidden="1">
      <c r="B659" s="176"/>
      <c r="C659" s="182">
        <f>C657-C658</f>
        <v>0</v>
      </c>
      <c r="D659" s="182">
        <f t="shared" ref="D659:K659" si="104">D657-D658</f>
        <v>0</v>
      </c>
      <c r="E659" s="182">
        <f t="shared" si="104"/>
        <v>0</v>
      </c>
      <c r="F659" s="182">
        <f t="shared" si="104"/>
        <v>0</v>
      </c>
      <c r="G659" s="182">
        <f t="shared" si="104"/>
        <v>0</v>
      </c>
      <c r="H659" s="182">
        <f t="shared" si="104"/>
        <v>0</v>
      </c>
      <c r="I659" s="182">
        <f t="shared" si="104"/>
        <v>0</v>
      </c>
      <c r="J659" s="182">
        <f t="shared" si="104"/>
        <v>0</v>
      </c>
      <c r="K659" s="182">
        <f t="shared" si="104"/>
        <v>0</v>
      </c>
      <c r="L659" s="587" t="s">
        <v>1300</v>
      </c>
    </row>
    <row r="660" spans="2:12" ht="7.5" customHeight="1">
      <c r="B660" s="179"/>
      <c r="C660" s="3"/>
      <c r="D660" s="2"/>
      <c r="E660" s="2"/>
      <c r="F660" s="2"/>
      <c r="G660" s="2"/>
      <c r="H660" s="2"/>
      <c r="I660" s="2"/>
      <c r="J660" s="2"/>
      <c r="K660" s="2"/>
    </row>
    <row r="661" spans="2:12" ht="20.100000000000001" customHeight="1">
      <c r="B661" s="691" t="s">
        <v>937</v>
      </c>
      <c r="C661" s="3">
        <f t="shared" ref="C661:J661" si="105">+C648-C657</f>
        <v>-24913</v>
      </c>
      <c r="D661" s="3">
        <f>+D648-D657</f>
        <v>-80418</v>
      </c>
      <c r="E661" s="3">
        <f t="shared" si="105"/>
        <v>467468</v>
      </c>
      <c r="F661" s="3">
        <f t="shared" si="105"/>
        <v>300420</v>
      </c>
      <c r="G661" s="3">
        <f t="shared" si="105"/>
        <v>0</v>
      </c>
      <c r="H661" s="3">
        <f t="shared" si="105"/>
        <v>0</v>
      </c>
      <c r="I661" s="3">
        <f t="shared" si="105"/>
        <v>0</v>
      </c>
      <c r="J661" s="3">
        <f t="shared" si="105"/>
        <v>0</v>
      </c>
      <c r="K661" s="3">
        <f>+K648-K657</f>
        <v>0</v>
      </c>
      <c r="L661" s="173"/>
    </row>
    <row r="662" spans="2:12" s="173" customFormat="1" ht="15" hidden="1">
      <c r="B662" s="180"/>
      <c r="C662" s="146">
        <f>'Budget Detail FY 2012-19'!N928</f>
        <v>-24913</v>
      </c>
      <c r="D662" s="146">
        <f>'Budget Detail FY 2012-19'!O928</f>
        <v>-80418</v>
      </c>
      <c r="E662" s="146">
        <f>'Budget Detail FY 2012-19'!P928</f>
        <v>467468</v>
      </c>
      <c r="F662" s="146">
        <f>'Budget Detail FY 2012-19'!Q928</f>
        <v>300420</v>
      </c>
      <c r="G662" s="146">
        <f>'Budget Detail FY 2012-19'!R928</f>
        <v>0</v>
      </c>
      <c r="H662" s="146">
        <f>'Budget Detail FY 2012-19'!S928</f>
        <v>0</v>
      </c>
      <c r="I662" s="146">
        <f>'Budget Detail FY 2012-19'!T928</f>
        <v>0</v>
      </c>
      <c r="J662" s="146">
        <f>'Budget Detail FY 2012-19'!U928</f>
        <v>0</v>
      </c>
      <c r="K662" s="146">
        <f>'Budget Detail FY 2012-19'!V928</f>
        <v>0</v>
      </c>
      <c r="L662" s="586" t="s">
        <v>1299</v>
      </c>
    </row>
    <row r="663" spans="2:12" s="175" customFormat="1" ht="15" hidden="1">
      <c r="B663" s="181"/>
      <c r="C663" s="182">
        <f>C661-C662</f>
        <v>0</v>
      </c>
      <c r="D663" s="182">
        <f t="shared" ref="D663:K663" si="106">D661-D662</f>
        <v>0</v>
      </c>
      <c r="E663" s="182">
        <f t="shared" si="106"/>
        <v>0</v>
      </c>
      <c r="F663" s="182">
        <f t="shared" si="106"/>
        <v>0</v>
      </c>
      <c r="G663" s="182">
        <f t="shared" si="106"/>
        <v>0</v>
      </c>
      <c r="H663" s="182">
        <f t="shared" si="106"/>
        <v>0</v>
      </c>
      <c r="I663" s="182">
        <f t="shared" si="106"/>
        <v>0</v>
      </c>
      <c r="J663" s="182">
        <f t="shared" si="106"/>
        <v>0</v>
      </c>
      <c r="K663" s="182">
        <f t="shared" si="106"/>
        <v>0</v>
      </c>
      <c r="L663" s="587" t="s">
        <v>1300</v>
      </c>
    </row>
    <row r="664" spans="2:12" ht="7.5" customHeight="1">
      <c r="B664" s="183"/>
      <c r="C664" s="3"/>
      <c r="D664" s="2"/>
      <c r="E664" s="2"/>
      <c r="F664" s="2"/>
      <c r="G664" s="2"/>
      <c r="H664" s="2"/>
      <c r="I664" s="2"/>
      <c r="J664" s="2"/>
      <c r="K664" s="2"/>
    </row>
    <row r="665" spans="2:12" ht="20.100000000000001" customHeight="1" thickBot="1">
      <c r="B665" s="171" t="s">
        <v>951</v>
      </c>
      <c r="C665" s="91">
        <v>-220001</v>
      </c>
      <c r="D665" s="91">
        <v>-300420</v>
      </c>
      <c r="E665" s="91">
        <v>0</v>
      </c>
      <c r="F665" s="91">
        <v>0</v>
      </c>
      <c r="G665" s="91">
        <f>F665+G661</f>
        <v>0</v>
      </c>
      <c r="H665" s="91">
        <f>G665+H661</f>
        <v>0</v>
      </c>
      <c r="I665" s="91">
        <f>H665+I661</f>
        <v>0</v>
      </c>
      <c r="J665" s="91">
        <f>I665+J661</f>
        <v>0</v>
      </c>
      <c r="K665" s="91">
        <f>J665+K661</f>
        <v>0</v>
      </c>
      <c r="L665" s="173"/>
    </row>
    <row r="666" spans="2:12" s="173" customFormat="1" ht="15.75" hidden="1" thickTop="1">
      <c r="B666" s="174"/>
      <c r="C666" s="146">
        <f>'Budget Detail FY 2012-19'!N930</f>
        <v>-220001</v>
      </c>
      <c r="D666" s="146">
        <f>'Budget Detail FY 2012-19'!O930</f>
        <v>-300420</v>
      </c>
      <c r="E666" s="146">
        <f>'Budget Detail FY 2012-19'!P930</f>
        <v>0</v>
      </c>
      <c r="F666" s="146">
        <f>'Budget Detail FY 2012-19'!Q930</f>
        <v>0</v>
      </c>
      <c r="G666" s="146">
        <f>'Budget Detail FY 2012-19'!R930</f>
        <v>0</v>
      </c>
      <c r="H666" s="146">
        <f>'Budget Detail FY 2012-19'!S930</f>
        <v>0</v>
      </c>
      <c r="I666" s="146">
        <f>'Budget Detail FY 2012-19'!T930</f>
        <v>0</v>
      </c>
      <c r="J666" s="146">
        <f>'Budget Detail FY 2012-19'!U930</f>
        <v>0</v>
      </c>
      <c r="K666" s="146">
        <f>'Budget Detail FY 2012-19'!V930</f>
        <v>0</v>
      </c>
      <c r="L666" s="586" t="s">
        <v>1299</v>
      </c>
    </row>
    <row r="667" spans="2:12" s="175" customFormat="1" ht="15" hidden="1">
      <c r="B667" s="176"/>
      <c r="C667" s="182">
        <f>C665-C666</f>
        <v>0</v>
      </c>
      <c r="D667" s="182">
        <f t="shared" ref="D667:K667" si="107">D665-D666</f>
        <v>0</v>
      </c>
      <c r="E667" s="182">
        <f t="shared" si="107"/>
        <v>0</v>
      </c>
      <c r="F667" s="182">
        <f t="shared" si="107"/>
        <v>0</v>
      </c>
      <c r="G667" s="182">
        <f t="shared" si="107"/>
        <v>0</v>
      </c>
      <c r="H667" s="182">
        <f t="shared" si="107"/>
        <v>0</v>
      </c>
      <c r="I667" s="182">
        <f t="shared" si="107"/>
        <v>0</v>
      </c>
      <c r="J667" s="182">
        <f t="shared" si="107"/>
        <v>0</v>
      </c>
      <c r="K667" s="182">
        <f t="shared" si="107"/>
        <v>0</v>
      </c>
      <c r="L667" s="587" t="s">
        <v>1300</v>
      </c>
    </row>
    <row r="668" spans="2:12" ht="15.75" thickTop="1">
      <c r="B668" s="184"/>
      <c r="C668" s="185">
        <f>+C665/C657</f>
        <v>-0.33359970643359271</v>
      </c>
      <c r="D668" s="185">
        <f>+D665/D657</f>
        <v>-0.50789174713949525</v>
      </c>
      <c r="E668" s="185">
        <f>+E665/E657</f>
        <v>0</v>
      </c>
      <c r="F668" s="185">
        <f>+F665/F657</f>
        <v>0</v>
      </c>
      <c r="G668" s="482">
        <v>0</v>
      </c>
      <c r="H668" s="482">
        <v>0</v>
      </c>
      <c r="I668" s="482">
        <v>0</v>
      </c>
      <c r="J668" s="482">
        <v>0</v>
      </c>
      <c r="K668" s="482">
        <v>0</v>
      </c>
    </row>
    <row r="669" spans="2:12" ht="15">
      <c r="B669" s="184"/>
      <c r="C669" s="185"/>
      <c r="D669" s="185"/>
      <c r="E669" s="185"/>
      <c r="F669" s="185"/>
      <c r="G669" s="482"/>
      <c r="H669" s="482"/>
      <c r="I669" s="482"/>
      <c r="J669" s="482"/>
      <c r="K669" s="482"/>
    </row>
    <row r="670" spans="2:12" ht="7.5" customHeight="1">
      <c r="B670" s="184"/>
      <c r="C670" s="2"/>
      <c r="D670" s="2"/>
      <c r="E670" s="2"/>
      <c r="F670" s="2"/>
      <c r="G670" s="2"/>
      <c r="H670" s="2"/>
      <c r="I670" s="2"/>
      <c r="J670" s="2"/>
      <c r="K670" s="2"/>
    </row>
    <row r="671" spans="2:12" ht="15">
      <c r="B671" s="1"/>
      <c r="C671" s="2"/>
      <c r="D671" s="2"/>
      <c r="E671" s="2"/>
      <c r="F671" s="2"/>
      <c r="G671" s="2"/>
      <c r="H671" s="2"/>
      <c r="I671" s="2"/>
      <c r="J671" s="2"/>
      <c r="K671" s="2"/>
    </row>
    <row r="672" spans="2:12" ht="15">
      <c r="B672" s="1"/>
      <c r="C672" s="2"/>
      <c r="D672" s="2"/>
      <c r="E672" s="2"/>
      <c r="F672" s="2"/>
      <c r="G672" s="2"/>
      <c r="H672" s="2"/>
      <c r="I672" s="2"/>
      <c r="J672" s="2"/>
      <c r="K672" s="2"/>
    </row>
    <row r="673" spans="2:11" ht="15">
      <c r="B673" s="1"/>
      <c r="C673" s="2"/>
      <c r="D673" s="2"/>
      <c r="E673" s="2"/>
      <c r="F673" s="2"/>
      <c r="G673" s="2"/>
      <c r="H673" s="2"/>
      <c r="I673" s="2"/>
      <c r="J673" s="2"/>
      <c r="K673" s="2"/>
    </row>
    <row r="674" spans="2:11" ht="15">
      <c r="B674" s="1"/>
      <c r="C674" s="2"/>
      <c r="D674" s="2"/>
      <c r="E674" s="2"/>
      <c r="F674" s="2"/>
      <c r="G674" s="2"/>
      <c r="H674" s="2"/>
      <c r="I674" s="2"/>
      <c r="J674" s="2"/>
      <c r="K674" s="2"/>
    </row>
    <row r="675" spans="2:11" ht="15">
      <c r="B675" s="1"/>
      <c r="C675" s="2"/>
      <c r="D675" s="2"/>
      <c r="E675" s="2"/>
      <c r="F675" s="2"/>
      <c r="G675" s="2"/>
      <c r="H675" s="2"/>
      <c r="I675" s="2"/>
      <c r="J675" s="2"/>
      <c r="K675" s="2"/>
    </row>
    <row r="676" spans="2:11" ht="15">
      <c r="B676" s="1"/>
      <c r="C676" s="2"/>
      <c r="D676" s="2"/>
      <c r="E676" s="2"/>
      <c r="F676" s="2"/>
      <c r="G676" s="2"/>
      <c r="H676" s="2"/>
      <c r="I676" s="2"/>
      <c r="J676" s="2"/>
      <c r="K676" s="2"/>
    </row>
    <row r="677" spans="2:11" ht="15">
      <c r="B677" s="1"/>
      <c r="C677" s="2"/>
      <c r="D677" s="2"/>
      <c r="E677" s="2"/>
      <c r="F677" s="2"/>
      <c r="G677" s="2"/>
      <c r="H677" s="2"/>
      <c r="I677" s="2"/>
      <c r="J677" s="2"/>
      <c r="K677" s="2"/>
    </row>
    <row r="678" spans="2:11" ht="15">
      <c r="B678" s="1"/>
      <c r="C678" s="2"/>
      <c r="D678" s="2"/>
      <c r="E678" s="2"/>
      <c r="F678" s="2"/>
      <c r="G678" s="2"/>
      <c r="H678" s="2"/>
      <c r="I678" s="2"/>
      <c r="J678" s="2"/>
      <c r="K678" s="2"/>
    </row>
    <row r="679" spans="2:11" ht="15">
      <c r="B679" s="1"/>
      <c r="C679" s="2"/>
      <c r="D679" s="2"/>
      <c r="E679" s="2"/>
      <c r="F679" s="2"/>
      <c r="G679" s="2"/>
      <c r="H679" s="2"/>
      <c r="I679" s="2"/>
      <c r="J679" s="2"/>
      <c r="K679" s="2"/>
    </row>
    <row r="680" spans="2:11" ht="15">
      <c r="B680" s="1"/>
      <c r="C680" s="2"/>
      <c r="D680" s="2"/>
      <c r="E680" s="2"/>
      <c r="F680" s="2"/>
      <c r="G680" s="2"/>
      <c r="H680" s="2"/>
      <c r="I680" s="2"/>
      <c r="J680" s="2"/>
      <c r="K680" s="2"/>
    </row>
    <row r="685" spans="2:11" ht="18.75" customHeight="1">
      <c r="B685" s="722" t="s">
        <v>960</v>
      </c>
      <c r="C685" s="722"/>
      <c r="D685" s="722"/>
      <c r="E685" s="722"/>
      <c r="F685" s="722"/>
      <c r="G685" s="722"/>
      <c r="H685" s="722"/>
      <c r="I685" s="722"/>
      <c r="J685" s="722"/>
      <c r="K685" s="722"/>
    </row>
    <row r="686" spans="2:11" ht="7.5" customHeight="1">
      <c r="B686" s="72"/>
      <c r="C686" s="3"/>
      <c r="D686" s="2"/>
      <c r="E686" s="2"/>
      <c r="F686" s="2"/>
      <c r="G686" s="2"/>
      <c r="H686" s="2"/>
      <c r="I686" s="2"/>
      <c r="J686" s="2"/>
      <c r="K686" s="2"/>
    </row>
    <row r="687" spans="2:11" ht="12.75" customHeight="1">
      <c r="B687" s="715" t="s">
        <v>961</v>
      </c>
      <c r="C687" s="715"/>
      <c r="D687" s="715"/>
      <c r="E687" s="715"/>
      <c r="F687" s="715"/>
      <c r="G687" s="715"/>
      <c r="H687" s="715"/>
      <c r="I687" s="715"/>
      <c r="J687" s="715"/>
      <c r="K687" s="715"/>
    </row>
    <row r="688" spans="2:11" ht="12.75" customHeight="1">
      <c r="B688" s="715"/>
      <c r="C688" s="715"/>
      <c r="D688" s="715"/>
      <c r="E688" s="715"/>
      <c r="F688" s="715"/>
      <c r="G688" s="715"/>
      <c r="H688" s="715"/>
      <c r="I688" s="715"/>
      <c r="J688" s="715"/>
      <c r="K688" s="715"/>
    </row>
    <row r="689" spans="2:12" ht="12.75" customHeight="1">
      <c r="B689" s="715"/>
      <c r="C689" s="715"/>
      <c r="D689" s="715"/>
      <c r="E689" s="715"/>
      <c r="F689" s="715"/>
      <c r="G689" s="715"/>
      <c r="H689" s="715"/>
      <c r="I689" s="715"/>
      <c r="J689" s="715"/>
      <c r="K689" s="715"/>
    </row>
    <row r="690" spans="2:12" ht="15">
      <c r="B690" s="5"/>
      <c r="C690" s="72"/>
      <c r="D690" s="73"/>
      <c r="E690" s="72" t="s">
        <v>283</v>
      </c>
      <c r="F690" s="1"/>
      <c r="G690" s="1"/>
      <c r="H690" s="1"/>
      <c r="I690" s="1"/>
      <c r="J690" s="1"/>
      <c r="K690" s="1"/>
    </row>
    <row r="691" spans="2:12" ht="15">
      <c r="B691" s="73"/>
      <c r="C691" s="72" t="s">
        <v>229</v>
      </c>
      <c r="D691" s="96" t="s">
        <v>282</v>
      </c>
      <c r="E691" s="73" t="s">
        <v>917</v>
      </c>
      <c r="F691" s="73" t="s">
        <v>283</v>
      </c>
      <c r="G691" s="73" t="s">
        <v>298</v>
      </c>
      <c r="H691" s="73" t="s">
        <v>299</v>
      </c>
      <c r="I691" s="73" t="s">
        <v>300</v>
      </c>
      <c r="J691" s="73" t="s">
        <v>1087</v>
      </c>
      <c r="K691" s="73" t="s">
        <v>1224</v>
      </c>
    </row>
    <row r="692" spans="2:12" ht="15.75" thickBot="1">
      <c r="B692" s="188"/>
      <c r="C692" s="75" t="s">
        <v>1</v>
      </c>
      <c r="D692" s="75" t="s">
        <v>1</v>
      </c>
      <c r="E692" s="75" t="s">
        <v>871</v>
      </c>
      <c r="F692" s="75" t="s">
        <v>20</v>
      </c>
      <c r="G692" s="75" t="s">
        <v>917</v>
      </c>
      <c r="H692" s="75" t="s">
        <v>20</v>
      </c>
      <c r="I692" s="75" t="s">
        <v>20</v>
      </c>
      <c r="J692" s="75" t="s">
        <v>20</v>
      </c>
      <c r="K692" s="75" t="s">
        <v>20</v>
      </c>
    </row>
    <row r="693" spans="2:12" ht="15">
      <c r="B693" s="71"/>
      <c r="C693" s="189"/>
      <c r="D693" s="2"/>
      <c r="E693" s="2"/>
      <c r="F693" s="2"/>
      <c r="G693" s="2"/>
      <c r="H693" s="2"/>
      <c r="I693" s="2"/>
      <c r="J693" s="2"/>
      <c r="K693" s="2"/>
    </row>
    <row r="694" spans="2:12" ht="15">
      <c r="B694" s="177" t="s">
        <v>918</v>
      </c>
      <c r="C694" s="2"/>
      <c r="D694" s="2"/>
      <c r="E694" s="2"/>
      <c r="F694" s="2"/>
      <c r="G694" s="2"/>
      <c r="H694" s="2"/>
      <c r="I694" s="2"/>
      <c r="J694" s="2"/>
      <c r="K694" s="2"/>
    </row>
    <row r="695" spans="2:12" ht="20.100000000000001" customHeight="1">
      <c r="B695" s="687" t="s">
        <v>919</v>
      </c>
      <c r="C695" s="2">
        <f>SUM('Budget Detail FY 2012-19'!N935:N936)</f>
        <v>692476</v>
      </c>
      <c r="D695" s="2">
        <f>SUM('Budget Detail FY 2012-19'!O935:O936)</f>
        <v>691905</v>
      </c>
      <c r="E695" s="2">
        <f>SUM('Budget Detail FY 2012-19'!P935:P936)</f>
        <v>670415</v>
      </c>
      <c r="F695" s="2">
        <f>SUM('Budget Detail FY 2012-19'!Q935:Q936)</f>
        <v>642838</v>
      </c>
      <c r="G695" s="2">
        <f>SUM('Budget Detail FY 2012-19'!R935:R936)</f>
        <v>646010</v>
      </c>
      <c r="H695" s="2">
        <f>SUM('Budget Detail FY 2012-19'!S935:S936)</f>
        <v>635000</v>
      </c>
      <c r="I695" s="2">
        <f>SUM('Budget Detail FY 2012-19'!T935:T936)</f>
        <v>625000</v>
      </c>
      <c r="J695" s="2">
        <f>SUM('Budget Detail FY 2012-19'!U935:U936)</f>
        <v>615000</v>
      </c>
      <c r="K695" s="2">
        <f>SUM('Budget Detail FY 2012-19'!V935:V936)</f>
        <v>615000</v>
      </c>
    </row>
    <row r="696" spans="2:12" ht="20.100000000000001" customHeight="1">
      <c r="B696" s="687" t="s">
        <v>920</v>
      </c>
      <c r="C696" s="2">
        <f>SUM('Budget Detail FY 2012-19'!N937:N938)</f>
        <v>22212</v>
      </c>
      <c r="D696" s="2">
        <f>SUM('Budget Detail FY 2012-19'!O937:O938)</f>
        <v>24124</v>
      </c>
      <c r="E696" s="2">
        <f>SUM('Budget Detail FY 2012-19'!P937:P938)</f>
        <v>22200</v>
      </c>
      <c r="F696" s="2">
        <f>SUM('Budget Detail FY 2012-19'!Q937:Q938)</f>
        <v>22389</v>
      </c>
      <c r="G696" s="2">
        <f>SUM('Budget Detail FY 2012-19'!R937:R938)</f>
        <v>22200</v>
      </c>
      <c r="H696" s="2">
        <f>SUM('Budget Detail FY 2012-19'!S937:S938)</f>
        <v>22200</v>
      </c>
      <c r="I696" s="2">
        <f>SUM('Budget Detail FY 2012-19'!T937:T938)</f>
        <v>22200</v>
      </c>
      <c r="J696" s="2">
        <f>SUM('Budget Detail FY 2012-19'!U937:U938)</f>
        <v>22200</v>
      </c>
      <c r="K696" s="2">
        <f>SUM('Budget Detail FY 2012-19'!V937:V938)</f>
        <v>22200</v>
      </c>
    </row>
    <row r="697" spans="2:12" ht="20.100000000000001" customHeight="1">
      <c r="B697" s="688" t="s">
        <v>921</v>
      </c>
      <c r="C697" s="2">
        <f>SUM('Budget Detail FY 2012-19'!N939:N939)</f>
        <v>4681</v>
      </c>
      <c r="D697" s="2">
        <f>SUM('Budget Detail FY 2012-19'!O939:O939)</f>
        <v>0</v>
      </c>
      <c r="E697" s="2">
        <f>SUM('Budget Detail FY 2012-19'!P939:P939)</f>
        <v>0</v>
      </c>
      <c r="F697" s="2">
        <f>SUM('Budget Detail FY 2012-19'!Q939:Q939)</f>
        <v>0</v>
      </c>
      <c r="G697" s="2">
        <f>SUM('Budget Detail FY 2012-19'!R939:R939)</f>
        <v>0</v>
      </c>
      <c r="H697" s="2">
        <f>SUM('Budget Detail FY 2012-19'!S939:S939)</f>
        <v>0</v>
      </c>
      <c r="I697" s="2">
        <f>SUM('Budget Detail FY 2012-19'!T939:T939)</f>
        <v>0</v>
      </c>
      <c r="J697" s="2">
        <f>SUM('Budget Detail FY 2012-19'!U939:U939)</f>
        <v>0</v>
      </c>
      <c r="K697" s="2">
        <f>SUM('Budget Detail FY 2012-19'!V939:V939)</f>
        <v>0</v>
      </c>
    </row>
    <row r="698" spans="2:12" ht="20.100000000000001" customHeight="1">
      <c r="B698" s="688" t="s">
        <v>922</v>
      </c>
      <c r="C698" s="2">
        <f>'Budget Detail FY 2012-19'!N940</f>
        <v>12864</v>
      </c>
      <c r="D698" s="2">
        <f>'Budget Detail FY 2012-19'!O940</f>
        <v>9404</v>
      </c>
      <c r="E698" s="2">
        <f>'Budget Detail FY 2012-19'!P940</f>
        <v>9300</v>
      </c>
      <c r="F698" s="2">
        <f>'Budget Detail FY 2012-19'!Q940</f>
        <v>9300</v>
      </c>
      <c r="G698" s="2">
        <f>'Budget Detail FY 2012-19'!R940</f>
        <v>9300</v>
      </c>
      <c r="H698" s="2">
        <f>'Budget Detail FY 2012-19'!S940</f>
        <v>9300</v>
      </c>
      <c r="I698" s="2">
        <f>'Budget Detail FY 2012-19'!T940</f>
        <v>9300</v>
      </c>
      <c r="J698" s="2">
        <f>'Budget Detail FY 2012-19'!U940</f>
        <v>9300</v>
      </c>
      <c r="K698" s="2">
        <f>'Budget Detail FY 2012-19'!V940</f>
        <v>9300</v>
      </c>
    </row>
    <row r="699" spans="2:12" ht="20.100000000000001" customHeight="1">
      <c r="B699" s="688" t="s">
        <v>923</v>
      </c>
      <c r="C699" s="2">
        <f>SUM('Budget Detail FY 2012-19'!N941:N943)</f>
        <v>15368</v>
      </c>
      <c r="D699" s="2">
        <f>SUM('Budget Detail FY 2012-19'!O941:O943)</f>
        <v>14190</v>
      </c>
      <c r="E699" s="2">
        <f>SUM('Budget Detail FY 2012-19'!P941:P943)</f>
        <v>14000</v>
      </c>
      <c r="F699" s="2">
        <f>SUM('Budget Detail FY 2012-19'!Q941:Q943)</f>
        <v>14000</v>
      </c>
      <c r="G699" s="2">
        <f>SUM('Budget Detail FY 2012-19'!R941:R943)</f>
        <v>14000</v>
      </c>
      <c r="H699" s="2">
        <f>SUM('Budget Detail FY 2012-19'!S941:S943)</f>
        <v>14000</v>
      </c>
      <c r="I699" s="2">
        <f>SUM('Budget Detail FY 2012-19'!T941:T943)</f>
        <v>14000</v>
      </c>
      <c r="J699" s="2">
        <f>SUM('Budget Detail FY 2012-19'!U941:U943)</f>
        <v>14000</v>
      </c>
      <c r="K699" s="2">
        <f>SUM('Budget Detail FY 2012-19'!V941:V943)</f>
        <v>14000</v>
      </c>
    </row>
    <row r="700" spans="2:12" ht="20.100000000000001" customHeight="1">
      <c r="B700" s="688" t="s">
        <v>924</v>
      </c>
      <c r="C700" s="2">
        <f>'Budget Detail FY 2012-19'!N944</f>
        <v>393</v>
      </c>
      <c r="D700" s="2">
        <f>'Budget Detail FY 2012-19'!O944</f>
        <v>1257</v>
      </c>
      <c r="E700" s="2">
        <f>'Budget Detail FY 2012-19'!P944</f>
        <v>1300</v>
      </c>
      <c r="F700" s="2">
        <f>'Budget Detail FY 2012-19'!Q944</f>
        <v>1300</v>
      </c>
      <c r="G700" s="2">
        <f>'Budget Detail FY 2012-19'!R944</f>
        <v>1300</v>
      </c>
      <c r="H700" s="2">
        <f>'Budget Detail FY 2012-19'!S944</f>
        <v>1500</v>
      </c>
      <c r="I700" s="2">
        <f>'Budget Detail FY 2012-19'!T944</f>
        <v>1500</v>
      </c>
      <c r="J700" s="2">
        <f>'Budget Detail FY 2012-19'!U944</f>
        <v>1500</v>
      </c>
      <c r="K700" s="2">
        <f>'Budget Detail FY 2012-19'!V944</f>
        <v>1500</v>
      </c>
    </row>
    <row r="701" spans="2:12" ht="20.100000000000001" customHeight="1">
      <c r="B701" s="688" t="s">
        <v>925</v>
      </c>
      <c r="C701" s="2">
        <f>SUM('Budget Detail FY 2012-19'!N945:N946)</f>
        <v>0</v>
      </c>
      <c r="D701" s="2">
        <f>SUM('Budget Detail FY 2012-19'!O945:O946)</f>
        <v>9396</v>
      </c>
      <c r="E701" s="2">
        <f>SUM('Budget Detail FY 2012-19'!P945:P946)</f>
        <v>0</v>
      </c>
      <c r="F701" s="2">
        <f>SUM('Budget Detail FY 2012-19'!Q945:Q946)</f>
        <v>0</v>
      </c>
      <c r="G701" s="2">
        <f>SUM('Budget Detail FY 2012-19'!R945:R946)</f>
        <v>0</v>
      </c>
      <c r="H701" s="2">
        <f>SUM('Budget Detail FY 2012-19'!S945:S946)</f>
        <v>0</v>
      </c>
      <c r="I701" s="2">
        <f>SUM('Budget Detail FY 2012-19'!T945:T946)</f>
        <v>0</v>
      </c>
      <c r="J701" s="2">
        <f>SUM('Budget Detail FY 2012-19'!U945:U946)</f>
        <v>0</v>
      </c>
      <c r="K701" s="2">
        <f>SUM('Budget Detail FY 2012-19'!V945:V946)</f>
        <v>0</v>
      </c>
    </row>
    <row r="702" spans="2:12" ht="20.100000000000001" customHeight="1">
      <c r="B702" s="688" t="s">
        <v>926</v>
      </c>
      <c r="C702" s="2">
        <f>SUM('Budget Detail FY 2012-19'!N947:N950)</f>
        <v>15045</v>
      </c>
      <c r="D702" s="2">
        <f>SUM('Budget Detail FY 2012-19'!O947:O950)</f>
        <v>12489</v>
      </c>
      <c r="E702" s="2">
        <f>SUM('Budget Detail FY 2012-19'!P947:P950)</f>
        <v>9250</v>
      </c>
      <c r="F702" s="2">
        <f>SUM('Budget Detail FY 2012-19'!Q947:Q950)</f>
        <v>8003</v>
      </c>
      <c r="G702" s="2">
        <f>SUM('Budget Detail FY 2012-19'!R947:R950)</f>
        <v>7500</v>
      </c>
      <c r="H702" s="2">
        <f>SUM('Budget Detail FY 2012-19'!S947:S950)</f>
        <v>7500</v>
      </c>
      <c r="I702" s="2">
        <f>SUM('Budget Detail FY 2012-19'!T947:T950)</f>
        <v>7500</v>
      </c>
      <c r="J702" s="2">
        <f>SUM('Budget Detail FY 2012-19'!U947:U950)</f>
        <v>7500</v>
      </c>
      <c r="K702" s="2">
        <f>SUM('Budget Detail FY 2012-19'!V947:V950)</f>
        <v>7500</v>
      </c>
    </row>
    <row r="703" spans="2:12" ht="20.100000000000001" customHeight="1">
      <c r="B703" s="690" t="s">
        <v>927</v>
      </c>
      <c r="C703" s="2">
        <f>SUM('Budget Detail FY 2012-19'!N951:N952)</f>
        <v>332500</v>
      </c>
      <c r="D703" s="2">
        <f>SUM('Budget Detail FY 2012-19'!O951:O952)</f>
        <v>26819</v>
      </c>
      <c r="E703" s="2">
        <f>SUM('Budget Detail FY 2012-19'!P951:P952)</f>
        <v>52174</v>
      </c>
      <c r="F703" s="2">
        <f>SUM('Budget Detail FY 2012-19'!Q951:Q952)</f>
        <v>52174</v>
      </c>
      <c r="G703" s="2">
        <f>SUM('Budget Detail FY 2012-19'!R951:R952)</f>
        <v>32375</v>
      </c>
      <c r="H703" s="2">
        <f>SUM('Budget Detail FY 2012-19'!S951:S952)</f>
        <v>34168</v>
      </c>
      <c r="I703" s="2">
        <f>SUM('Budget Detail FY 2012-19'!T951:T952)</f>
        <v>36068</v>
      </c>
      <c r="J703" s="2">
        <f>SUM('Budget Detail FY 2012-19'!U951:U952)</f>
        <v>38082</v>
      </c>
      <c r="K703" s="2">
        <f>SUM('Budget Detail FY 2012-19'!V951:V952)</f>
        <v>38082</v>
      </c>
    </row>
    <row r="704" spans="2:12" ht="20.100000000000001" customHeight="1" thickBot="1">
      <c r="B704" s="172" t="s">
        <v>928</v>
      </c>
      <c r="C704" s="169">
        <f t="shared" ref="C704:J704" si="108">SUM(C695:C703)</f>
        <v>1095539</v>
      </c>
      <c r="D704" s="169">
        <f>SUM(D695:D703)</f>
        <v>789584</v>
      </c>
      <c r="E704" s="169">
        <f t="shared" si="108"/>
        <v>778639</v>
      </c>
      <c r="F704" s="169">
        <f t="shared" si="108"/>
        <v>750004</v>
      </c>
      <c r="G704" s="169">
        <f t="shared" si="108"/>
        <v>732685</v>
      </c>
      <c r="H704" s="169">
        <f t="shared" si="108"/>
        <v>723668</v>
      </c>
      <c r="I704" s="169">
        <f>SUM(I695:I703)</f>
        <v>715568</v>
      </c>
      <c r="J704" s="169">
        <f t="shared" si="108"/>
        <v>707582</v>
      </c>
      <c r="K704" s="169">
        <f>SUM(K695:K703)</f>
        <v>707582</v>
      </c>
      <c r="L704" s="173"/>
    </row>
    <row r="705" spans="2:12" s="173" customFormat="1" ht="15" hidden="1">
      <c r="B705" s="174"/>
      <c r="C705" s="146">
        <f>'Budget Detail FY 2012-19'!N954</f>
        <v>1095539</v>
      </c>
      <c r="D705" s="146">
        <f>'Budget Detail FY 2012-19'!O954</f>
        <v>789584</v>
      </c>
      <c r="E705" s="146">
        <f>'Budget Detail FY 2012-19'!P954</f>
        <v>778639</v>
      </c>
      <c r="F705" s="146">
        <f>'Budget Detail FY 2012-19'!Q954</f>
        <v>750004</v>
      </c>
      <c r="G705" s="146">
        <f>'Budget Detail FY 2012-19'!R954</f>
        <v>732685</v>
      </c>
      <c r="H705" s="146">
        <f>'Budget Detail FY 2012-19'!S954</f>
        <v>723668</v>
      </c>
      <c r="I705" s="146">
        <f>'Budget Detail FY 2012-19'!T954</f>
        <v>715568</v>
      </c>
      <c r="J705" s="146">
        <f>'Budget Detail FY 2012-19'!U954</f>
        <v>707582</v>
      </c>
      <c r="K705" s="146">
        <f>'Budget Detail FY 2012-19'!V954</f>
        <v>707582</v>
      </c>
      <c r="L705" s="586" t="s">
        <v>1299</v>
      </c>
    </row>
    <row r="706" spans="2:12" s="175" customFormat="1" ht="14.25" hidden="1">
      <c r="B706" s="176"/>
      <c r="C706" s="147">
        <f>C704-C705</f>
        <v>0</v>
      </c>
      <c r="D706" s="147">
        <f t="shared" ref="D706:K706" si="109">D704-D705</f>
        <v>0</v>
      </c>
      <c r="E706" s="147">
        <f t="shared" si="109"/>
        <v>0</v>
      </c>
      <c r="F706" s="147">
        <f t="shared" si="109"/>
        <v>0</v>
      </c>
      <c r="G706" s="147">
        <f t="shared" si="109"/>
        <v>0</v>
      </c>
      <c r="H706" s="147">
        <f t="shared" si="109"/>
        <v>0</v>
      </c>
      <c r="I706" s="147">
        <f t="shared" si="109"/>
        <v>0</v>
      </c>
      <c r="J706" s="147">
        <f t="shared" si="109"/>
        <v>0</v>
      </c>
      <c r="K706" s="147">
        <f t="shared" si="109"/>
        <v>0</v>
      </c>
      <c r="L706" s="587" t="s">
        <v>1300</v>
      </c>
    </row>
    <row r="707" spans="2:12" ht="7.5" customHeight="1">
      <c r="B707" s="1"/>
      <c r="C707" s="2"/>
      <c r="D707" s="2"/>
      <c r="E707" s="2"/>
      <c r="F707" s="2"/>
      <c r="G707" s="2"/>
      <c r="H707" s="2"/>
      <c r="I707" s="2"/>
      <c r="J707" s="2"/>
      <c r="K707" s="2"/>
    </row>
    <row r="708" spans="2:12" ht="15">
      <c r="B708" s="177" t="s">
        <v>659</v>
      </c>
      <c r="C708" s="2"/>
      <c r="D708" s="2"/>
      <c r="E708" s="2"/>
      <c r="F708" s="2"/>
      <c r="G708" s="2"/>
      <c r="H708" s="2"/>
      <c r="I708" s="2"/>
      <c r="J708" s="2"/>
      <c r="K708" s="2"/>
    </row>
    <row r="709" spans="2:12" ht="20.100000000000001" customHeight="1">
      <c r="B709" s="689" t="s">
        <v>929</v>
      </c>
      <c r="C709" s="2">
        <f>SUM('Budget Detail FY 2012-19'!N956:N957)</f>
        <v>432008</v>
      </c>
      <c r="D709" s="2">
        <f>SUM('Budget Detail FY 2012-19'!O956:O957)</f>
        <v>420283</v>
      </c>
      <c r="E709" s="2">
        <f>SUM('Budget Detail FY 2012-19'!P956:P957)</f>
        <v>447540</v>
      </c>
      <c r="F709" s="2">
        <f>SUM('Budget Detail FY 2012-19'!Q956:Q957)</f>
        <v>447540</v>
      </c>
      <c r="G709" s="2">
        <f>SUM('Budget Detail FY 2012-19'!R956:R957)</f>
        <v>447540</v>
      </c>
      <c r="H709" s="2">
        <f>SUM('Budget Detail FY 2012-19'!S956:S957)</f>
        <v>447540</v>
      </c>
      <c r="I709" s="2">
        <f>SUM('Budget Detail FY 2012-19'!T956:T957)</f>
        <v>447540</v>
      </c>
      <c r="J709" s="2">
        <f>SUM('Budget Detail FY 2012-19'!U956:U957)</f>
        <v>447540</v>
      </c>
      <c r="K709" s="2">
        <f>SUM('Budget Detail FY 2012-19'!V956:V957)</f>
        <v>447540</v>
      </c>
    </row>
    <row r="710" spans="2:12" ht="20.100000000000001" customHeight="1">
      <c r="B710" s="689" t="s">
        <v>930</v>
      </c>
      <c r="C710" s="2">
        <f>SUM('Budget Detail FY 2012-19'!N958:N965)</f>
        <v>149612</v>
      </c>
      <c r="D710" s="2">
        <f>SUM('Budget Detail FY 2012-19'!O958:O965)</f>
        <v>177713</v>
      </c>
      <c r="E710" s="2">
        <f>SUM('Budget Detail FY 2012-19'!P958:P965)</f>
        <v>193524</v>
      </c>
      <c r="F710" s="2">
        <f>SUM('Budget Detail FY 2012-19'!Q958:Q965)</f>
        <v>193524</v>
      </c>
      <c r="G710" s="2">
        <f>SUM('Budget Detail FY 2012-19'!R958:R965)</f>
        <v>204448</v>
      </c>
      <c r="H710" s="2">
        <f>SUM('Budget Detail FY 2012-19'!S958:S965)</f>
        <v>216894</v>
      </c>
      <c r="I710" s="2">
        <f>SUM('Budget Detail FY 2012-19'!T958:T965)</f>
        <v>229850</v>
      </c>
      <c r="J710" s="2">
        <f>SUM('Budget Detail FY 2012-19'!U958:U965)</f>
        <v>243740</v>
      </c>
      <c r="K710" s="2">
        <f>SUM('Budget Detail FY 2012-19'!V958:V965)</f>
        <v>256545</v>
      </c>
    </row>
    <row r="711" spans="2:12" ht="20.100000000000001" customHeight="1">
      <c r="B711" s="689" t="s">
        <v>931</v>
      </c>
      <c r="C711" s="2">
        <f>SUM('Budget Detail FY 2012-19'!N966:N977)</f>
        <v>88124</v>
      </c>
      <c r="D711" s="2">
        <f>SUM('Budget Detail FY 2012-19'!O966:O977)</f>
        <v>104651</v>
      </c>
      <c r="E711" s="2">
        <f>SUM('Budget Detail FY 2012-19'!P966:P977)</f>
        <v>109049</v>
      </c>
      <c r="F711" s="2">
        <f>SUM('Budget Detail FY 2012-19'!Q966:Q977)</f>
        <v>109049</v>
      </c>
      <c r="G711" s="2">
        <f>SUM('Budget Detail FY 2012-19'!R966:R977)</f>
        <v>112465</v>
      </c>
      <c r="H711" s="2">
        <f>SUM('Budget Detail FY 2012-19'!S966:S977)</f>
        <v>113334</v>
      </c>
      <c r="I711" s="2">
        <f>SUM('Budget Detail FY 2012-19'!T966:T977)</f>
        <v>114256</v>
      </c>
      <c r="J711" s="2">
        <f>SUM('Budget Detail FY 2012-19'!U966:U977)</f>
        <v>115233</v>
      </c>
      <c r="K711" s="2">
        <f>SUM('Budget Detail FY 2012-19'!V966:V977)</f>
        <v>116268</v>
      </c>
    </row>
    <row r="712" spans="2:12" ht="20.100000000000001" customHeight="1">
      <c r="B712" s="689" t="s">
        <v>932</v>
      </c>
      <c r="C712" s="2">
        <f>SUM('Budget Detail FY 2012-19'!N978:N992)</f>
        <v>21781</v>
      </c>
      <c r="D712" s="2">
        <f>SUM('Budget Detail FY 2012-19'!O978:O992)</f>
        <v>24163</v>
      </c>
      <c r="E712" s="2">
        <f>SUM('Budget Detail FY 2012-19'!P978:P992)</f>
        <v>21250</v>
      </c>
      <c r="F712" s="2">
        <f>SUM('Budget Detail FY 2012-19'!Q978:Q992)</f>
        <v>19250</v>
      </c>
      <c r="G712" s="2">
        <f>SUM('Budget Detail FY 2012-19'!R978:R992)</f>
        <v>19000</v>
      </c>
      <c r="H712" s="2">
        <f>SUM('Budget Detail FY 2012-19'!S978:S992)</f>
        <v>19000</v>
      </c>
      <c r="I712" s="2">
        <f>SUM('Budget Detail FY 2012-19'!T978:T992)</f>
        <v>19000</v>
      </c>
      <c r="J712" s="2">
        <f>SUM('Budget Detail FY 2012-19'!U978:U992)</f>
        <v>19000</v>
      </c>
      <c r="K712" s="2">
        <f>SUM('Budget Detail FY 2012-19'!V978:V992)</f>
        <v>19000</v>
      </c>
    </row>
    <row r="713" spans="2:12" ht="20.100000000000001" customHeight="1">
      <c r="B713" s="690" t="s">
        <v>935</v>
      </c>
      <c r="C713" s="2">
        <f>SUM('Budget Detail FY 2012-19'!N993:N994)</f>
        <v>332519</v>
      </c>
      <c r="D713" s="2">
        <f>SUM('Budget Detail FY 2012-19'!O993:O994)</f>
        <v>5469</v>
      </c>
      <c r="E713" s="2">
        <f>SUM('Budget Detail FY 2012-19'!P993:P994)</f>
        <v>0</v>
      </c>
      <c r="F713" s="2">
        <f>SUM('Budget Detail FY 2012-19'!Q993:Q994)</f>
        <v>21226</v>
      </c>
      <c r="G713" s="2">
        <f>SUM('Budget Detail FY 2012-19'!R993:R994)</f>
        <v>0</v>
      </c>
      <c r="H713" s="2">
        <f>SUM('Budget Detail FY 2012-19'!S993:S994)</f>
        <v>0</v>
      </c>
      <c r="I713" s="2">
        <f>SUM('Budget Detail FY 2012-19'!T993:T994)</f>
        <v>0</v>
      </c>
      <c r="J713" s="2">
        <f>SUM('Budget Detail FY 2012-19'!U993:U994)</f>
        <v>0</v>
      </c>
      <c r="K713" s="2">
        <f>SUM('Budget Detail FY 2012-19'!V993:V994)</f>
        <v>0</v>
      </c>
    </row>
    <row r="714" spans="2:12" ht="20.100000000000001" customHeight="1" thickBot="1">
      <c r="B714" s="172" t="s">
        <v>936</v>
      </c>
      <c r="C714" s="169">
        <f t="shared" ref="C714:K714" si="110">SUM(C709:C713)</f>
        <v>1024044</v>
      </c>
      <c r="D714" s="169">
        <f t="shared" si="110"/>
        <v>732279</v>
      </c>
      <c r="E714" s="169">
        <f t="shared" si="110"/>
        <v>771363</v>
      </c>
      <c r="F714" s="169">
        <f t="shared" si="110"/>
        <v>790589</v>
      </c>
      <c r="G714" s="169">
        <f t="shared" si="110"/>
        <v>783453</v>
      </c>
      <c r="H714" s="169">
        <f t="shared" si="110"/>
        <v>796768</v>
      </c>
      <c r="I714" s="169">
        <f t="shared" si="110"/>
        <v>810646</v>
      </c>
      <c r="J714" s="169">
        <f t="shared" si="110"/>
        <v>825513</v>
      </c>
      <c r="K714" s="169">
        <f t="shared" si="110"/>
        <v>839353</v>
      </c>
      <c r="L714" s="173"/>
    </row>
    <row r="715" spans="2:12" s="173" customFormat="1" ht="15" hidden="1">
      <c r="B715" s="174"/>
      <c r="C715" s="146">
        <f>'Budget Detail FY 2012-19'!N996</f>
        <v>1024044</v>
      </c>
      <c r="D715" s="146">
        <f>'Budget Detail FY 2012-19'!O996</f>
        <v>732279</v>
      </c>
      <c r="E715" s="146">
        <f>'Budget Detail FY 2012-19'!P996</f>
        <v>771363</v>
      </c>
      <c r="F715" s="146">
        <f>'Budget Detail FY 2012-19'!Q996</f>
        <v>790589</v>
      </c>
      <c r="G715" s="146">
        <f>'Budget Detail FY 2012-19'!R996</f>
        <v>783453</v>
      </c>
      <c r="H715" s="146">
        <f>'Budget Detail FY 2012-19'!S996</f>
        <v>796768</v>
      </c>
      <c r="I715" s="146">
        <f>'Budget Detail FY 2012-19'!T996</f>
        <v>810646</v>
      </c>
      <c r="J715" s="146">
        <f>'Budget Detail FY 2012-19'!U996</f>
        <v>825513</v>
      </c>
      <c r="K715" s="146">
        <f>'Budget Detail FY 2012-19'!V996</f>
        <v>839353</v>
      </c>
      <c r="L715" s="586" t="s">
        <v>1299</v>
      </c>
    </row>
    <row r="716" spans="2:12" s="175" customFormat="1" ht="14.25" hidden="1">
      <c r="B716" s="176"/>
      <c r="C716" s="147">
        <f>C714-C715</f>
        <v>0</v>
      </c>
      <c r="D716" s="147">
        <f t="shared" ref="D716:K716" si="111">D714-D715</f>
        <v>0</v>
      </c>
      <c r="E716" s="147">
        <f t="shared" si="111"/>
        <v>0</v>
      </c>
      <c r="F716" s="147">
        <f t="shared" si="111"/>
        <v>0</v>
      </c>
      <c r="G716" s="147">
        <f t="shared" si="111"/>
        <v>0</v>
      </c>
      <c r="H716" s="147">
        <f t="shared" si="111"/>
        <v>0</v>
      </c>
      <c r="I716" s="147">
        <f t="shared" si="111"/>
        <v>0</v>
      </c>
      <c r="J716" s="147">
        <f t="shared" si="111"/>
        <v>0</v>
      </c>
      <c r="K716" s="147">
        <f t="shared" si="111"/>
        <v>0</v>
      </c>
      <c r="L716" s="587" t="s">
        <v>1300</v>
      </c>
    </row>
    <row r="717" spans="2:12" ht="7.5" customHeight="1">
      <c r="B717" s="179"/>
      <c r="C717" s="3"/>
      <c r="D717" s="2"/>
      <c r="E717" s="2"/>
      <c r="F717" s="2"/>
      <c r="G717" s="2"/>
      <c r="H717" s="2"/>
      <c r="I717" s="2"/>
      <c r="J717" s="2"/>
      <c r="K717" s="2"/>
    </row>
    <row r="718" spans="2:12" ht="20.100000000000001" customHeight="1">
      <c r="B718" s="691" t="s">
        <v>937</v>
      </c>
      <c r="C718" s="3">
        <f t="shared" ref="C718:K718" si="112">+C704-C714</f>
        <v>71495</v>
      </c>
      <c r="D718" s="3">
        <f t="shared" si="112"/>
        <v>57305</v>
      </c>
      <c r="E718" s="3">
        <f t="shared" si="112"/>
        <v>7276</v>
      </c>
      <c r="F718" s="3">
        <f t="shared" si="112"/>
        <v>-40585</v>
      </c>
      <c r="G718" s="3">
        <f t="shared" si="112"/>
        <v>-50768</v>
      </c>
      <c r="H718" s="3">
        <f t="shared" si="112"/>
        <v>-73100</v>
      </c>
      <c r="I718" s="3">
        <f t="shared" si="112"/>
        <v>-95078</v>
      </c>
      <c r="J718" s="3">
        <f t="shared" si="112"/>
        <v>-117931</v>
      </c>
      <c r="K718" s="3">
        <f t="shared" si="112"/>
        <v>-131771</v>
      </c>
      <c r="L718" s="173"/>
    </row>
    <row r="719" spans="2:12" s="173" customFormat="1" ht="15" hidden="1">
      <c r="B719" s="180"/>
      <c r="C719" s="146">
        <f>'Budget Detail FY 2012-19'!N998</f>
        <v>71495</v>
      </c>
      <c r="D719" s="146">
        <f>'Budget Detail FY 2012-19'!O998</f>
        <v>57305</v>
      </c>
      <c r="E719" s="146">
        <f>'Budget Detail FY 2012-19'!P998</f>
        <v>7276</v>
      </c>
      <c r="F719" s="146">
        <f>'Budget Detail FY 2012-19'!Q998</f>
        <v>-40585</v>
      </c>
      <c r="G719" s="146">
        <f>'Budget Detail FY 2012-19'!R998</f>
        <v>-50768</v>
      </c>
      <c r="H719" s="146">
        <f>'Budget Detail FY 2012-19'!S998</f>
        <v>-73100</v>
      </c>
      <c r="I719" s="146">
        <f>'Budget Detail FY 2012-19'!T998</f>
        <v>-95078</v>
      </c>
      <c r="J719" s="146">
        <f>'Budget Detail FY 2012-19'!U998</f>
        <v>-117931</v>
      </c>
      <c r="K719" s="146">
        <f>'Budget Detail FY 2012-19'!V998</f>
        <v>-131771</v>
      </c>
      <c r="L719" s="586" t="s">
        <v>1299</v>
      </c>
    </row>
    <row r="720" spans="2:12" s="175" customFormat="1" ht="15" hidden="1">
      <c r="B720" s="181"/>
      <c r="C720" s="190">
        <f>C718-C719</f>
        <v>0</v>
      </c>
      <c r="D720" s="190">
        <f t="shared" ref="D720:K720" si="113">D718-D719</f>
        <v>0</v>
      </c>
      <c r="E720" s="190">
        <f t="shared" si="113"/>
        <v>0</v>
      </c>
      <c r="F720" s="190">
        <f t="shared" si="113"/>
        <v>0</v>
      </c>
      <c r="G720" s="190">
        <f t="shared" si="113"/>
        <v>0</v>
      </c>
      <c r="H720" s="190">
        <f t="shared" si="113"/>
        <v>0</v>
      </c>
      <c r="I720" s="190">
        <f t="shared" si="113"/>
        <v>0</v>
      </c>
      <c r="J720" s="190">
        <f t="shared" si="113"/>
        <v>0</v>
      </c>
      <c r="K720" s="190">
        <f t="shared" si="113"/>
        <v>0</v>
      </c>
      <c r="L720" s="587" t="s">
        <v>1300</v>
      </c>
    </row>
    <row r="721" spans="2:12" ht="7.5" customHeight="1">
      <c r="B721" s="183"/>
      <c r="C721" s="3"/>
      <c r="D721" s="2"/>
      <c r="E721" s="2"/>
      <c r="F721" s="2"/>
      <c r="G721" s="2"/>
      <c r="H721" s="2"/>
      <c r="I721" s="2"/>
      <c r="J721" s="2"/>
      <c r="K721" s="2"/>
    </row>
    <row r="722" spans="2:12" ht="20.100000000000001" customHeight="1" thickBot="1">
      <c r="B722" s="171" t="s">
        <v>938</v>
      </c>
      <c r="C722" s="91">
        <v>388831</v>
      </c>
      <c r="D722" s="91">
        <v>446136</v>
      </c>
      <c r="E722" s="91">
        <v>407430</v>
      </c>
      <c r="F722" s="91">
        <f>D722+F718</f>
        <v>405551</v>
      </c>
      <c r="G722" s="91">
        <f>F722+G718</f>
        <v>354783</v>
      </c>
      <c r="H722" s="91">
        <f>G722+H718</f>
        <v>281683</v>
      </c>
      <c r="I722" s="91">
        <f>H722+I718</f>
        <v>186605</v>
      </c>
      <c r="J722" s="91">
        <f>I722+J718</f>
        <v>68674</v>
      </c>
      <c r="K722" s="91">
        <f>J722+K718</f>
        <v>-63097</v>
      </c>
      <c r="L722" s="173"/>
    </row>
    <row r="723" spans="2:12" s="173" customFormat="1" ht="15.75" hidden="1" thickTop="1">
      <c r="B723" s="174"/>
      <c r="C723" s="146">
        <f>'Budget Detail FY 2012-19'!N1000</f>
        <v>388831</v>
      </c>
      <c r="D723" s="146">
        <f>'Budget Detail FY 2012-19'!O1000</f>
        <v>446136</v>
      </c>
      <c r="E723" s="146">
        <f>'Budget Detail FY 2012-19'!P1000</f>
        <v>407430</v>
      </c>
      <c r="F723" s="146">
        <f>'Budget Detail FY 2012-19'!Q1000</f>
        <v>405551</v>
      </c>
      <c r="G723" s="146">
        <f>'Budget Detail FY 2012-19'!R1000</f>
        <v>354783</v>
      </c>
      <c r="H723" s="146">
        <f>'Budget Detail FY 2012-19'!S1000</f>
        <v>281683</v>
      </c>
      <c r="I723" s="146">
        <f>'Budget Detail FY 2012-19'!T1000</f>
        <v>186605</v>
      </c>
      <c r="J723" s="146">
        <f>'Budget Detail FY 2012-19'!U1000</f>
        <v>68674</v>
      </c>
      <c r="K723" s="146">
        <f>'Budget Detail FY 2012-19'!V1000</f>
        <v>-63097</v>
      </c>
      <c r="L723" s="586" t="s">
        <v>1299</v>
      </c>
    </row>
    <row r="724" spans="2:12" s="175" customFormat="1" ht="14.25" hidden="1">
      <c r="B724" s="176"/>
      <c r="C724" s="147">
        <f>C722-C723</f>
        <v>0</v>
      </c>
      <c r="D724" s="147">
        <f t="shared" ref="D724:K724" si="114">D722-D723</f>
        <v>0</v>
      </c>
      <c r="E724" s="147">
        <f t="shared" si="114"/>
        <v>0</v>
      </c>
      <c r="F724" s="147">
        <f t="shared" si="114"/>
        <v>0</v>
      </c>
      <c r="G724" s="147">
        <f t="shared" si="114"/>
        <v>0</v>
      </c>
      <c r="H724" s="147">
        <f t="shared" si="114"/>
        <v>0</v>
      </c>
      <c r="I724" s="147">
        <f t="shared" si="114"/>
        <v>0</v>
      </c>
      <c r="J724" s="147">
        <f t="shared" si="114"/>
        <v>0</v>
      </c>
      <c r="K724" s="147">
        <f t="shared" si="114"/>
        <v>0</v>
      </c>
      <c r="L724" s="587" t="s">
        <v>1300</v>
      </c>
    </row>
    <row r="725" spans="2:12" ht="15.75" thickTop="1">
      <c r="B725" s="184"/>
      <c r="C725" s="185">
        <f t="shared" ref="C725:K725" si="115">+C722/C714</f>
        <v>0.37970145814047052</v>
      </c>
      <c r="D725" s="185">
        <f t="shared" si="115"/>
        <v>0.60924319828917661</v>
      </c>
      <c r="E725" s="185">
        <f t="shared" si="115"/>
        <v>0.52819489656620811</v>
      </c>
      <c r="F725" s="185">
        <f t="shared" si="115"/>
        <v>0.51297323893957547</v>
      </c>
      <c r="G725" s="185">
        <f t="shared" si="115"/>
        <v>0.45284528874099661</v>
      </c>
      <c r="H725" s="185">
        <f t="shared" si="115"/>
        <v>0.35353201935820716</v>
      </c>
      <c r="I725" s="185">
        <f t="shared" si="115"/>
        <v>0.23019295722177127</v>
      </c>
      <c r="J725" s="185">
        <f t="shared" si="115"/>
        <v>8.3189483387905466E-2</v>
      </c>
      <c r="K725" s="185">
        <f t="shared" si="115"/>
        <v>-7.5173377589643445E-2</v>
      </c>
    </row>
    <row r="726" spans="2:12" ht="15">
      <c r="B726" s="184"/>
      <c r="C726" s="185"/>
      <c r="D726" s="185"/>
      <c r="E726" s="185"/>
      <c r="F726" s="185"/>
      <c r="G726" s="185"/>
      <c r="H726" s="185"/>
      <c r="I726" s="185"/>
      <c r="J726" s="185"/>
      <c r="K726" s="185"/>
    </row>
    <row r="727" spans="2:12" ht="7.5" customHeight="1">
      <c r="B727" s="184"/>
      <c r="C727" s="198"/>
      <c r="D727" s="198"/>
      <c r="E727" s="198"/>
      <c r="F727" s="198"/>
      <c r="G727" s="198"/>
      <c r="H727" s="198"/>
      <c r="I727" s="198"/>
      <c r="J727" s="198"/>
      <c r="K727" s="198"/>
    </row>
    <row r="728" spans="2:12" ht="15">
      <c r="B728" s="184"/>
      <c r="C728" s="2"/>
      <c r="D728" s="2"/>
      <c r="E728" s="2"/>
      <c r="F728" s="2"/>
      <c r="G728" s="2"/>
      <c r="H728" s="2"/>
      <c r="I728" s="2"/>
      <c r="J728" s="2"/>
      <c r="K728" s="2"/>
    </row>
    <row r="729" spans="2:12" ht="15">
      <c r="B729" s="1"/>
      <c r="C729" s="2"/>
      <c r="D729" s="2"/>
      <c r="E729" s="2"/>
      <c r="F729" s="2"/>
      <c r="G729" s="2"/>
      <c r="H729" s="2"/>
      <c r="I729" s="2"/>
      <c r="J729" s="2"/>
      <c r="K729" s="2"/>
    </row>
    <row r="730" spans="2:12" ht="15">
      <c r="B730" s="1"/>
      <c r="C730" s="2"/>
      <c r="D730" s="2"/>
      <c r="E730" s="2"/>
      <c r="F730" s="2"/>
      <c r="G730" s="2"/>
      <c r="H730" s="2"/>
      <c r="I730" s="2"/>
      <c r="J730" s="2"/>
      <c r="K730" s="2"/>
    </row>
    <row r="731" spans="2:12" ht="15">
      <c r="B731" s="1"/>
      <c r="C731" s="2"/>
      <c r="D731" s="2"/>
      <c r="E731" s="2"/>
      <c r="F731" s="2"/>
      <c r="G731" s="2"/>
      <c r="H731" s="2"/>
      <c r="I731" s="2"/>
      <c r="J731" s="2"/>
      <c r="K731" s="2"/>
    </row>
    <row r="732" spans="2:12" ht="15">
      <c r="B732" s="1"/>
      <c r="C732" s="2"/>
      <c r="D732" s="2"/>
      <c r="E732" s="2"/>
      <c r="F732" s="2"/>
      <c r="G732" s="2"/>
      <c r="H732" s="2"/>
      <c r="I732" s="2"/>
      <c r="J732" s="2"/>
      <c r="K732" s="2"/>
    </row>
    <row r="733" spans="2:12" ht="15">
      <c r="B733" s="1"/>
      <c r="C733" s="2"/>
      <c r="D733" s="2"/>
      <c r="E733" s="2"/>
      <c r="F733" s="2"/>
      <c r="G733" s="2"/>
      <c r="H733" s="2"/>
      <c r="I733" s="2"/>
      <c r="J733" s="2"/>
      <c r="K733" s="2"/>
    </row>
    <row r="734" spans="2:12" ht="15">
      <c r="B734" s="1"/>
      <c r="C734" s="2"/>
      <c r="D734" s="2"/>
      <c r="E734" s="2"/>
      <c r="F734" s="2"/>
      <c r="G734" s="2"/>
      <c r="H734" s="2"/>
      <c r="I734" s="2"/>
      <c r="J734" s="2"/>
      <c r="K734" s="2"/>
    </row>
    <row r="735" spans="2:12" ht="15">
      <c r="B735" s="1"/>
      <c r="C735" s="2"/>
      <c r="D735" s="2"/>
      <c r="E735" s="2"/>
      <c r="F735" s="2"/>
      <c r="G735" s="2"/>
      <c r="H735" s="2"/>
      <c r="I735" s="2"/>
      <c r="J735" s="2"/>
      <c r="K735" s="2"/>
    </row>
    <row r="736" spans="2:12" ht="15">
      <c r="B736" s="1"/>
      <c r="C736" s="2"/>
      <c r="D736" s="2"/>
      <c r="E736" s="2"/>
      <c r="F736" s="2"/>
      <c r="G736" s="2"/>
      <c r="H736" s="2"/>
      <c r="I736" s="2"/>
      <c r="J736" s="2"/>
      <c r="K736" s="2"/>
    </row>
    <row r="737" spans="2:11" ht="15">
      <c r="B737" s="1"/>
      <c r="C737" s="2"/>
      <c r="D737" s="2"/>
      <c r="E737" s="2"/>
      <c r="F737" s="2"/>
      <c r="G737" s="2"/>
      <c r="H737" s="2"/>
      <c r="I737" s="2"/>
      <c r="J737" s="2"/>
      <c r="K737" s="2"/>
    </row>
    <row r="738" spans="2:11" ht="15">
      <c r="B738" s="1"/>
      <c r="C738" s="2"/>
      <c r="D738" s="2"/>
      <c r="E738" s="2"/>
      <c r="F738" s="2"/>
      <c r="G738" s="2"/>
      <c r="H738" s="2"/>
      <c r="I738" s="2"/>
      <c r="J738" s="2"/>
      <c r="K738" s="2"/>
    </row>
    <row r="739" spans="2:11" ht="15">
      <c r="B739" s="1"/>
      <c r="C739" s="2"/>
      <c r="D739" s="2"/>
      <c r="E739" s="2"/>
      <c r="F739" s="2"/>
      <c r="G739" s="2"/>
      <c r="H739" s="2"/>
      <c r="I739" s="2"/>
      <c r="J739" s="2"/>
      <c r="K739" s="2"/>
    </row>
    <row r="740" spans="2:11" ht="15">
      <c r="B740" s="1"/>
      <c r="C740" s="2"/>
      <c r="D740" s="2"/>
      <c r="E740" s="2"/>
      <c r="F740" s="2"/>
      <c r="G740" s="2"/>
      <c r="H740" s="2"/>
      <c r="I740" s="2"/>
      <c r="J740" s="2"/>
      <c r="K740" s="2"/>
    </row>
    <row r="741" spans="2:11" ht="15">
      <c r="B741" s="1"/>
      <c r="C741" s="2"/>
      <c r="D741" s="2"/>
      <c r="E741" s="2"/>
      <c r="F741" s="2"/>
      <c r="G741" s="2"/>
      <c r="H741" s="2"/>
      <c r="I741" s="2"/>
      <c r="J741" s="2"/>
      <c r="K741" s="2"/>
    </row>
    <row r="742" spans="2:11" ht="18.75" customHeight="1">
      <c r="B742" s="722" t="s">
        <v>962</v>
      </c>
      <c r="C742" s="722"/>
      <c r="D742" s="722"/>
      <c r="E742" s="722"/>
      <c r="F742" s="722"/>
      <c r="G742" s="722"/>
      <c r="H742" s="722"/>
      <c r="I742" s="722"/>
      <c r="J742" s="722"/>
      <c r="K742" s="722"/>
    </row>
    <row r="743" spans="2:11" ht="15">
      <c r="B743" s="72"/>
      <c r="C743" s="3"/>
      <c r="D743" s="2"/>
      <c r="E743" s="2"/>
      <c r="F743" s="2"/>
      <c r="G743" s="2"/>
      <c r="H743" s="2"/>
      <c r="I743" s="2"/>
      <c r="J743" s="2"/>
      <c r="K743" s="2"/>
    </row>
    <row r="744" spans="2:11" ht="12.75" customHeight="1">
      <c r="B744" s="715" t="s">
        <v>1485</v>
      </c>
      <c r="C744" s="715"/>
      <c r="D744" s="715"/>
      <c r="E744" s="715"/>
      <c r="F744" s="715"/>
      <c r="G744" s="715"/>
      <c r="H744" s="715"/>
      <c r="I744" s="715"/>
      <c r="J744" s="715"/>
      <c r="K744" s="715"/>
    </row>
    <row r="745" spans="2:11" ht="12.75" customHeight="1">
      <c r="B745" s="715"/>
      <c r="C745" s="715"/>
      <c r="D745" s="715"/>
      <c r="E745" s="715"/>
      <c r="F745" s="715"/>
      <c r="G745" s="715"/>
      <c r="H745" s="715"/>
      <c r="I745" s="715"/>
      <c r="J745" s="715"/>
      <c r="K745" s="715"/>
    </row>
    <row r="746" spans="2:11" ht="15">
      <c r="B746" s="686"/>
      <c r="C746" s="25"/>
      <c r="D746" s="25"/>
      <c r="E746" s="25"/>
      <c r="F746" s="25"/>
      <c r="G746" s="25"/>
      <c r="H746" s="2"/>
      <c r="I746" s="2"/>
      <c r="J746" s="2"/>
      <c r="K746" s="2"/>
    </row>
    <row r="747" spans="2:11" ht="15">
      <c r="B747" s="5"/>
      <c r="C747" s="72"/>
      <c r="D747" s="73"/>
      <c r="E747" s="72" t="s">
        <v>283</v>
      </c>
      <c r="F747" s="1"/>
      <c r="G747" s="1"/>
      <c r="H747" s="1"/>
      <c r="I747" s="1"/>
      <c r="J747" s="1"/>
      <c r="K747" s="1"/>
    </row>
    <row r="748" spans="2:11" ht="15">
      <c r="B748" s="73"/>
      <c r="C748" s="72" t="s">
        <v>229</v>
      </c>
      <c r="D748" s="96" t="s">
        <v>282</v>
      </c>
      <c r="E748" s="73" t="s">
        <v>917</v>
      </c>
      <c r="F748" s="73" t="s">
        <v>283</v>
      </c>
      <c r="G748" s="73" t="s">
        <v>298</v>
      </c>
      <c r="H748" s="73" t="s">
        <v>299</v>
      </c>
      <c r="I748" s="73" t="s">
        <v>300</v>
      </c>
      <c r="J748" s="73" t="s">
        <v>1087</v>
      </c>
      <c r="K748" s="73" t="s">
        <v>1224</v>
      </c>
    </row>
    <row r="749" spans="2:11" ht="15.75" thickBot="1">
      <c r="B749" s="188"/>
      <c r="C749" s="75" t="s">
        <v>1</v>
      </c>
      <c r="D749" s="75" t="s">
        <v>1</v>
      </c>
      <c r="E749" s="75" t="s">
        <v>871</v>
      </c>
      <c r="F749" s="75" t="s">
        <v>20</v>
      </c>
      <c r="G749" s="75" t="s">
        <v>917</v>
      </c>
      <c r="H749" s="75" t="s">
        <v>20</v>
      </c>
      <c r="I749" s="75" t="s">
        <v>20</v>
      </c>
      <c r="J749" s="75" t="s">
        <v>20</v>
      </c>
      <c r="K749" s="75" t="s">
        <v>20</v>
      </c>
    </row>
    <row r="750" spans="2:11" ht="15">
      <c r="B750" s="71"/>
      <c r="C750" s="189"/>
      <c r="D750" s="2"/>
      <c r="E750" s="2"/>
      <c r="F750" s="2"/>
      <c r="G750" s="2"/>
      <c r="H750" s="2"/>
      <c r="I750" s="2"/>
      <c r="J750" s="2"/>
      <c r="K750" s="2"/>
    </row>
    <row r="751" spans="2:11" ht="15">
      <c r="B751" s="177" t="s">
        <v>918</v>
      </c>
      <c r="C751" s="2"/>
      <c r="D751" s="2"/>
      <c r="E751" s="2"/>
      <c r="F751" s="2"/>
      <c r="G751" s="2"/>
      <c r="H751" s="2"/>
      <c r="I751" s="2"/>
      <c r="J751" s="2"/>
      <c r="K751" s="2"/>
    </row>
    <row r="752" spans="2:11" ht="20.100000000000001" customHeight="1">
      <c r="B752" s="687" t="s">
        <v>919</v>
      </c>
      <c r="C752" s="2">
        <f>'Budget Detail FY 2012-19'!N1005</f>
        <v>718839</v>
      </c>
      <c r="D752" s="2">
        <f>'Budget Detail FY 2012-19'!O1005</f>
        <v>791640</v>
      </c>
      <c r="E752" s="2">
        <f>'Budget Detail FY 2012-19'!P1005</f>
        <v>771763</v>
      </c>
      <c r="F752" s="2">
        <f>'Budget Detail FY 2012-19'!Q1005</f>
        <v>746464</v>
      </c>
      <c r="G752" s="2">
        <f>'Budget Detail FY 2012-19'!R1005</f>
        <v>731321</v>
      </c>
      <c r="H752" s="2">
        <f>'Budget Detail FY 2012-19'!S1005</f>
        <v>749846</v>
      </c>
      <c r="I752" s="2">
        <f>'Budget Detail FY 2012-19'!T1005</f>
        <v>752771</v>
      </c>
      <c r="J752" s="2">
        <f>'Budget Detail FY 2012-19'!U1005</f>
        <v>760396</v>
      </c>
      <c r="K752" s="2">
        <f>'Budget Detail FY 2012-19'!V1005</f>
        <v>792101</v>
      </c>
    </row>
    <row r="753" spans="2:12" ht="20.100000000000001" customHeight="1">
      <c r="B753" s="688" t="s">
        <v>924</v>
      </c>
      <c r="C753" s="2">
        <f>'Budget Detail FY 2012-19'!N1006</f>
        <v>140</v>
      </c>
      <c r="D753" s="2">
        <f>'Budget Detail FY 2012-19'!O1006</f>
        <v>200</v>
      </c>
      <c r="E753" s="2">
        <f>'Budget Detail FY 2012-19'!P1006</f>
        <v>200</v>
      </c>
      <c r="F753" s="2">
        <f>'Budget Detail FY 2012-19'!Q1006</f>
        <v>30</v>
      </c>
      <c r="G753" s="2">
        <f>'Budget Detail FY 2012-19'!R1006</f>
        <v>30</v>
      </c>
      <c r="H753" s="2">
        <f>'Budget Detail FY 2012-19'!S1006</f>
        <v>30</v>
      </c>
      <c r="I753" s="2">
        <f>'Budget Detail FY 2012-19'!T1006</f>
        <v>30</v>
      </c>
      <c r="J753" s="2">
        <f>'Budget Detail FY 2012-19'!U1006</f>
        <v>30</v>
      </c>
      <c r="K753" s="2">
        <f>'Budget Detail FY 2012-19'!V1006</f>
        <v>30</v>
      </c>
    </row>
    <row r="754" spans="2:12" ht="20.100000000000001" customHeight="1">
      <c r="B754" s="690" t="s">
        <v>927</v>
      </c>
      <c r="C754" s="2">
        <f>'Budget Detail FY 2012-19'!N1007</f>
        <v>0</v>
      </c>
      <c r="D754" s="2">
        <f>'Budget Detail FY 2012-19'!O1007</f>
        <v>5469</v>
      </c>
      <c r="E754" s="2">
        <f>'Budget Detail FY 2012-19'!P1007</f>
        <v>0</v>
      </c>
      <c r="F754" s="2">
        <f>'Budget Detail FY 2012-19'!Q1007</f>
        <v>21226</v>
      </c>
      <c r="G754" s="2">
        <f>'Budget Detail FY 2012-19'!R1007</f>
        <v>0</v>
      </c>
      <c r="H754" s="2">
        <f>'Budget Detail FY 2012-19'!S1007</f>
        <v>0</v>
      </c>
      <c r="I754" s="2">
        <f>'Budget Detail FY 2012-19'!T1007</f>
        <v>0</v>
      </c>
      <c r="J754" s="2">
        <f>'Budget Detail FY 2012-19'!U1007</f>
        <v>0</v>
      </c>
      <c r="K754" s="2">
        <f>'Budget Detail FY 2012-19'!V1007</f>
        <v>0</v>
      </c>
    </row>
    <row r="755" spans="2:12" ht="20.100000000000001" customHeight="1" thickBot="1">
      <c r="B755" s="172" t="s">
        <v>928</v>
      </c>
      <c r="C755" s="169">
        <f t="shared" ref="C755:J755" si="116">SUM(C752:C754)</f>
        <v>718979</v>
      </c>
      <c r="D755" s="169">
        <f t="shared" si="116"/>
        <v>797309</v>
      </c>
      <c r="E755" s="169">
        <f>SUM(E752:E754)</f>
        <v>771963</v>
      </c>
      <c r="F755" s="169">
        <f t="shared" si="116"/>
        <v>767720</v>
      </c>
      <c r="G755" s="169">
        <f t="shared" si="116"/>
        <v>731351</v>
      </c>
      <c r="H755" s="169">
        <f t="shared" si="116"/>
        <v>749876</v>
      </c>
      <c r="I755" s="169">
        <f t="shared" si="116"/>
        <v>752801</v>
      </c>
      <c r="J755" s="169">
        <f t="shared" si="116"/>
        <v>760426</v>
      </c>
      <c r="K755" s="169">
        <f>SUM(K752:K754)</f>
        <v>792131</v>
      </c>
      <c r="L755" s="173"/>
    </row>
    <row r="756" spans="2:12" s="173" customFormat="1" ht="15" hidden="1">
      <c r="B756" s="174"/>
      <c r="C756" s="146">
        <f>'Budget Detail FY 2012-19'!N1009</f>
        <v>718979</v>
      </c>
      <c r="D756" s="146">
        <f>'Budget Detail FY 2012-19'!O1009</f>
        <v>797309</v>
      </c>
      <c r="E756" s="146">
        <f>'Budget Detail FY 2012-19'!P1009</f>
        <v>771963</v>
      </c>
      <c r="F756" s="146">
        <f>'Budget Detail FY 2012-19'!Q1009</f>
        <v>767720</v>
      </c>
      <c r="G756" s="146">
        <f>'Budget Detail FY 2012-19'!R1009</f>
        <v>731351</v>
      </c>
      <c r="H756" s="146">
        <f>'Budget Detail FY 2012-19'!S1009</f>
        <v>749876</v>
      </c>
      <c r="I756" s="146">
        <f>'Budget Detail FY 2012-19'!T1009</f>
        <v>752801</v>
      </c>
      <c r="J756" s="146">
        <f>'Budget Detail FY 2012-19'!U1009</f>
        <v>760426</v>
      </c>
      <c r="K756" s="146">
        <f>'Budget Detail FY 2012-19'!V1009</f>
        <v>792131</v>
      </c>
      <c r="L756" s="586" t="s">
        <v>1299</v>
      </c>
    </row>
    <row r="757" spans="2:12" s="175" customFormat="1" ht="14.25" hidden="1">
      <c r="B757" s="176"/>
      <c r="C757" s="147">
        <f>C755-C756</f>
        <v>0</v>
      </c>
      <c r="D757" s="147">
        <f t="shared" ref="D757:K757" si="117">D755-D756</f>
        <v>0</v>
      </c>
      <c r="E757" s="147">
        <f t="shared" si="117"/>
        <v>0</v>
      </c>
      <c r="F757" s="147">
        <f t="shared" si="117"/>
        <v>0</v>
      </c>
      <c r="G757" s="147">
        <f t="shared" si="117"/>
        <v>0</v>
      </c>
      <c r="H757" s="147">
        <f t="shared" si="117"/>
        <v>0</v>
      </c>
      <c r="I757" s="147">
        <f t="shared" si="117"/>
        <v>0</v>
      </c>
      <c r="J757" s="147">
        <f t="shared" si="117"/>
        <v>0</v>
      </c>
      <c r="K757" s="147">
        <f t="shared" si="117"/>
        <v>0</v>
      </c>
      <c r="L757" s="587" t="s">
        <v>1300</v>
      </c>
    </row>
    <row r="758" spans="2:12" ht="15">
      <c r="B758" s="1"/>
      <c r="C758" s="2"/>
      <c r="D758" s="2"/>
      <c r="E758" s="2"/>
      <c r="F758" s="2"/>
      <c r="G758" s="2"/>
      <c r="H758" s="2"/>
      <c r="I758" s="2"/>
      <c r="J758" s="2"/>
      <c r="K758" s="2"/>
    </row>
    <row r="759" spans="2:12" ht="15">
      <c r="B759" s="177" t="s">
        <v>659</v>
      </c>
      <c r="C759" s="2"/>
      <c r="D759" s="2"/>
      <c r="E759" s="2"/>
      <c r="F759" s="2"/>
      <c r="G759" s="2"/>
      <c r="H759" s="2"/>
      <c r="I759" s="2"/>
      <c r="J759" s="2"/>
      <c r="K759" s="2"/>
    </row>
    <row r="760" spans="2:12" ht="20.100000000000001" customHeight="1">
      <c r="B760" s="690" t="s">
        <v>852</v>
      </c>
      <c r="C760" s="2">
        <f>SUM('Budget Detail FY 2012-19'!N1012:N1019)</f>
        <v>720800</v>
      </c>
      <c r="D760" s="2">
        <f>SUM('Budget Detail FY 2012-19'!O1012:O1019)</f>
        <v>795488</v>
      </c>
      <c r="E760" s="2">
        <f>SUM('Budget Detail FY 2012-19'!P1012:P1019)</f>
        <v>769638</v>
      </c>
      <c r="F760" s="2">
        <f>SUM('Budget Detail FY 2012-19'!Q1012:Q1019)</f>
        <v>767720</v>
      </c>
      <c r="G760" s="2">
        <f>SUM('Budget Detail FY 2012-19'!R1012:R1019)</f>
        <v>731321</v>
      </c>
      <c r="H760" s="2">
        <f>SUM('Budget Detail FY 2012-19'!S1012:S1019)</f>
        <v>749846</v>
      </c>
      <c r="I760" s="2">
        <f>SUM('Budget Detail FY 2012-19'!T1012:T1019)</f>
        <v>752771</v>
      </c>
      <c r="J760" s="2">
        <f>SUM('Budget Detail FY 2012-19'!U1012:U1019)</f>
        <v>760396</v>
      </c>
      <c r="K760" s="2">
        <f>SUM('Budget Detail FY 2012-19'!V1012:V1019)</f>
        <v>792101</v>
      </c>
    </row>
    <row r="761" spans="2:12" ht="20.100000000000001" customHeight="1" thickBot="1">
      <c r="B761" s="172" t="s">
        <v>936</v>
      </c>
      <c r="C761" s="169">
        <f t="shared" ref="C761:J761" si="118">SUM(C760:C760)</f>
        <v>720800</v>
      </c>
      <c r="D761" s="169">
        <f t="shared" si="118"/>
        <v>795488</v>
      </c>
      <c r="E761" s="169">
        <f>SUM(E760:E760)</f>
        <v>769638</v>
      </c>
      <c r="F761" s="169">
        <f t="shared" si="118"/>
        <v>767720</v>
      </c>
      <c r="G761" s="169">
        <f t="shared" si="118"/>
        <v>731321</v>
      </c>
      <c r="H761" s="169">
        <f t="shared" si="118"/>
        <v>749846</v>
      </c>
      <c r="I761" s="169">
        <f t="shared" si="118"/>
        <v>752771</v>
      </c>
      <c r="J761" s="169">
        <f t="shared" si="118"/>
        <v>760396</v>
      </c>
      <c r="K761" s="169">
        <f>SUM(K760:K760)</f>
        <v>792101</v>
      </c>
      <c r="L761" s="173"/>
    </row>
    <row r="762" spans="2:12" s="173" customFormat="1" ht="15" hidden="1">
      <c r="B762" s="174"/>
      <c r="C762" s="146">
        <f>'Budget Detail FY 2012-19'!N1021</f>
        <v>720800</v>
      </c>
      <c r="D762" s="146">
        <f>'Budget Detail FY 2012-19'!O1021</f>
        <v>795488</v>
      </c>
      <c r="E762" s="146">
        <f>'Budget Detail FY 2012-19'!P1021</f>
        <v>769638</v>
      </c>
      <c r="F762" s="146">
        <f>'Budget Detail FY 2012-19'!Q1021</f>
        <v>767720</v>
      </c>
      <c r="G762" s="146">
        <f>'Budget Detail FY 2012-19'!R1021</f>
        <v>731321</v>
      </c>
      <c r="H762" s="146">
        <f>'Budget Detail FY 2012-19'!S1021</f>
        <v>749846</v>
      </c>
      <c r="I762" s="146">
        <f>'Budget Detail FY 2012-19'!T1021</f>
        <v>752771</v>
      </c>
      <c r="J762" s="146">
        <f>'Budget Detail FY 2012-19'!U1021</f>
        <v>760396</v>
      </c>
      <c r="K762" s="146">
        <f>'Budget Detail FY 2012-19'!V1021</f>
        <v>792101</v>
      </c>
      <c r="L762" s="586" t="s">
        <v>1299</v>
      </c>
    </row>
    <row r="763" spans="2:12" s="175" customFormat="1" ht="14.25" hidden="1">
      <c r="B763" s="176"/>
      <c r="C763" s="147">
        <f>C761-C762</f>
        <v>0</v>
      </c>
      <c r="D763" s="147">
        <f t="shared" ref="D763:K763" si="119">D761-D762</f>
        <v>0</v>
      </c>
      <c r="E763" s="147">
        <f t="shared" si="119"/>
        <v>0</v>
      </c>
      <c r="F763" s="147">
        <f t="shared" si="119"/>
        <v>0</v>
      </c>
      <c r="G763" s="147">
        <f t="shared" si="119"/>
        <v>0</v>
      </c>
      <c r="H763" s="147">
        <f t="shared" si="119"/>
        <v>0</v>
      </c>
      <c r="I763" s="147">
        <f t="shared" si="119"/>
        <v>0</v>
      </c>
      <c r="J763" s="147">
        <f t="shared" si="119"/>
        <v>0</v>
      </c>
      <c r="K763" s="147">
        <f t="shared" si="119"/>
        <v>0</v>
      </c>
      <c r="L763" s="587" t="s">
        <v>1300</v>
      </c>
    </row>
    <row r="764" spans="2:12" ht="15">
      <c r="B764" s="179"/>
      <c r="C764" s="3"/>
      <c r="D764" s="2"/>
      <c r="E764" s="2"/>
      <c r="F764" s="2"/>
      <c r="G764" s="2"/>
      <c r="H764" s="2"/>
      <c r="I764" s="2"/>
      <c r="J764" s="2"/>
      <c r="K764" s="2"/>
    </row>
    <row r="765" spans="2:12" ht="20.100000000000001" customHeight="1">
      <c r="B765" s="691" t="s">
        <v>937</v>
      </c>
      <c r="C765" s="3">
        <f t="shared" ref="C765:J765" si="120">+C755-C761</f>
        <v>-1821</v>
      </c>
      <c r="D765" s="3">
        <f t="shared" si="120"/>
        <v>1821</v>
      </c>
      <c r="E765" s="3">
        <f>+E755-E761</f>
        <v>2325</v>
      </c>
      <c r="F765" s="3">
        <f t="shared" si="120"/>
        <v>0</v>
      </c>
      <c r="G765" s="3">
        <f t="shared" si="120"/>
        <v>30</v>
      </c>
      <c r="H765" s="3">
        <f t="shared" si="120"/>
        <v>30</v>
      </c>
      <c r="I765" s="3">
        <f t="shared" si="120"/>
        <v>30</v>
      </c>
      <c r="J765" s="3">
        <f t="shared" si="120"/>
        <v>30</v>
      </c>
      <c r="K765" s="3">
        <f>+K755-K761</f>
        <v>30</v>
      </c>
      <c r="L765" s="173"/>
    </row>
    <row r="766" spans="2:12" s="173" customFormat="1" ht="15" hidden="1">
      <c r="B766" s="180"/>
      <c r="C766" s="146">
        <f>'Budget Detail FY 2012-19'!N1023</f>
        <v>-1821</v>
      </c>
      <c r="D766" s="146">
        <f>'Budget Detail FY 2012-19'!O1023</f>
        <v>1821</v>
      </c>
      <c r="E766" s="146">
        <f>'Budget Detail FY 2012-19'!P1023</f>
        <v>2325</v>
      </c>
      <c r="F766" s="146">
        <f>'Budget Detail FY 2012-19'!Q1023</f>
        <v>0</v>
      </c>
      <c r="G766" s="146">
        <f>'Budget Detail FY 2012-19'!R1023</f>
        <v>30</v>
      </c>
      <c r="H766" s="146">
        <f>'Budget Detail FY 2012-19'!S1023</f>
        <v>30</v>
      </c>
      <c r="I766" s="146">
        <f>'Budget Detail FY 2012-19'!T1023</f>
        <v>30</v>
      </c>
      <c r="J766" s="146">
        <f>'Budget Detail FY 2012-19'!U1023</f>
        <v>30</v>
      </c>
      <c r="K766" s="146">
        <f>'Budget Detail FY 2012-19'!V1023</f>
        <v>30</v>
      </c>
      <c r="L766" s="586" t="s">
        <v>1299</v>
      </c>
    </row>
    <row r="767" spans="2:12" s="175" customFormat="1" ht="15" hidden="1">
      <c r="B767" s="181"/>
      <c r="C767" s="190">
        <f>C765-C766</f>
        <v>0</v>
      </c>
      <c r="D767" s="190">
        <f t="shared" ref="D767:K767" si="121">D765-D766</f>
        <v>0</v>
      </c>
      <c r="E767" s="190">
        <f t="shared" si="121"/>
        <v>0</v>
      </c>
      <c r="F767" s="190">
        <f t="shared" si="121"/>
        <v>0</v>
      </c>
      <c r="G767" s="190">
        <f t="shared" si="121"/>
        <v>0</v>
      </c>
      <c r="H767" s="190">
        <f t="shared" si="121"/>
        <v>0</v>
      </c>
      <c r="I767" s="190">
        <f t="shared" si="121"/>
        <v>0</v>
      </c>
      <c r="J767" s="190">
        <f t="shared" si="121"/>
        <v>0</v>
      </c>
      <c r="K767" s="190">
        <f t="shared" si="121"/>
        <v>0</v>
      </c>
      <c r="L767" s="587" t="s">
        <v>1300</v>
      </c>
    </row>
    <row r="768" spans="2:12" ht="15">
      <c r="B768" s="183"/>
      <c r="C768" s="3"/>
      <c r="D768" s="2"/>
      <c r="E768" s="2"/>
      <c r="F768" s="2"/>
      <c r="G768" s="2"/>
      <c r="H768" s="2"/>
      <c r="I768" s="2"/>
      <c r="J768" s="2"/>
      <c r="K768" s="2"/>
    </row>
    <row r="769" spans="2:12" ht="20.100000000000001" customHeight="1" thickBot="1">
      <c r="B769" s="171" t="s">
        <v>938</v>
      </c>
      <c r="C769" s="91">
        <v>-1821</v>
      </c>
      <c r="D769" s="91">
        <v>0</v>
      </c>
      <c r="E769" s="91">
        <v>2325</v>
      </c>
      <c r="F769" s="91">
        <f>D769+F765</f>
        <v>0</v>
      </c>
      <c r="G769" s="91">
        <f>F769+G765</f>
        <v>30</v>
      </c>
      <c r="H769" s="91">
        <f>G769+H765</f>
        <v>60</v>
      </c>
      <c r="I769" s="91">
        <f>H769+I765</f>
        <v>90</v>
      </c>
      <c r="J769" s="91">
        <f>I769+J765</f>
        <v>120</v>
      </c>
      <c r="K769" s="91">
        <f>J769+K765</f>
        <v>150</v>
      </c>
      <c r="L769" s="173"/>
    </row>
    <row r="770" spans="2:12" s="173" customFormat="1" ht="15.75" hidden="1" thickTop="1">
      <c r="B770" s="174"/>
      <c r="C770" s="146">
        <f>'Budget Detail FY 2012-19'!N1025</f>
        <v>-1821</v>
      </c>
      <c r="D770" s="146">
        <f>'Budget Detail FY 2012-19'!O1025</f>
        <v>0</v>
      </c>
      <c r="E770" s="146">
        <f>'Budget Detail FY 2012-19'!P1025</f>
        <v>2325</v>
      </c>
      <c r="F770" s="146">
        <f>'Budget Detail FY 2012-19'!Q1025</f>
        <v>0</v>
      </c>
      <c r="G770" s="146">
        <f>'Budget Detail FY 2012-19'!R1025</f>
        <v>30</v>
      </c>
      <c r="H770" s="146">
        <f>'Budget Detail FY 2012-19'!S1025</f>
        <v>60</v>
      </c>
      <c r="I770" s="146">
        <f>'Budget Detail FY 2012-19'!T1025</f>
        <v>90</v>
      </c>
      <c r="J770" s="146">
        <f>'Budget Detail FY 2012-19'!U1025</f>
        <v>120</v>
      </c>
      <c r="K770" s="146">
        <f>'Budget Detail FY 2012-19'!V1025</f>
        <v>150</v>
      </c>
      <c r="L770" s="586" t="s">
        <v>1299</v>
      </c>
    </row>
    <row r="771" spans="2:12" s="175" customFormat="1" ht="14.25" hidden="1">
      <c r="B771" s="176"/>
      <c r="C771" s="147">
        <f>C769-C770</f>
        <v>0</v>
      </c>
      <c r="D771" s="147">
        <f t="shared" ref="D771:K771" si="122">D769-D770</f>
        <v>0</v>
      </c>
      <c r="E771" s="147">
        <f t="shared" si="122"/>
        <v>0</v>
      </c>
      <c r="F771" s="147">
        <f t="shared" si="122"/>
        <v>0</v>
      </c>
      <c r="G771" s="147">
        <f t="shared" si="122"/>
        <v>0</v>
      </c>
      <c r="H771" s="147">
        <f t="shared" si="122"/>
        <v>0</v>
      </c>
      <c r="I771" s="147">
        <f t="shared" si="122"/>
        <v>0</v>
      </c>
      <c r="J771" s="147">
        <f t="shared" si="122"/>
        <v>0</v>
      </c>
      <c r="K771" s="147">
        <f t="shared" si="122"/>
        <v>0</v>
      </c>
      <c r="L771" s="587" t="s">
        <v>1300</v>
      </c>
    </row>
    <row r="772" spans="2:12" ht="15.75" thickTop="1">
      <c r="B772" s="184"/>
      <c r="C772" s="3"/>
      <c r="D772" s="3"/>
      <c r="E772" s="3"/>
      <c r="F772" s="3"/>
      <c r="G772" s="3"/>
      <c r="H772" s="2"/>
      <c r="I772" s="2"/>
      <c r="J772" s="2"/>
      <c r="K772" s="2"/>
    </row>
    <row r="773" spans="2:12" ht="15">
      <c r="B773" s="184"/>
      <c r="C773" s="2"/>
      <c r="D773" s="2"/>
      <c r="E773" s="2"/>
      <c r="F773" s="2"/>
      <c r="G773" s="2"/>
      <c r="H773" s="2"/>
      <c r="I773" s="2"/>
      <c r="J773" s="2"/>
      <c r="K773" s="2"/>
    </row>
    <row r="774" spans="2:12" ht="15">
      <c r="B774" s="1"/>
      <c r="C774" s="2"/>
      <c r="D774" s="2"/>
      <c r="E774" s="2"/>
      <c r="F774" s="2"/>
      <c r="G774" s="2"/>
      <c r="H774" s="2"/>
      <c r="I774" s="2"/>
      <c r="J774" s="2"/>
      <c r="K774" s="2"/>
    </row>
    <row r="775" spans="2:12" ht="15">
      <c r="B775" s="1"/>
      <c r="C775" s="2"/>
      <c r="D775" s="2"/>
      <c r="E775" s="2"/>
      <c r="F775" s="2"/>
      <c r="G775" s="2"/>
      <c r="H775" s="2"/>
      <c r="I775" s="2"/>
      <c r="J775" s="2"/>
      <c r="K775" s="2"/>
    </row>
    <row r="776" spans="2:12" ht="15">
      <c r="B776" s="1"/>
      <c r="C776" s="2"/>
      <c r="D776" s="2"/>
      <c r="E776" s="2"/>
      <c r="F776" s="2"/>
      <c r="G776" s="2"/>
      <c r="H776" s="2"/>
      <c r="I776" s="2"/>
      <c r="J776" s="2"/>
      <c r="K776" s="2"/>
    </row>
    <row r="777" spans="2:12" ht="15">
      <c r="B777" s="1"/>
      <c r="C777" s="2"/>
      <c r="D777" s="2"/>
      <c r="E777" s="2"/>
      <c r="F777" s="2"/>
      <c r="G777" s="2"/>
      <c r="H777" s="2"/>
      <c r="I777" s="2"/>
      <c r="J777" s="2"/>
      <c r="K777" s="2"/>
    </row>
    <row r="778" spans="2:12" ht="15">
      <c r="B778" s="1"/>
      <c r="C778" s="2"/>
      <c r="D778" s="2"/>
      <c r="E778" s="2"/>
      <c r="F778" s="2"/>
      <c r="G778" s="2"/>
      <c r="H778" s="2"/>
      <c r="I778" s="2"/>
      <c r="J778" s="2"/>
      <c r="K778" s="2"/>
    </row>
    <row r="779" spans="2:12" ht="15">
      <c r="B779" s="1"/>
      <c r="C779" s="2"/>
      <c r="D779" s="2"/>
      <c r="E779" s="2"/>
      <c r="F779" s="2"/>
      <c r="G779" s="2"/>
      <c r="H779" s="2"/>
      <c r="I779" s="2"/>
      <c r="J779" s="2"/>
      <c r="K779" s="2"/>
    </row>
    <row r="780" spans="2:12" ht="15">
      <c r="B780" s="1"/>
      <c r="C780" s="2"/>
      <c r="D780" s="2"/>
      <c r="E780" s="2"/>
      <c r="F780" s="2"/>
      <c r="G780" s="2"/>
      <c r="H780" s="2"/>
      <c r="I780" s="2"/>
      <c r="J780" s="2"/>
      <c r="K780" s="2"/>
    </row>
    <row r="781" spans="2:12" ht="15">
      <c r="B781" s="1"/>
      <c r="C781" s="2"/>
      <c r="D781" s="2"/>
      <c r="E781" s="2"/>
      <c r="F781" s="2"/>
      <c r="G781" s="2"/>
      <c r="H781" s="2"/>
      <c r="I781" s="2"/>
      <c r="J781" s="2"/>
      <c r="K781" s="2"/>
    </row>
    <row r="782" spans="2:12" ht="15">
      <c r="B782" s="1"/>
      <c r="C782" s="2"/>
      <c r="D782" s="2"/>
      <c r="E782" s="2"/>
      <c r="F782" s="2"/>
      <c r="G782" s="2"/>
      <c r="H782" s="2"/>
      <c r="I782" s="2"/>
      <c r="J782" s="2"/>
      <c r="K782" s="2"/>
    </row>
    <row r="783" spans="2:12" ht="15">
      <c r="B783" s="1"/>
      <c r="C783" s="2"/>
      <c r="D783" s="2"/>
      <c r="E783" s="2"/>
      <c r="F783" s="2"/>
      <c r="G783" s="2"/>
      <c r="H783" s="2"/>
      <c r="I783" s="2"/>
      <c r="J783" s="2"/>
      <c r="K783" s="2"/>
    </row>
    <row r="784" spans="2:12" ht="15">
      <c r="B784" s="1"/>
      <c r="C784" s="2"/>
      <c r="D784" s="2"/>
      <c r="E784" s="2"/>
      <c r="F784" s="2"/>
      <c r="G784" s="2"/>
      <c r="H784" s="2"/>
      <c r="I784" s="2"/>
      <c r="J784" s="2"/>
      <c r="K784" s="2"/>
    </row>
    <row r="785" spans="2:11" ht="15">
      <c r="B785" s="1"/>
      <c r="C785" s="2"/>
      <c r="D785" s="2"/>
      <c r="E785" s="2"/>
      <c r="F785" s="2"/>
      <c r="G785" s="2"/>
      <c r="H785" s="2"/>
      <c r="I785" s="2"/>
      <c r="J785" s="2"/>
      <c r="K785" s="2"/>
    </row>
    <row r="788" spans="2:11" ht="18.75">
      <c r="B788" s="722" t="s">
        <v>963</v>
      </c>
      <c r="C788" s="722"/>
      <c r="D788" s="722"/>
      <c r="E788" s="722"/>
      <c r="F788" s="722"/>
      <c r="G788" s="722"/>
      <c r="H788" s="722"/>
      <c r="I788" s="722"/>
      <c r="J788" s="722"/>
      <c r="K788" s="722"/>
    </row>
    <row r="789" spans="2:11" ht="15">
      <c r="B789" s="72" t="s">
        <v>890</v>
      </c>
      <c r="C789" s="3"/>
      <c r="D789" s="2"/>
      <c r="E789" s="2"/>
      <c r="F789" s="2"/>
      <c r="G789" s="2"/>
      <c r="H789" s="2"/>
      <c r="I789" s="2"/>
      <c r="J789" s="2"/>
      <c r="K789" s="2"/>
    </row>
    <row r="790" spans="2:11" ht="12.75" customHeight="1">
      <c r="B790" s="715" t="s">
        <v>1305</v>
      </c>
      <c r="C790" s="715"/>
      <c r="D790" s="715"/>
      <c r="E790" s="715"/>
      <c r="F790" s="715"/>
      <c r="G790" s="715"/>
      <c r="H790" s="715"/>
      <c r="I790" s="715"/>
      <c r="J790" s="715"/>
      <c r="K790" s="715"/>
    </row>
    <row r="791" spans="2:11" ht="18" customHeight="1">
      <c r="B791" s="715"/>
      <c r="C791" s="715"/>
      <c r="D791" s="715"/>
      <c r="E791" s="715"/>
      <c r="F791" s="715"/>
      <c r="G791" s="715"/>
      <c r="H791" s="715"/>
      <c r="I791" s="715"/>
      <c r="J791" s="715"/>
      <c r="K791" s="715"/>
    </row>
    <row r="792" spans="2:11" ht="15">
      <c r="B792" s="686"/>
      <c r="C792" s="25"/>
      <c r="D792" s="25"/>
      <c r="E792" s="25"/>
      <c r="F792" s="25"/>
      <c r="G792" s="25"/>
      <c r="H792" s="2"/>
      <c r="I792" s="2"/>
      <c r="J792" s="2"/>
      <c r="K792" s="2"/>
    </row>
    <row r="793" spans="2:11" ht="15">
      <c r="B793" s="5"/>
      <c r="C793" s="72"/>
      <c r="D793" s="73"/>
      <c r="E793" s="72" t="s">
        <v>283</v>
      </c>
      <c r="F793" s="1"/>
      <c r="G793" s="1"/>
      <c r="H793" s="1"/>
      <c r="I793" s="1"/>
      <c r="J793" s="1"/>
      <c r="K793" s="1"/>
    </row>
    <row r="794" spans="2:11" ht="15">
      <c r="B794" s="73"/>
      <c r="C794" s="72" t="s">
        <v>229</v>
      </c>
      <c r="D794" s="96" t="s">
        <v>282</v>
      </c>
      <c r="E794" s="73" t="s">
        <v>917</v>
      </c>
      <c r="F794" s="73" t="s">
        <v>283</v>
      </c>
      <c r="G794" s="73" t="s">
        <v>298</v>
      </c>
      <c r="H794" s="73" t="s">
        <v>299</v>
      </c>
      <c r="I794" s="73" t="s">
        <v>300</v>
      </c>
      <c r="J794" s="73" t="s">
        <v>1087</v>
      </c>
      <c r="K794" s="73" t="s">
        <v>1224</v>
      </c>
    </row>
    <row r="795" spans="2:11" ht="15.75" thickBot="1">
      <c r="B795" s="188"/>
      <c r="C795" s="75" t="s">
        <v>1</v>
      </c>
      <c r="D795" s="75" t="s">
        <v>1</v>
      </c>
      <c r="E795" s="75" t="s">
        <v>871</v>
      </c>
      <c r="F795" s="75" t="s">
        <v>20</v>
      </c>
      <c r="G795" s="75" t="s">
        <v>917</v>
      </c>
      <c r="H795" s="75" t="s">
        <v>20</v>
      </c>
      <c r="I795" s="75" t="s">
        <v>20</v>
      </c>
      <c r="J795" s="75" t="s">
        <v>20</v>
      </c>
      <c r="K795" s="75" t="s">
        <v>20</v>
      </c>
    </row>
    <row r="796" spans="2:11" ht="15">
      <c r="B796" s="71"/>
      <c r="C796" s="189"/>
      <c r="D796" s="2"/>
      <c r="E796" s="2"/>
      <c r="F796" s="2"/>
      <c r="G796" s="2"/>
      <c r="H796" s="2"/>
      <c r="I796" s="2"/>
      <c r="J796" s="2"/>
      <c r="K796" s="2"/>
    </row>
    <row r="797" spans="2:11" ht="15">
      <c r="B797" s="177" t="s">
        <v>918</v>
      </c>
      <c r="C797" s="2"/>
      <c r="D797" s="2"/>
      <c r="E797" s="2"/>
      <c r="F797" s="2"/>
      <c r="G797" s="2"/>
      <c r="H797" s="2"/>
      <c r="I797" s="2"/>
      <c r="J797" s="2"/>
      <c r="K797" s="2"/>
    </row>
    <row r="798" spans="2:11" ht="20.100000000000001" customHeight="1">
      <c r="B798" s="688" t="s">
        <v>921</v>
      </c>
      <c r="C798" s="2">
        <f>'Budget Detail FY 2012-19'!N1029</f>
        <v>17669</v>
      </c>
      <c r="D798" s="2">
        <f>'Budget Detail FY 2012-19'!O1029</f>
        <v>35200</v>
      </c>
      <c r="E798" s="2">
        <f>'Budget Detail FY 2012-19'!P1029</f>
        <v>20000</v>
      </c>
      <c r="F798" s="2">
        <f>'Budget Detail FY 2012-19'!Q1029</f>
        <v>55000</v>
      </c>
      <c r="G798" s="2">
        <f>'Budget Detail FY 2012-19'!R1029</f>
        <v>20000</v>
      </c>
      <c r="H798" s="2">
        <f>'Budget Detail FY 2012-19'!S1029</f>
        <v>20000</v>
      </c>
      <c r="I798" s="2">
        <f>'Budget Detail FY 2012-19'!T1029</f>
        <v>20000</v>
      </c>
      <c r="J798" s="2">
        <f>'Budget Detail FY 2012-19'!U1029</f>
        <v>20000</v>
      </c>
      <c r="K798" s="2">
        <f>'Budget Detail FY 2012-19'!V1029</f>
        <v>20000</v>
      </c>
    </row>
    <row r="799" spans="2:11" ht="20.100000000000001" customHeight="1">
      <c r="B799" s="688" t="s">
        <v>924</v>
      </c>
      <c r="C799" s="2">
        <f>'Budget Detail FY 2012-19'!N1030</f>
        <v>71</v>
      </c>
      <c r="D799" s="2">
        <f>'Budget Detail FY 2012-19'!O1030</f>
        <v>8</v>
      </c>
      <c r="E799" s="2">
        <f>'Budget Detail FY 2012-19'!P1030</f>
        <v>20</v>
      </c>
      <c r="F799" s="2">
        <f>'Budget Detail FY 2012-19'!Q1030</f>
        <v>15</v>
      </c>
      <c r="G799" s="2">
        <f>'Budget Detail FY 2012-19'!R1030</f>
        <v>20</v>
      </c>
      <c r="H799" s="2">
        <f>'Budget Detail FY 2012-19'!S1030</f>
        <v>20</v>
      </c>
      <c r="I799" s="2">
        <f>'Budget Detail FY 2012-19'!T1030</f>
        <v>20</v>
      </c>
      <c r="J799" s="2">
        <f>'Budget Detail FY 2012-19'!U1030</f>
        <v>20</v>
      </c>
      <c r="K799" s="2">
        <f>'Budget Detail FY 2012-19'!V1030</f>
        <v>20</v>
      </c>
    </row>
    <row r="800" spans="2:11" ht="20.100000000000001" customHeight="1">
      <c r="B800" s="688" t="s">
        <v>927</v>
      </c>
      <c r="C800" s="2">
        <f>'Budget Detail FY 2012-19'!N1031</f>
        <v>332519</v>
      </c>
      <c r="D800" s="2">
        <f>'Budget Detail FY 2012-19'!O1031</f>
        <v>0</v>
      </c>
      <c r="E800" s="2">
        <f>'Budget Detail FY 2012-19'!P1031</f>
        <v>0</v>
      </c>
      <c r="F800" s="2">
        <f>'Budget Detail FY 2012-19'!Q1031</f>
        <v>0</v>
      </c>
      <c r="G800" s="2">
        <f>'Budget Detail FY 2012-19'!R1031</f>
        <v>0</v>
      </c>
      <c r="H800" s="2">
        <f>'Budget Detail FY 2012-19'!S1031</f>
        <v>0</v>
      </c>
      <c r="I800" s="2">
        <f>'Budget Detail FY 2012-19'!T1031</f>
        <v>0</v>
      </c>
      <c r="J800" s="2">
        <f>'Budget Detail FY 2012-19'!U1031</f>
        <v>0</v>
      </c>
      <c r="K800" s="2">
        <f>'Budget Detail FY 2012-19'!V1031</f>
        <v>0</v>
      </c>
    </row>
    <row r="801" spans="2:12" ht="20.100000000000001" customHeight="1" thickBot="1">
      <c r="B801" s="172" t="s">
        <v>928</v>
      </c>
      <c r="C801" s="169">
        <f>SUM(C798:C800)</f>
        <v>350259</v>
      </c>
      <c r="D801" s="169">
        <f t="shared" ref="D801:J801" si="123">SUM(D798:D800)</f>
        <v>35208</v>
      </c>
      <c r="E801" s="169">
        <f>SUM(E798:E800)</f>
        <v>20020</v>
      </c>
      <c r="F801" s="169">
        <f t="shared" si="123"/>
        <v>55015</v>
      </c>
      <c r="G801" s="169">
        <f t="shared" si="123"/>
        <v>20020</v>
      </c>
      <c r="H801" s="169">
        <f t="shared" si="123"/>
        <v>20020</v>
      </c>
      <c r="I801" s="169">
        <f t="shared" si="123"/>
        <v>20020</v>
      </c>
      <c r="J801" s="169">
        <f t="shared" si="123"/>
        <v>20020</v>
      </c>
      <c r="K801" s="169">
        <f>SUM(K798:K800)</f>
        <v>20020</v>
      </c>
      <c r="L801" s="173"/>
    </row>
    <row r="802" spans="2:12" s="173" customFormat="1" ht="15" hidden="1">
      <c r="B802" s="174"/>
      <c r="C802" s="146">
        <f>'Budget Detail FY 2012-19'!N1033</f>
        <v>350259</v>
      </c>
      <c r="D802" s="146">
        <f>'Budget Detail FY 2012-19'!O1033</f>
        <v>35208</v>
      </c>
      <c r="E802" s="146">
        <f>'Budget Detail FY 2012-19'!P1033</f>
        <v>20020</v>
      </c>
      <c r="F802" s="146">
        <f>'Budget Detail FY 2012-19'!Q1033</f>
        <v>55015</v>
      </c>
      <c r="G802" s="146">
        <f>'Budget Detail FY 2012-19'!R1033</f>
        <v>20020</v>
      </c>
      <c r="H802" s="146">
        <f>'Budget Detail FY 2012-19'!S1033</f>
        <v>20020</v>
      </c>
      <c r="I802" s="146">
        <f>'Budget Detail FY 2012-19'!T1033</f>
        <v>20020</v>
      </c>
      <c r="J802" s="146">
        <f>'Budget Detail FY 2012-19'!U1033</f>
        <v>20020</v>
      </c>
      <c r="K802" s="146">
        <f>'Budget Detail FY 2012-19'!V1033</f>
        <v>20020</v>
      </c>
      <c r="L802" s="586" t="s">
        <v>1299</v>
      </c>
    </row>
    <row r="803" spans="2:12" s="175" customFormat="1" ht="15" hidden="1">
      <c r="B803" s="176"/>
      <c r="C803" s="190">
        <f>C801-C802</f>
        <v>0</v>
      </c>
      <c r="D803" s="190">
        <f t="shared" ref="D803:K803" si="124">D801-D802</f>
        <v>0</v>
      </c>
      <c r="E803" s="190">
        <f t="shared" si="124"/>
        <v>0</v>
      </c>
      <c r="F803" s="190">
        <f t="shared" si="124"/>
        <v>0</v>
      </c>
      <c r="G803" s="190">
        <f t="shared" si="124"/>
        <v>0</v>
      </c>
      <c r="H803" s="190">
        <f t="shared" si="124"/>
        <v>0</v>
      </c>
      <c r="I803" s="190">
        <f t="shared" si="124"/>
        <v>0</v>
      </c>
      <c r="J803" s="190">
        <f t="shared" si="124"/>
        <v>0</v>
      </c>
      <c r="K803" s="190">
        <f t="shared" si="124"/>
        <v>0</v>
      </c>
      <c r="L803" s="587" t="s">
        <v>1300</v>
      </c>
    </row>
    <row r="804" spans="2:12" ht="15">
      <c r="B804" s="1"/>
      <c r="C804" s="2"/>
      <c r="D804" s="2"/>
      <c r="E804" s="2"/>
      <c r="F804" s="2"/>
      <c r="G804" s="2"/>
      <c r="H804" s="2"/>
      <c r="I804" s="2"/>
      <c r="J804" s="2"/>
      <c r="K804" s="2"/>
    </row>
    <row r="805" spans="2:12" ht="15">
      <c r="B805" s="177" t="s">
        <v>659</v>
      </c>
      <c r="C805" s="2"/>
      <c r="D805" s="2"/>
      <c r="E805" s="2"/>
      <c r="F805" s="2"/>
      <c r="G805" s="2"/>
      <c r="H805" s="2"/>
      <c r="I805" s="2"/>
      <c r="J805" s="2"/>
      <c r="K805" s="2"/>
    </row>
    <row r="806" spans="2:12" ht="20.100000000000001" customHeight="1">
      <c r="B806" s="689" t="s">
        <v>931</v>
      </c>
      <c r="C806" s="2">
        <f>'Budget Detail FY 2012-19'!N1035</f>
        <v>0</v>
      </c>
      <c r="D806" s="2">
        <f>'Budget Detail FY 2012-19'!O1035</f>
        <v>0</v>
      </c>
      <c r="E806" s="2">
        <f>'Budget Detail FY 2012-19'!P1035</f>
        <v>3500</v>
      </c>
      <c r="F806" s="2">
        <f>'Budget Detail FY 2012-19'!Q1035</f>
        <v>3500</v>
      </c>
      <c r="G806" s="2">
        <f>'Budget Detail FY 2012-19'!R1035</f>
        <v>3500</v>
      </c>
      <c r="H806" s="2">
        <f>'Budget Detail FY 2012-19'!S1035</f>
        <v>3500</v>
      </c>
      <c r="I806" s="2">
        <f>'Budget Detail FY 2012-19'!T1035</f>
        <v>3500</v>
      </c>
      <c r="J806" s="2">
        <f>'Budget Detail FY 2012-19'!U1035</f>
        <v>3500</v>
      </c>
      <c r="K806" s="2">
        <f>'Budget Detail FY 2012-19'!V1035</f>
        <v>3500</v>
      </c>
    </row>
    <row r="807" spans="2:12" ht="20.100000000000001" customHeight="1">
      <c r="B807" s="689" t="s">
        <v>932</v>
      </c>
      <c r="C807" s="2">
        <f>SUM('Budget Detail FY 2012-19'!N1036:N1040)</f>
        <v>0</v>
      </c>
      <c r="D807" s="2">
        <f>SUM('Budget Detail FY 2012-19'!O1036:O1040)</f>
        <v>26312</v>
      </c>
      <c r="E807" s="2">
        <f>SUM('Budget Detail FY 2012-19'!P1036:P1040)</f>
        <v>35350</v>
      </c>
      <c r="F807" s="2">
        <f>SUM('Budget Detail FY 2012-19'!Q1036:Q1040)</f>
        <v>32209</v>
      </c>
      <c r="G807" s="2">
        <f>SUM('Budget Detail FY 2012-19'!R1036:R1040)</f>
        <v>51515</v>
      </c>
      <c r="H807" s="2">
        <f>SUM('Budget Detail FY 2012-19'!S1036:S1040)</f>
        <v>16520</v>
      </c>
      <c r="I807" s="2">
        <f>SUM('Budget Detail FY 2012-19'!T1036:T1040)</f>
        <v>16520</v>
      </c>
      <c r="J807" s="2">
        <f>SUM('Budget Detail FY 2012-19'!U1036:U1040)</f>
        <v>16520</v>
      </c>
      <c r="K807" s="2">
        <f>SUM('Budget Detail FY 2012-19'!V1036:V1040)</f>
        <v>16520</v>
      </c>
    </row>
    <row r="808" spans="2:12" ht="20.100000000000001" customHeight="1">
      <c r="B808" s="689" t="s">
        <v>933</v>
      </c>
      <c r="C808" s="2">
        <f>'Budget Detail FY 2012-19'!N1041</f>
        <v>10965</v>
      </c>
      <c r="D808" s="2">
        <f>'Budget Detail FY 2012-19'!O1041</f>
        <v>0</v>
      </c>
      <c r="E808" s="2">
        <f>'Budget Detail FY 2012-19'!P1041</f>
        <v>0</v>
      </c>
      <c r="F808" s="2">
        <f>'Budget Detail FY 2012-19'!Q1041</f>
        <v>0</v>
      </c>
      <c r="G808" s="2">
        <f>'Budget Detail FY 2012-19'!R1041</f>
        <v>0</v>
      </c>
      <c r="H808" s="2">
        <f>'Budget Detail FY 2012-19'!S1041</f>
        <v>0</v>
      </c>
      <c r="I808" s="2">
        <f>'Budget Detail FY 2012-19'!T1041</f>
        <v>0</v>
      </c>
      <c r="J808" s="2">
        <f>'Budget Detail FY 2012-19'!U1041</f>
        <v>0</v>
      </c>
      <c r="K808" s="2">
        <f>'Budget Detail FY 2012-19'!V1041</f>
        <v>0</v>
      </c>
    </row>
    <row r="809" spans="2:12" ht="20.100000000000001" customHeight="1">
      <c r="B809" s="688" t="s">
        <v>935</v>
      </c>
      <c r="C809" s="2">
        <f>'Budget Detail FY 2012-19'!N1042</f>
        <v>332500</v>
      </c>
      <c r="D809" s="2">
        <f>'Budget Detail FY 2012-19'!O1042</f>
        <v>0</v>
      </c>
      <c r="E809" s="2">
        <f>'Budget Detail FY 2012-19'!P1042</f>
        <v>0</v>
      </c>
      <c r="F809" s="2">
        <f>'Budget Detail FY 2012-19'!Q1042</f>
        <v>0</v>
      </c>
      <c r="G809" s="2">
        <f>'Budget Detail FY 2012-19'!R1042</f>
        <v>0</v>
      </c>
      <c r="H809" s="2">
        <f>'Budget Detail FY 2012-19'!S1042</f>
        <v>0</v>
      </c>
      <c r="I809" s="2">
        <f>'Budget Detail FY 2012-19'!T1042</f>
        <v>0</v>
      </c>
      <c r="J809" s="2">
        <f>'Budget Detail FY 2012-19'!U1042</f>
        <v>0</v>
      </c>
      <c r="K809" s="2">
        <f>'Budget Detail FY 2012-19'!V1042</f>
        <v>0</v>
      </c>
    </row>
    <row r="810" spans="2:12" ht="20.100000000000001" customHeight="1" thickBot="1">
      <c r="B810" s="172" t="s">
        <v>936</v>
      </c>
      <c r="C810" s="169">
        <f>SUM(C806:C809)</f>
        <v>343465</v>
      </c>
      <c r="D810" s="169">
        <f t="shared" ref="D810:K810" si="125">SUM(D806:D809)</f>
        <v>26312</v>
      </c>
      <c r="E810" s="169">
        <f t="shared" si="125"/>
        <v>38850</v>
      </c>
      <c r="F810" s="169">
        <f t="shared" si="125"/>
        <v>35709</v>
      </c>
      <c r="G810" s="169">
        <f t="shared" si="125"/>
        <v>55015</v>
      </c>
      <c r="H810" s="169">
        <f t="shared" si="125"/>
        <v>20020</v>
      </c>
      <c r="I810" s="169">
        <f t="shared" si="125"/>
        <v>20020</v>
      </c>
      <c r="J810" s="169">
        <f t="shared" si="125"/>
        <v>20020</v>
      </c>
      <c r="K810" s="169">
        <f t="shared" si="125"/>
        <v>20020</v>
      </c>
      <c r="L810" s="173"/>
    </row>
    <row r="811" spans="2:12" s="173" customFormat="1" ht="15" hidden="1">
      <c r="B811" s="174"/>
      <c r="C811" s="146">
        <f>'Budget Detail FY 2012-19'!N1044</f>
        <v>343465</v>
      </c>
      <c r="D811" s="146">
        <f>'Budget Detail FY 2012-19'!O1044</f>
        <v>26312</v>
      </c>
      <c r="E811" s="146">
        <f>'Budget Detail FY 2012-19'!P1044</f>
        <v>38850</v>
      </c>
      <c r="F811" s="146">
        <f>'Budget Detail FY 2012-19'!Q1044</f>
        <v>35709</v>
      </c>
      <c r="G811" s="146">
        <f>'Budget Detail FY 2012-19'!R1044</f>
        <v>55015</v>
      </c>
      <c r="H811" s="146">
        <f>'Budget Detail FY 2012-19'!S1044</f>
        <v>20020</v>
      </c>
      <c r="I811" s="146">
        <f>'Budget Detail FY 2012-19'!T1044</f>
        <v>20020</v>
      </c>
      <c r="J811" s="146">
        <f>'Budget Detail FY 2012-19'!U1044</f>
        <v>20020</v>
      </c>
      <c r="K811" s="146">
        <f>'Budget Detail FY 2012-19'!V1044</f>
        <v>20020</v>
      </c>
      <c r="L811" s="586" t="s">
        <v>1299</v>
      </c>
    </row>
    <row r="812" spans="2:12" s="175" customFormat="1" ht="14.25" hidden="1">
      <c r="B812" s="176"/>
      <c r="C812" s="147">
        <f>C810-C811</f>
        <v>0</v>
      </c>
      <c r="D812" s="147">
        <f t="shared" ref="D812:K812" si="126">D810-D811</f>
        <v>0</v>
      </c>
      <c r="E812" s="147">
        <f t="shared" si="126"/>
        <v>0</v>
      </c>
      <c r="F812" s="147">
        <f t="shared" si="126"/>
        <v>0</v>
      </c>
      <c r="G812" s="147">
        <f t="shared" si="126"/>
        <v>0</v>
      </c>
      <c r="H812" s="147">
        <f t="shared" si="126"/>
        <v>0</v>
      </c>
      <c r="I812" s="147">
        <f t="shared" si="126"/>
        <v>0</v>
      </c>
      <c r="J812" s="147">
        <f t="shared" si="126"/>
        <v>0</v>
      </c>
      <c r="K812" s="147">
        <f t="shared" si="126"/>
        <v>0</v>
      </c>
      <c r="L812" s="587" t="s">
        <v>1300</v>
      </c>
    </row>
    <row r="813" spans="2:12" ht="15">
      <c r="B813" s="179"/>
      <c r="C813" s="3"/>
      <c r="D813" s="2"/>
      <c r="E813" s="2"/>
      <c r="F813" s="2"/>
      <c r="G813" s="2"/>
      <c r="H813" s="2"/>
      <c r="I813" s="2"/>
      <c r="J813" s="2"/>
      <c r="K813" s="2"/>
    </row>
    <row r="814" spans="2:12" ht="20.100000000000001" customHeight="1">
      <c r="B814" s="691" t="s">
        <v>937</v>
      </c>
      <c r="C814" s="3">
        <f>C801-C810</f>
        <v>6794</v>
      </c>
      <c r="D814" s="3">
        <f t="shared" ref="D814:K814" si="127">D801-D810</f>
        <v>8896</v>
      </c>
      <c r="E814" s="3">
        <f t="shared" si="127"/>
        <v>-18830</v>
      </c>
      <c r="F814" s="3">
        <f>F801-F810</f>
        <v>19306</v>
      </c>
      <c r="G814" s="3">
        <f>G801-G810</f>
        <v>-34995</v>
      </c>
      <c r="H814" s="3">
        <f>H801-H810</f>
        <v>0</v>
      </c>
      <c r="I814" s="3">
        <f t="shared" si="127"/>
        <v>0</v>
      </c>
      <c r="J814" s="3">
        <f t="shared" si="127"/>
        <v>0</v>
      </c>
      <c r="K814" s="3">
        <f t="shared" si="127"/>
        <v>0</v>
      </c>
      <c r="L814" s="173"/>
    </row>
    <row r="815" spans="2:12" s="173" customFormat="1" ht="15" hidden="1">
      <c r="B815" s="180"/>
      <c r="C815" s="146">
        <f>'Budget Detail FY 2012-19'!N1046</f>
        <v>6794</v>
      </c>
      <c r="D815" s="146">
        <f>'Budget Detail FY 2012-19'!O1046</f>
        <v>8896</v>
      </c>
      <c r="E815" s="146">
        <f>'Budget Detail FY 2012-19'!P1046</f>
        <v>-18830</v>
      </c>
      <c r="F815" s="146">
        <f>'Budget Detail FY 2012-19'!Q1046</f>
        <v>19306</v>
      </c>
      <c r="G815" s="146">
        <f>'Budget Detail FY 2012-19'!R1046</f>
        <v>-34995</v>
      </c>
      <c r="H815" s="146">
        <f>'Budget Detail FY 2012-19'!S1046</f>
        <v>0</v>
      </c>
      <c r="I815" s="146">
        <f>'Budget Detail FY 2012-19'!T1046</f>
        <v>0</v>
      </c>
      <c r="J815" s="146">
        <f>'Budget Detail FY 2012-19'!U1046</f>
        <v>0</v>
      </c>
      <c r="K815" s="146">
        <f>'Budget Detail FY 2012-19'!V1046</f>
        <v>0</v>
      </c>
      <c r="L815" s="586" t="s">
        <v>1299</v>
      </c>
    </row>
    <row r="816" spans="2:12" s="175" customFormat="1" ht="15" hidden="1">
      <c r="B816" s="181"/>
      <c r="C816" s="190">
        <f>C814-C815</f>
        <v>0</v>
      </c>
      <c r="D816" s="190">
        <f t="shared" ref="D816:K816" si="128">D814-D815</f>
        <v>0</v>
      </c>
      <c r="E816" s="190">
        <f t="shared" si="128"/>
        <v>0</v>
      </c>
      <c r="F816" s="190">
        <f t="shared" si="128"/>
        <v>0</v>
      </c>
      <c r="G816" s="190">
        <f t="shared" si="128"/>
        <v>0</v>
      </c>
      <c r="H816" s="190">
        <f t="shared" si="128"/>
        <v>0</v>
      </c>
      <c r="I816" s="190">
        <f t="shared" si="128"/>
        <v>0</v>
      </c>
      <c r="J816" s="190">
        <f t="shared" si="128"/>
        <v>0</v>
      </c>
      <c r="K816" s="190">
        <f t="shared" si="128"/>
        <v>0</v>
      </c>
      <c r="L816" s="587" t="s">
        <v>1300</v>
      </c>
    </row>
    <row r="817" spans="2:12" ht="15">
      <c r="B817" s="183"/>
      <c r="C817" s="3"/>
      <c r="D817" s="2"/>
      <c r="E817" s="2"/>
      <c r="F817" s="2"/>
      <c r="G817" s="2"/>
      <c r="H817" s="2"/>
      <c r="I817" s="2"/>
      <c r="J817" s="2"/>
      <c r="K817" s="2"/>
    </row>
    <row r="818" spans="2:12" ht="20.100000000000001" customHeight="1" thickBot="1">
      <c r="B818" s="171" t="s">
        <v>938</v>
      </c>
      <c r="C818" s="91">
        <v>6794</v>
      </c>
      <c r="D818" s="91">
        <v>15689</v>
      </c>
      <c r="E818" s="91">
        <v>0</v>
      </c>
      <c r="F818" s="91">
        <f>D818+F814</f>
        <v>34995</v>
      </c>
      <c r="G818" s="91">
        <f>F818+G814</f>
        <v>0</v>
      </c>
      <c r="H818" s="91">
        <f>G818+H814</f>
        <v>0</v>
      </c>
      <c r="I818" s="91">
        <f>H818+I814</f>
        <v>0</v>
      </c>
      <c r="J818" s="91">
        <f>I818+J814</f>
        <v>0</v>
      </c>
      <c r="K818" s="91">
        <f>J818+K814</f>
        <v>0</v>
      </c>
      <c r="L818" s="173"/>
    </row>
    <row r="819" spans="2:12" s="173" customFormat="1" ht="15.75" hidden="1" thickTop="1">
      <c r="B819" s="174"/>
      <c r="C819" s="146">
        <f>'Budget Detail FY 2012-19'!N1048</f>
        <v>6794</v>
      </c>
      <c r="D819" s="146">
        <f>'Budget Detail FY 2012-19'!O1048</f>
        <v>15689</v>
      </c>
      <c r="E819" s="146">
        <f>'Budget Detail FY 2012-19'!P1048</f>
        <v>0</v>
      </c>
      <c r="F819" s="146">
        <f>'Budget Detail FY 2012-19'!Q1048</f>
        <v>34995</v>
      </c>
      <c r="G819" s="146">
        <f>'Budget Detail FY 2012-19'!R1048</f>
        <v>0</v>
      </c>
      <c r="H819" s="146">
        <f>'Budget Detail FY 2012-19'!S1048</f>
        <v>0</v>
      </c>
      <c r="I819" s="146">
        <f>'Budget Detail FY 2012-19'!T1048</f>
        <v>0</v>
      </c>
      <c r="J819" s="146">
        <f>'Budget Detail FY 2012-19'!U1048</f>
        <v>0</v>
      </c>
      <c r="K819" s="146">
        <f>'Budget Detail FY 2012-19'!V1048</f>
        <v>0</v>
      </c>
      <c r="L819" s="586" t="s">
        <v>1299</v>
      </c>
    </row>
    <row r="820" spans="2:12" s="175" customFormat="1" ht="14.25" hidden="1">
      <c r="B820" s="176"/>
      <c r="C820" s="147">
        <f>C818-C819</f>
        <v>0</v>
      </c>
      <c r="D820" s="147">
        <f t="shared" ref="D820:K820" si="129">D818-D819</f>
        <v>0</v>
      </c>
      <c r="E820" s="147">
        <f t="shared" si="129"/>
        <v>0</v>
      </c>
      <c r="F820" s="147">
        <f t="shared" si="129"/>
        <v>0</v>
      </c>
      <c r="G820" s="147">
        <f t="shared" si="129"/>
        <v>0</v>
      </c>
      <c r="H820" s="147">
        <f t="shared" si="129"/>
        <v>0</v>
      </c>
      <c r="I820" s="147">
        <f t="shared" si="129"/>
        <v>0</v>
      </c>
      <c r="J820" s="147">
        <f t="shared" si="129"/>
        <v>0</v>
      </c>
      <c r="K820" s="147">
        <f t="shared" si="129"/>
        <v>0</v>
      </c>
      <c r="L820" s="587" t="s">
        <v>1300</v>
      </c>
    </row>
    <row r="821" spans="2:12" ht="15.75" thickTop="1">
      <c r="B821" s="184"/>
      <c r="C821" s="3"/>
      <c r="D821" s="3"/>
      <c r="E821" s="3"/>
      <c r="F821" s="3"/>
      <c r="G821" s="3"/>
      <c r="H821" s="2"/>
      <c r="I821" s="2"/>
      <c r="J821" s="2"/>
      <c r="K821" s="2"/>
    </row>
    <row r="822" spans="2:12" ht="15">
      <c r="B822" s="184"/>
      <c r="C822" s="2"/>
      <c r="D822" s="2"/>
      <c r="E822" s="2"/>
      <c r="F822" s="2"/>
      <c r="G822" s="2"/>
      <c r="H822" s="2"/>
      <c r="I822" s="2"/>
      <c r="J822" s="2"/>
      <c r="K822" s="2"/>
    </row>
    <row r="823" spans="2:12" ht="15">
      <c r="B823" s="1"/>
      <c r="C823" s="2"/>
      <c r="D823" s="2"/>
      <c r="E823" s="2"/>
      <c r="F823" s="2"/>
      <c r="G823" s="2"/>
      <c r="H823" s="2"/>
      <c r="I823" s="2"/>
      <c r="J823" s="2"/>
      <c r="K823" s="2"/>
    </row>
    <row r="824" spans="2:12" ht="15">
      <c r="B824" s="1"/>
      <c r="C824" s="2"/>
      <c r="D824" s="2"/>
      <c r="E824" s="2"/>
      <c r="F824" s="2"/>
      <c r="G824" s="2"/>
      <c r="H824" s="2"/>
      <c r="I824" s="2"/>
      <c r="J824" s="2"/>
      <c r="K824" s="2"/>
    </row>
    <row r="825" spans="2:12" ht="15">
      <c r="B825" s="1"/>
      <c r="C825" s="2"/>
      <c r="D825" s="2"/>
      <c r="E825" s="2"/>
      <c r="F825" s="2"/>
      <c r="G825" s="2"/>
      <c r="H825" s="2"/>
      <c r="I825" s="2"/>
      <c r="J825" s="2"/>
      <c r="K825" s="2"/>
    </row>
    <row r="826" spans="2:12" ht="15">
      <c r="B826" s="1"/>
      <c r="C826" s="2"/>
      <c r="D826" s="2"/>
      <c r="E826" s="2"/>
      <c r="F826" s="2"/>
      <c r="G826" s="2"/>
      <c r="H826" s="2"/>
      <c r="I826" s="2"/>
      <c r="J826" s="2"/>
      <c r="K826" s="2"/>
    </row>
    <row r="827" spans="2:12" ht="15">
      <c r="B827" s="1"/>
      <c r="C827" s="2"/>
      <c r="D827" s="2"/>
      <c r="E827" s="2"/>
      <c r="F827" s="2"/>
      <c r="G827" s="2"/>
      <c r="H827" s="2"/>
      <c r="I827" s="2"/>
      <c r="J827" s="2"/>
      <c r="K827" s="2"/>
    </row>
    <row r="828" spans="2:12" ht="15">
      <c r="B828" s="1"/>
      <c r="C828" s="2"/>
      <c r="D828" s="2"/>
      <c r="E828" s="2"/>
      <c r="F828" s="2"/>
      <c r="G828" s="2"/>
      <c r="H828" s="2"/>
      <c r="I828" s="2"/>
      <c r="J828" s="2"/>
      <c r="K828" s="2"/>
    </row>
    <row r="829" spans="2:12" ht="15">
      <c r="B829" s="1"/>
      <c r="C829" s="2"/>
      <c r="D829" s="2"/>
      <c r="E829" s="2"/>
      <c r="F829" s="2"/>
      <c r="G829" s="2"/>
      <c r="H829" s="2"/>
      <c r="I829" s="2"/>
      <c r="J829" s="2"/>
      <c r="K829" s="2"/>
    </row>
    <row r="830" spans="2:12" ht="15">
      <c r="B830" s="1"/>
      <c r="C830" s="2"/>
      <c r="D830" s="2"/>
      <c r="E830" s="2"/>
      <c r="F830" s="2"/>
      <c r="G830" s="2"/>
      <c r="H830" s="2"/>
      <c r="I830" s="2"/>
      <c r="J830" s="2"/>
      <c r="K830" s="2"/>
    </row>
    <row r="831" spans="2:12" ht="15">
      <c r="B831" s="1"/>
      <c r="C831" s="2"/>
      <c r="D831" s="2"/>
      <c r="E831" s="2"/>
      <c r="F831" s="2"/>
      <c r="G831" s="2"/>
      <c r="H831" s="2"/>
      <c r="I831" s="2"/>
      <c r="J831" s="2"/>
      <c r="K831" s="2"/>
    </row>
    <row r="832" spans="2:12" ht="15">
      <c r="B832" s="1"/>
      <c r="C832" s="2"/>
      <c r="D832" s="2"/>
      <c r="E832" s="2"/>
      <c r="F832" s="2"/>
      <c r="G832" s="2"/>
      <c r="H832" s="2"/>
      <c r="I832" s="2"/>
      <c r="J832" s="2"/>
      <c r="K832" s="2"/>
    </row>
    <row r="833" spans="2:12" ht="15">
      <c r="B833" s="1"/>
      <c r="C833" s="2"/>
      <c r="D833" s="2"/>
      <c r="E833" s="2"/>
      <c r="F833" s="2"/>
      <c r="G833" s="2"/>
      <c r="H833" s="2"/>
      <c r="I833" s="2"/>
      <c r="J833" s="2"/>
      <c r="K833" s="2"/>
    </row>
    <row r="834" spans="2:12" ht="15">
      <c r="B834" s="1"/>
      <c r="C834" s="2"/>
      <c r="D834" s="2"/>
      <c r="E834" s="2"/>
      <c r="F834" s="2"/>
      <c r="G834" s="2"/>
      <c r="H834" s="2"/>
      <c r="I834" s="2"/>
      <c r="J834" s="2"/>
      <c r="K834" s="2"/>
    </row>
    <row r="835" spans="2:12" ht="15">
      <c r="B835" s="1"/>
      <c r="C835" s="2"/>
      <c r="D835" s="2"/>
      <c r="E835" s="2"/>
      <c r="F835" s="2"/>
      <c r="G835" s="2"/>
      <c r="H835" s="2"/>
      <c r="I835" s="2"/>
      <c r="J835" s="2"/>
      <c r="K835" s="2"/>
    </row>
    <row r="837" spans="2:12" ht="18.75" customHeight="1">
      <c r="B837" s="722" t="s">
        <v>964</v>
      </c>
      <c r="C837" s="722"/>
      <c r="D837" s="722"/>
      <c r="E837" s="722"/>
      <c r="F837" s="722"/>
      <c r="G837" s="722"/>
      <c r="H837" s="722"/>
      <c r="I837" s="722"/>
      <c r="J837" s="722"/>
      <c r="K837" s="722"/>
    </row>
    <row r="838" spans="2:12" ht="15">
      <c r="B838" s="72"/>
      <c r="C838" s="3"/>
      <c r="D838" s="2"/>
      <c r="E838" s="2"/>
      <c r="F838" s="2"/>
      <c r="G838" s="2"/>
      <c r="H838" s="2"/>
      <c r="I838" s="2"/>
      <c r="J838" s="2"/>
      <c r="K838" s="2"/>
    </row>
    <row r="839" spans="2:12" ht="12.75" customHeight="1">
      <c r="B839" s="715" t="s">
        <v>969</v>
      </c>
      <c r="C839" s="715"/>
      <c r="D839" s="715"/>
      <c r="E839" s="715"/>
      <c r="F839" s="715"/>
      <c r="G839" s="715"/>
      <c r="H839" s="715"/>
      <c r="I839" s="715"/>
      <c r="J839" s="715"/>
      <c r="K839" s="715"/>
    </row>
    <row r="840" spans="2:12" ht="18" customHeight="1">
      <c r="B840" s="715"/>
      <c r="C840" s="715"/>
      <c r="D840" s="715"/>
      <c r="E840" s="715"/>
      <c r="F840" s="715"/>
      <c r="G840" s="715"/>
      <c r="H840" s="715"/>
      <c r="I840" s="715"/>
      <c r="J840" s="715"/>
      <c r="K840" s="715"/>
    </row>
    <row r="841" spans="2:12" ht="15">
      <c r="B841" s="5"/>
      <c r="C841" s="72"/>
      <c r="D841" s="73"/>
      <c r="E841" s="72" t="s">
        <v>283</v>
      </c>
      <c r="F841" s="1"/>
      <c r="G841" s="1"/>
      <c r="H841" s="1"/>
      <c r="I841" s="1"/>
      <c r="J841" s="1"/>
      <c r="K841" s="1"/>
    </row>
    <row r="842" spans="2:12" ht="15">
      <c r="B842" s="73"/>
      <c r="C842" s="72" t="s">
        <v>229</v>
      </c>
      <c r="D842" s="96" t="s">
        <v>282</v>
      </c>
      <c r="E842" s="73" t="s">
        <v>917</v>
      </c>
      <c r="F842" s="73" t="s">
        <v>283</v>
      </c>
      <c r="G842" s="73" t="s">
        <v>298</v>
      </c>
      <c r="H842" s="73" t="s">
        <v>299</v>
      </c>
      <c r="I842" s="73" t="s">
        <v>300</v>
      </c>
      <c r="J842" s="73" t="s">
        <v>1087</v>
      </c>
      <c r="K842" s="73" t="s">
        <v>1224</v>
      </c>
    </row>
    <row r="843" spans="2:12" ht="15.75" thickBot="1">
      <c r="B843" s="188"/>
      <c r="C843" s="75" t="s">
        <v>1</v>
      </c>
      <c r="D843" s="75" t="s">
        <v>1</v>
      </c>
      <c r="E843" s="75" t="s">
        <v>871</v>
      </c>
      <c r="F843" s="75" t="s">
        <v>20</v>
      </c>
      <c r="G843" s="75" t="s">
        <v>917</v>
      </c>
      <c r="H843" s="75" t="s">
        <v>20</v>
      </c>
      <c r="I843" s="75" t="s">
        <v>20</v>
      </c>
      <c r="J843" s="75" t="s">
        <v>20</v>
      </c>
      <c r="K843" s="75" t="s">
        <v>20</v>
      </c>
    </row>
    <row r="844" spans="2:12" ht="15">
      <c r="B844" s="71"/>
      <c r="C844" s="189"/>
      <c r="D844" s="2"/>
      <c r="E844" s="2"/>
      <c r="F844" s="2"/>
      <c r="G844" s="2"/>
      <c r="H844" s="2"/>
      <c r="I844" s="2"/>
      <c r="J844" s="2"/>
      <c r="K844" s="2"/>
    </row>
    <row r="845" spans="2:12" ht="15">
      <c r="B845" s="177" t="s">
        <v>918</v>
      </c>
      <c r="C845" s="2"/>
      <c r="D845" s="2"/>
      <c r="E845" s="2"/>
      <c r="F845" s="2"/>
      <c r="G845" s="2"/>
      <c r="H845" s="2"/>
      <c r="I845" s="2"/>
      <c r="J845" s="2"/>
      <c r="K845" s="2"/>
    </row>
    <row r="846" spans="2:12" ht="20.100000000000001" customHeight="1">
      <c r="B846" s="687" t="s">
        <v>919</v>
      </c>
      <c r="C846" s="2">
        <f>'Budget Detail FY 2012-19'!N1052</f>
        <v>259052</v>
      </c>
      <c r="D846" s="2">
        <f>'Budget Detail FY 2012-19'!O1052</f>
        <v>0</v>
      </c>
      <c r="E846" s="2">
        <f>'Budget Detail FY 2012-19'!P1052</f>
        <v>0</v>
      </c>
      <c r="F846" s="2">
        <f>'Budget Detail FY 2012-19'!Q1052</f>
        <v>0</v>
      </c>
      <c r="G846" s="2">
        <f>'Budget Detail FY 2012-19'!R1052</f>
        <v>0</v>
      </c>
      <c r="H846" s="2">
        <f>'Budget Detail FY 2012-19'!S1052</f>
        <v>0</v>
      </c>
      <c r="I846" s="2">
        <f>'Budget Detail FY 2012-19'!T1052</f>
        <v>0</v>
      </c>
      <c r="J846" s="2">
        <f>'Budget Detail FY 2012-19'!U1052</f>
        <v>0</v>
      </c>
      <c r="K846" s="2">
        <f>'Budget Detail FY 2012-19'!V1052</f>
        <v>0</v>
      </c>
    </row>
    <row r="847" spans="2:12" ht="20.100000000000001" customHeight="1">
      <c r="B847" s="688" t="s">
        <v>924</v>
      </c>
      <c r="C847" s="2">
        <f>'Budget Detail FY 2012-19'!N1053</f>
        <v>275</v>
      </c>
      <c r="D847" s="2">
        <f>'Budget Detail FY 2012-19'!O1053</f>
        <v>0</v>
      </c>
      <c r="E847" s="2">
        <f>'Budget Detail FY 2012-19'!P1053</f>
        <v>0</v>
      </c>
      <c r="F847" s="2">
        <f>'Budget Detail FY 2012-19'!Q1053</f>
        <v>0</v>
      </c>
      <c r="G847" s="2">
        <f>'Budget Detail FY 2012-19'!R1053</f>
        <v>0</v>
      </c>
      <c r="H847" s="2">
        <f>'Budget Detail FY 2012-19'!S1053</f>
        <v>0</v>
      </c>
      <c r="I847" s="2">
        <f>'Budget Detail FY 2012-19'!T1053</f>
        <v>0</v>
      </c>
      <c r="J847" s="2">
        <f>'Budget Detail FY 2012-19'!U1053</f>
        <v>0</v>
      </c>
      <c r="K847" s="2">
        <f>'Budget Detail FY 2012-19'!V1053</f>
        <v>0</v>
      </c>
    </row>
    <row r="848" spans="2:12" ht="20.100000000000001" customHeight="1" thickBot="1">
      <c r="B848" s="172" t="s">
        <v>928</v>
      </c>
      <c r="C848" s="169">
        <f>SUM(C846:C847)</f>
        <v>259327</v>
      </c>
      <c r="D848" s="169">
        <f t="shared" ref="D848:J848" si="130">SUM(D846:D847)</f>
        <v>0</v>
      </c>
      <c r="E848" s="169">
        <f>SUM(E846:E847)</f>
        <v>0</v>
      </c>
      <c r="F848" s="169">
        <f t="shared" si="130"/>
        <v>0</v>
      </c>
      <c r="G848" s="169">
        <f t="shared" si="130"/>
        <v>0</v>
      </c>
      <c r="H848" s="169">
        <f t="shared" si="130"/>
        <v>0</v>
      </c>
      <c r="I848" s="169">
        <f t="shared" si="130"/>
        <v>0</v>
      </c>
      <c r="J848" s="169">
        <f t="shared" si="130"/>
        <v>0</v>
      </c>
      <c r="K848" s="169">
        <f>SUM(K846:K847)</f>
        <v>0</v>
      </c>
      <c r="L848" s="173"/>
    </row>
    <row r="849" spans="2:12" s="173" customFormat="1" ht="15" hidden="1">
      <c r="B849" s="174"/>
      <c r="C849" s="146">
        <f>'Budget Detail FY 2012-19'!N1055</f>
        <v>259327</v>
      </c>
      <c r="D849" s="146">
        <f>'Budget Detail FY 2012-19'!O1055</f>
        <v>0</v>
      </c>
      <c r="E849" s="146">
        <f>'Budget Detail FY 2012-19'!P1055</f>
        <v>0</v>
      </c>
      <c r="F849" s="146">
        <f>'Budget Detail FY 2012-19'!Q1055</f>
        <v>0</v>
      </c>
      <c r="G849" s="146">
        <f>'Budget Detail FY 2012-19'!R1055</f>
        <v>0</v>
      </c>
      <c r="H849" s="146">
        <f>'Budget Detail FY 2012-19'!S1055</f>
        <v>0</v>
      </c>
      <c r="I849" s="146">
        <f>'Budget Detail FY 2012-19'!T1055</f>
        <v>0</v>
      </c>
      <c r="J849" s="146">
        <f>'Budget Detail FY 2012-19'!U1055</f>
        <v>0</v>
      </c>
      <c r="K849" s="146">
        <f>'Budget Detail FY 2012-19'!V1055</f>
        <v>0</v>
      </c>
      <c r="L849" s="586" t="s">
        <v>1299</v>
      </c>
    </row>
    <row r="850" spans="2:12" s="175" customFormat="1" ht="15" hidden="1">
      <c r="B850" s="176"/>
      <c r="C850" s="182">
        <f>C848-C849</f>
        <v>0</v>
      </c>
      <c r="D850" s="182">
        <f t="shared" ref="D850:K850" si="131">D848-D849</f>
        <v>0</v>
      </c>
      <c r="E850" s="182">
        <f t="shared" si="131"/>
        <v>0</v>
      </c>
      <c r="F850" s="182">
        <f t="shared" si="131"/>
        <v>0</v>
      </c>
      <c r="G850" s="182">
        <f t="shared" si="131"/>
        <v>0</v>
      </c>
      <c r="H850" s="182">
        <f t="shared" si="131"/>
        <v>0</v>
      </c>
      <c r="I850" s="182">
        <f t="shared" si="131"/>
        <v>0</v>
      </c>
      <c r="J850" s="182">
        <f t="shared" si="131"/>
        <v>0</v>
      </c>
      <c r="K850" s="182">
        <f t="shared" si="131"/>
        <v>0</v>
      </c>
      <c r="L850" s="587" t="s">
        <v>1300</v>
      </c>
    </row>
    <row r="851" spans="2:12" ht="15">
      <c r="B851" s="1"/>
      <c r="C851" s="2"/>
      <c r="D851" s="2"/>
      <c r="E851" s="2"/>
      <c r="F851" s="2"/>
      <c r="G851" s="2"/>
      <c r="H851" s="2"/>
      <c r="I851" s="2"/>
      <c r="J851" s="2"/>
      <c r="K851" s="2"/>
    </row>
    <row r="852" spans="2:12" ht="15">
      <c r="B852" s="177" t="s">
        <v>659</v>
      </c>
      <c r="C852" s="2"/>
      <c r="D852" s="2"/>
      <c r="E852" s="2"/>
      <c r="F852" s="2"/>
      <c r="G852" s="2"/>
      <c r="H852" s="2"/>
      <c r="I852" s="2"/>
      <c r="J852" s="2"/>
      <c r="K852" s="2"/>
    </row>
    <row r="853" spans="2:12" ht="20.100000000000001" customHeight="1">
      <c r="B853" s="689" t="s">
        <v>931</v>
      </c>
      <c r="C853" s="2">
        <f>SUM('Budget Detail FY 2012-19'!N1057:N1058)</f>
        <v>662322</v>
      </c>
      <c r="D853" s="2">
        <f>SUM('Budget Detail FY 2012-19'!O1057:O1058)</f>
        <v>0</v>
      </c>
      <c r="E853" s="2">
        <f>SUM('Budget Detail FY 2012-19'!P1057:P1058)</f>
        <v>0</v>
      </c>
      <c r="F853" s="2">
        <f>SUM('Budget Detail FY 2012-19'!Q1057:Q1058)</f>
        <v>0</v>
      </c>
      <c r="G853" s="2">
        <f>SUM('Budget Detail FY 2012-19'!R1057:R1058)</f>
        <v>0</v>
      </c>
      <c r="H853" s="2">
        <f>SUM('Budget Detail FY 2012-19'!S1057:S1058)</f>
        <v>0</v>
      </c>
      <c r="I853" s="2">
        <f>SUM('Budget Detail FY 2012-19'!T1057:T1058)</f>
        <v>0</v>
      </c>
      <c r="J853" s="2">
        <f>SUM('Budget Detail FY 2012-19'!U1057:U1058)</f>
        <v>0</v>
      </c>
      <c r="K853" s="2">
        <f>SUM('Budget Detail FY 2012-19'!V1057:V1058)</f>
        <v>0</v>
      </c>
    </row>
    <row r="854" spans="2:12" ht="20.100000000000001" customHeight="1">
      <c r="B854" s="689" t="s">
        <v>932</v>
      </c>
      <c r="C854" s="2">
        <f>'Budget Detail FY 2012-19'!N1059</f>
        <v>11236</v>
      </c>
      <c r="D854" s="2">
        <f>'Budget Detail FY 2012-19'!O1059</f>
        <v>0</v>
      </c>
      <c r="E854" s="2">
        <f>'Budget Detail FY 2012-19'!P1059</f>
        <v>0</v>
      </c>
      <c r="F854" s="2">
        <f>'Budget Detail FY 2012-19'!Q1059</f>
        <v>0</v>
      </c>
      <c r="G854" s="2">
        <f>'Budget Detail FY 2012-19'!R1059</f>
        <v>0</v>
      </c>
      <c r="H854" s="2">
        <f>'Budget Detail FY 2012-19'!S1059</f>
        <v>0</v>
      </c>
      <c r="I854" s="2">
        <f>'Budget Detail FY 2012-19'!T1059</f>
        <v>0</v>
      </c>
      <c r="J854" s="2">
        <f>'Budget Detail FY 2012-19'!U1059</f>
        <v>0</v>
      </c>
      <c r="K854" s="2">
        <f>'Budget Detail FY 2012-19'!V1059</f>
        <v>0</v>
      </c>
    </row>
    <row r="855" spans="2:12" ht="20.100000000000001" customHeight="1">
      <c r="B855" s="689" t="s">
        <v>852</v>
      </c>
      <c r="C855" s="2">
        <f>SUM('Budget Detail FY 2012-19'!N1061:N1062)</f>
        <v>76783</v>
      </c>
      <c r="D855" s="2">
        <f>SUM('Budget Detail FY 2012-19'!O1061:O1062)</f>
        <v>0</v>
      </c>
      <c r="E855" s="2">
        <f>SUM('Budget Detail FY 2012-19'!P1061:P1062)</f>
        <v>0</v>
      </c>
      <c r="F855" s="2">
        <f>SUM('Budget Detail FY 2012-19'!Q1061:Q1062)</f>
        <v>0</v>
      </c>
      <c r="G855" s="2">
        <f>SUM('Budget Detail FY 2012-19'!R1061:R1062)</f>
        <v>0</v>
      </c>
      <c r="H855" s="2">
        <f>SUM('Budget Detail FY 2012-19'!S1061:S1062)</f>
        <v>0</v>
      </c>
      <c r="I855" s="2">
        <f>SUM('Budget Detail FY 2012-19'!T1061:T1062)</f>
        <v>0</v>
      </c>
      <c r="J855" s="2">
        <f>SUM('Budget Detail FY 2012-19'!U1061:U1062)</f>
        <v>0</v>
      </c>
      <c r="K855" s="2">
        <f>SUM('Budget Detail FY 2012-19'!V1061:V1062)</f>
        <v>0</v>
      </c>
    </row>
    <row r="856" spans="2:12" ht="20.100000000000001" customHeight="1">
      <c r="B856" s="688" t="s">
        <v>935</v>
      </c>
      <c r="C856" s="2">
        <f>'Budget Detail FY 2012-19'!N1063</f>
        <v>78777</v>
      </c>
      <c r="D856" s="2">
        <f>'Budget Detail FY 2012-19'!O1063</f>
        <v>0</v>
      </c>
      <c r="E856" s="2">
        <f>'Budget Detail FY 2012-19'!P1063</f>
        <v>0</v>
      </c>
      <c r="F856" s="2">
        <f>'Budget Detail FY 2012-19'!Q1063</f>
        <v>0</v>
      </c>
      <c r="G856" s="2">
        <f>'Budget Detail FY 2012-19'!R1063</f>
        <v>0</v>
      </c>
      <c r="H856" s="2">
        <f>'Budget Detail FY 2012-19'!S1063</f>
        <v>0</v>
      </c>
      <c r="I856" s="2">
        <f>'Budget Detail FY 2012-19'!T1063</f>
        <v>0</v>
      </c>
      <c r="J856" s="2">
        <f>'Budget Detail FY 2012-19'!U1063</f>
        <v>0</v>
      </c>
      <c r="K856" s="2">
        <f>'Budget Detail FY 2012-19'!V1063</f>
        <v>0</v>
      </c>
    </row>
    <row r="857" spans="2:12" ht="20.100000000000001" customHeight="1" thickBot="1">
      <c r="B857" s="172" t="s">
        <v>936</v>
      </c>
      <c r="C857" s="169">
        <f>SUM(C853:C856)</f>
        <v>829118</v>
      </c>
      <c r="D857" s="169">
        <f t="shared" ref="D857:K857" si="132">SUM(D853:D856)</f>
        <v>0</v>
      </c>
      <c r="E857" s="169">
        <f t="shared" si="132"/>
        <v>0</v>
      </c>
      <c r="F857" s="169">
        <f t="shared" si="132"/>
        <v>0</v>
      </c>
      <c r="G857" s="169">
        <f t="shared" si="132"/>
        <v>0</v>
      </c>
      <c r="H857" s="169">
        <f t="shared" si="132"/>
        <v>0</v>
      </c>
      <c r="I857" s="169">
        <f t="shared" si="132"/>
        <v>0</v>
      </c>
      <c r="J857" s="169">
        <f t="shared" si="132"/>
        <v>0</v>
      </c>
      <c r="K857" s="169">
        <f t="shared" si="132"/>
        <v>0</v>
      </c>
      <c r="L857" s="173"/>
    </row>
    <row r="858" spans="2:12" s="173" customFormat="1" ht="15" hidden="1">
      <c r="B858" s="174"/>
      <c r="C858" s="146">
        <f>'Budget Detail FY 2012-19'!N1065</f>
        <v>829118</v>
      </c>
      <c r="D858" s="146">
        <f>'Budget Detail FY 2012-19'!O1065</f>
        <v>0</v>
      </c>
      <c r="E858" s="146">
        <f>'Budget Detail FY 2012-19'!P1065</f>
        <v>0</v>
      </c>
      <c r="F858" s="146">
        <f>'Budget Detail FY 2012-19'!Q1065</f>
        <v>0</v>
      </c>
      <c r="G858" s="146">
        <f>'Budget Detail FY 2012-19'!R1065</f>
        <v>0</v>
      </c>
      <c r="H858" s="146">
        <f>'Budget Detail FY 2012-19'!S1065</f>
        <v>0</v>
      </c>
      <c r="I858" s="146">
        <f>'Budget Detail FY 2012-19'!T1065</f>
        <v>0</v>
      </c>
      <c r="J858" s="146">
        <f>'Budget Detail FY 2012-19'!U1065</f>
        <v>0</v>
      </c>
      <c r="K858" s="146">
        <f>'Budget Detail FY 2012-19'!V1065</f>
        <v>0</v>
      </c>
      <c r="L858" s="586" t="s">
        <v>1299</v>
      </c>
    </row>
    <row r="859" spans="2:12" s="175" customFormat="1" ht="14.25" hidden="1">
      <c r="B859" s="176"/>
      <c r="C859" s="147">
        <f>C857-C858</f>
        <v>0</v>
      </c>
      <c r="D859" s="147">
        <f t="shared" ref="D859:K859" si="133">D857-D858</f>
        <v>0</v>
      </c>
      <c r="E859" s="147">
        <f t="shared" si="133"/>
        <v>0</v>
      </c>
      <c r="F859" s="147">
        <f t="shared" si="133"/>
        <v>0</v>
      </c>
      <c r="G859" s="147">
        <f t="shared" si="133"/>
        <v>0</v>
      </c>
      <c r="H859" s="147">
        <f t="shared" si="133"/>
        <v>0</v>
      </c>
      <c r="I859" s="147">
        <f t="shared" si="133"/>
        <v>0</v>
      </c>
      <c r="J859" s="147">
        <f t="shared" si="133"/>
        <v>0</v>
      </c>
      <c r="K859" s="147">
        <f t="shared" si="133"/>
        <v>0</v>
      </c>
      <c r="L859" s="587" t="s">
        <v>1300</v>
      </c>
    </row>
    <row r="860" spans="2:12" ht="15">
      <c r="B860" s="179"/>
      <c r="C860" s="3"/>
      <c r="D860" s="2"/>
      <c r="E860" s="2"/>
      <c r="F860" s="2"/>
      <c r="G860" s="2"/>
      <c r="H860" s="2"/>
      <c r="I860" s="2"/>
      <c r="J860" s="2"/>
      <c r="K860" s="2"/>
    </row>
    <row r="861" spans="2:12" ht="20.100000000000001" customHeight="1">
      <c r="B861" s="691" t="s">
        <v>937</v>
      </c>
      <c r="C861" s="3">
        <f t="shared" ref="C861:K861" si="134">+C848-C857</f>
        <v>-569791</v>
      </c>
      <c r="D861" s="3">
        <f t="shared" si="134"/>
        <v>0</v>
      </c>
      <c r="E861" s="3">
        <f t="shared" si="134"/>
        <v>0</v>
      </c>
      <c r="F861" s="3">
        <f t="shared" si="134"/>
        <v>0</v>
      </c>
      <c r="G861" s="3">
        <f t="shared" si="134"/>
        <v>0</v>
      </c>
      <c r="H861" s="3">
        <f t="shared" si="134"/>
        <v>0</v>
      </c>
      <c r="I861" s="3">
        <f t="shared" si="134"/>
        <v>0</v>
      </c>
      <c r="J861" s="3">
        <f t="shared" si="134"/>
        <v>0</v>
      </c>
      <c r="K861" s="3">
        <f t="shared" si="134"/>
        <v>0</v>
      </c>
      <c r="L861" s="173"/>
    </row>
    <row r="862" spans="2:12" s="173" customFormat="1" ht="15" hidden="1">
      <c r="B862" s="180"/>
      <c r="C862" s="146">
        <f>'Budget Detail FY 2012-19'!N1067</f>
        <v>-569791</v>
      </c>
      <c r="D862" s="146">
        <f>'Budget Detail FY 2012-19'!O1067</f>
        <v>0</v>
      </c>
      <c r="E862" s="146">
        <f>'Budget Detail FY 2012-19'!P1067</f>
        <v>0</v>
      </c>
      <c r="F862" s="146">
        <f>'Budget Detail FY 2012-19'!Q1067</f>
        <v>0</v>
      </c>
      <c r="G862" s="146">
        <f>'Budget Detail FY 2012-19'!R1067</f>
        <v>0</v>
      </c>
      <c r="H862" s="146">
        <f>'Budget Detail FY 2012-19'!S1067</f>
        <v>0</v>
      </c>
      <c r="I862" s="146">
        <f>'Budget Detail FY 2012-19'!T1067</f>
        <v>0</v>
      </c>
      <c r="J862" s="146">
        <f>'Budget Detail FY 2012-19'!U1067</f>
        <v>0</v>
      </c>
      <c r="K862" s="146">
        <f>'Budget Detail FY 2012-19'!V1067</f>
        <v>0</v>
      </c>
      <c r="L862" s="586" t="s">
        <v>1299</v>
      </c>
    </row>
    <row r="863" spans="2:12" s="175" customFormat="1" ht="15" hidden="1">
      <c r="B863" s="181"/>
      <c r="C863" s="190">
        <f>C861-C862</f>
        <v>0</v>
      </c>
      <c r="D863" s="190">
        <f t="shared" ref="D863:K863" si="135">D861-D862</f>
        <v>0</v>
      </c>
      <c r="E863" s="190">
        <f t="shared" si="135"/>
        <v>0</v>
      </c>
      <c r="F863" s="190">
        <f t="shared" si="135"/>
        <v>0</v>
      </c>
      <c r="G863" s="190">
        <f t="shared" si="135"/>
        <v>0</v>
      </c>
      <c r="H863" s="190">
        <f t="shared" si="135"/>
        <v>0</v>
      </c>
      <c r="I863" s="190">
        <f t="shared" si="135"/>
        <v>0</v>
      </c>
      <c r="J863" s="190">
        <f t="shared" si="135"/>
        <v>0</v>
      </c>
      <c r="K863" s="190">
        <f t="shared" si="135"/>
        <v>0</v>
      </c>
      <c r="L863" s="587" t="s">
        <v>1300</v>
      </c>
    </row>
    <row r="864" spans="2:12" ht="15">
      <c r="B864" s="183"/>
      <c r="C864" s="3"/>
      <c r="D864" s="2"/>
      <c r="E864" s="2"/>
      <c r="F864" s="2"/>
      <c r="G864" s="2"/>
      <c r="H864" s="2"/>
      <c r="I864" s="2"/>
      <c r="J864" s="2"/>
      <c r="K864" s="2"/>
    </row>
    <row r="865" spans="2:12" ht="20.100000000000001" customHeight="1" thickBot="1">
      <c r="B865" s="171" t="s">
        <v>938</v>
      </c>
      <c r="C865" s="91">
        <v>0</v>
      </c>
      <c r="D865" s="91">
        <v>0</v>
      </c>
      <c r="E865" s="91">
        <v>0</v>
      </c>
      <c r="F865" s="91">
        <f>D865+F861</f>
        <v>0</v>
      </c>
      <c r="G865" s="91">
        <f>F865+G861</f>
        <v>0</v>
      </c>
      <c r="H865" s="91">
        <f>G865+H861</f>
        <v>0</v>
      </c>
      <c r="I865" s="91">
        <f>H865+I861</f>
        <v>0</v>
      </c>
      <c r="J865" s="91">
        <f>I865+J861</f>
        <v>0</v>
      </c>
      <c r="K865" s="91">
        <f>J865+K861</f>
        <v>0</v>
      </c>
      <c r="L865" s="173"/>
    </row>
    <row r="866" spans="2:12" s="173" customFormat="1" ht="15.75" hidden="1" thickTop="1">
      <c r="B866" s="174"/>
      <c r="C866" s="146">
        <f>'Budget Detail FY 2012-19'!N1069</f>
        <v>0</v>
      </c>
      <c r="D866" s="146">
        <f>'Budget Detail FY 2012-19'!O1069</f>
        <v>0</v>
      </c>
      <c r="E866" s="146">
        <f>'Budget Detail FY 2012-19'!P1069</f>
        <v>0</v>
      </c>
      <c r="F866" s="146">
        <f>'Budget Detail FY 2012-19'!Q1069</f>
        <v>0</v>
      </c>
      <c r="G866" s="146">
        <f>'Budget Detail FY 2012-19'!R1069</f>
        <v>0</v>
      </c>
      <c r="H866" s="146">
        <f>'Budget Detail FY 2012-19'!S1069</f>
        <v>0</v>
      </c>
      <c r="I866" s="146">
        <f>'Budget Detail FY 2012-19'!T1069</f>
        <v>0</v>
      </c>
      <c r="J866" s="146">
        <f>'Budget Detail FY 2012-19'!U1069</f>
        <v>0</v>
      </c>
      <c r="K866" s="146">
        <f>'Budget Detail FY 2012-19'!V1069</f>
        <v>0</v>
      </c>
      <c r="L866" s="586" t="s">
        <v>1299</v>
      </c>
    </row>
    <row r="867" spans="2:12" s="175" customFormat="1" ht="15" hidden="1">
      <c r="B867" s="176"/>
      <c r="C867" s="182">
        <f>C865-C866</f>
        <v>0</v>
      </c>
      <c r="D867" s="182">
        <f t="shared" ref="D867:K867" si="136">D865-D866</f>
        <v>0</v>
      </c>
      <c r="E867" s="182">
        <f t="shared" si="136"/>
        <v>0</v>
      </c>
      <c r="F867" s="182">
        <f t="shared" si="136"/>
        <v>0</v>
      </c>
      <c r="G867" s="182">
        <f t="shared" si="136"/>
        <v>0</v>
      </c>
      <c r="H867" s="182">
        <f t="shared" si="136"/>
        <v>0</v>
      </c>
      <c r="I867" s="182">
        <f t="shared" si="136"/>
        <v>0</v>
      </c>
      <c r="J867" s="182">
        <f t="shared" si="136"/>
        <v>0</v>
      </c>
      <c r="K867" s="182">
        <f t="shared" si="136"/>
        <v>0</v>
      </c>
      <c r="L867" s="587" t="s">
        <v>1300</v>
      </c>
    </row>
    <row r="868" spans="2:12" ht="15.75" thickTop="1">
      <c r="B868" s="184"/>
      <c r="C868" s="3"/>
      <c r="D868" s="3"/>
      <c r="E868" s="3"/>
      <c r="F868" s="2"/>
      <c r="G868" s="2"/>
      <c r="H868" s="2"/>
      <c r="I868" s="2"/>
      <c r="J868" s="2"/>
      <c r="K868" s="2"/>
    </row>
    <row r="869" spans="2:12" ht="15">
      <c r="B869" s="184"/>
      <c r="C869" s="3"/>
      <c r="D869" s="3"/>
      <c r="E869" s="3"/>
      <c r="F869" s="2"/>
      <c r="G869" s="2"/>
      <c r="H869" s="2"/>
      <c r="I869" s="2"/>
      <c r="J869" s="2"/>
      <c r="K869" s="2"/>
    </row>
    <row r="870" spans="2:12" ht="15">
      <c r="B870" s="184"/>
      <c r="C870" s="2"/>
      <c r="D870" s="2"/>
      <c r="E870" s="2"/>
      <c r="F870" s="2"/>
      <c r="G870" s="2"/>
      <c r="H870" s="2"/>
      <c r="I870" s="2"/>
      <c r="J870" s="2"/>
      <c r="K870" s="2"/>
    </row>
    <row r="871" spans="2:12" ht="15">
      <c r="B871" s="1"/>
      <c r="C871" s="2"/>
      <c r="D871" s="2"/>
      <c r="E871" s="2"/>
      <c r="F871" s="2"/>
      <c r="G871" s="2"/>
      <c r="H871" s="2"/>
      <c r="I871" s="2"/>
      <c r="J871" s="2"/>
      <c r="K871" s="2"/>
    </row>
    <row r="872" spans="2:12" ht="15">
      <c r="B872" s="1"/>
      <c r="C872" s="2"/>
      <c r="D872" s="2"/>
      <c r="E872" s="2"/>
      <c r="F872" s="2"/>
      <c r="G872" s="2"/>
      <c r="H872" s="2"/>
      <c r="I872" s="2"/>
      <c r="J872" s="2"/>
      <c r="K872" s="2"/>
    </row>
    <row r="873" spans="2:12" ht="15">
      <c r="B873" s="1"/>
      <c r="C873" s="2"/>
      <c r="D873" s="2"/>
      <c r="E873" s="2"/>
      <c r="F873" s="2"/>
      <c r="G873" s="2"/>
      <c r="H873" s="2"/>
      <c r="I873" s="2"/>
      <c r="J873" s="2"/>
      <c r="K873" s="2"/>
    </row>
    <row r="874" spans="2:12" ht="15">
      <c r="B874" s="1"/>
      <c r="C874" s="2"/>
      <c r="D874" s="2"/>
      <c r="E874" s="2"/>
      <c r="F874" s="2"/>
      <c r="G874" s="2"/>
      <c r="H874" s="2"/>
      <c r="I874" s="2"/>
      <c r="J874" s="2"/>
      <c r="K874" s="2"/>
    </row>
    <row r="875" spans="2:12" ht="15">
      <c r="B875" s="1"/>
      <c r="C875" s="2"/>
      <c r="D875" s="2"/>
      <c r="E875" s="2"/>
      <c r="F875" s="2"/>
      <c r="G875" s="2"/>
      <c r="H875" s="2"/>
      <c r="I875" s="2"/>
      <c r="J875" s="2"/>
      <c r="K875" s="2"/>
    </row>
    <row r="876" spans="2:12" ht="15">
      <c r="B876" s="1"/>
      <c r="C876" s="2"/>
      <c r="D876" s="2"/>
      <c r="E876" s="2"/>
      <c r="F876" s="2"/>
      <c r="G876" s="2"/>
      <c r="H876" s="2"/>
      <c r="I876" s="2"/>
      <c r="J876" s="2"/>
      <c r="K876" s="2"/>
    </row>
    <row r="877" spans="2:12" ht="15">
      <c r="B877" s="1"/>
      <c r="C877" s="2"/>
      <c r="D877" s="2"/>
      <c r="E877" s="2"/>
      <c r="F877" s="2"/>
      <c r="G877" s="2"/>
      <c r="H877" s="2"/>
      <c r="I877" s="2"/>
      <c r="J877" s="2"/>
      <c r="K877" s="2"/>
    </row>
    <row r="878" spans="2:12" ht="15">
      <c r="B878" s="1"/>
      <c r="C878" s="2"/>
      <c r="D878" s="2"/>
      <c r="E878" s="2"/>
      <c r="F878" s="2"/>
      <c r="G878" s="2"/>
      <c r="H878" s="2"/>
      <c r="I878" s="2"/>
      <c r="J878" s="2"/>
      <c r="K878" s="2"/>
    </row>
    <row r="879" spans="2:12" ht="15">
      <c r="B879" s="1"/>
      <c r="C879" s="2"/>
      <c r="D879" s="2"/>
      <c r="E879" s="2"/>
      <c r="F879" s="2"/>
      <c r="G879" s="2"/>
      <c r="H879" s="2"/>
      <c r="I879" s="2"/>
      <c r="J879" s="2"/>
      <c r="K879" s="2"/>
    </row>
    <row r="880" spans="2:12" ht="15">
      <c r="B880" s="1"/>
      <c r="C880" s="2"/>
      <c r="D880" s="2"/>
      <c r="E880" s="2"/>
      <c r="F880" s="2"/>
      <c r="G880" s="2"/>
      <c r="H880" s="2"/>
      <c r="I880" s="2"/>
      <c r="J880" s="2"/>
      <c r="K880" s="2"/>
    </row>
    <row r="881" spans="2:12" ht="15">
      <c r="B881" s="1"/>
      <c r="C881" s="2"/>
      <c r="D881" s="2"/>
      <c r="E881" s="2"/>
      <c r="F881" s="2"/>
      <c r="G881" s="2"/>
      <c r="H881" s="2"/>
      <c r="I881" s="2"/>
      <c r="J881" s="2"/>
      <c r="K881" s="2"/>
    </row>
    <row r="883" spans="2:12" ht="18.75" customHeight="1">
      <c r="B883" s="722" t="s">
        <v>965</v>
      </c>
      <c r="C883" s="722"/>
      <c r="D883" s="722"/>
      <c r="E883" s="722"/>
      <c r="F883" s="722"/>
      <c r="G883" s="722"/>
      <c r="H883" s="722"/>
      <c r="I883" s="722"/>
      <c r="J883" s="722"/>
      <c r="K883" s="722"/>
    </row>
    <row r="884" spans="2:12" ht="15">
      <c r="B884" s="72"/>
      <c r="C884" s="3"/>
      <c r="D884" s="2"/>
      <c r="E884" s="2"/>
      <c r="F884" s="2"/>
      <c r="G884" s="2"/>
      <c r="H884" s="2"/>
      <c r="I884" s="2"/>
      <c r="J884" s="2"/>
      <c r="K884" s="2"/>
    </row>
    <row r="885" spans="2:12" ht="12.75" customHeight="1">
      <c r="B885" s="715" t="s">
        <v>966</v>
      </c>
      <c r="C885" s="715"/>
      <c r="D885" s="715"/>
      <c r="E885" s="715"/>
      <c r="F885" s="715"/>
      <c r="G885" s="715"/>
      <c r="H885" s="715"/>
      <c r="I885" s="715"/>
      <c r="J885" s="715"/>
      <c r="K885" s="715"/>
    </row>
    <row r="886" spans="2:12" ht="18.75" customHeight="1">
      <c r="B886" s="715"/>
      <c r="C886" s="715"/>
      <c r="D886" s="715"/>
      <c r="E886" s="715"/>
      <c r="F886" s="715"/>
      <c r="G886" s="715"/>
      <c r="H886" s="715"/>
      <c r="I886" s="715"/>
      <c r="J886" s="715"/>
      <c r="K886" s="715"/>
    </row>
    <row r="887" spans="2:12" ht="15">
      <c r="B887" s="686"/>
      <c r="C887" s="25"/>
      <c r="D887" s="25"/>
      <c r="E887" s="25"/>
      <c r="F887" s="25"/>
      <c r="G887" s="25"/>
      <c r="H887" s="25"/>
      <c r="I887" s="2"/>
      <c r="J887" s="2"/>
      <c r="K887" s="2"/>
    </row>
    <row r="888" spans="2:12" ht="15">
      <c r="B888" s="5"/>
      <c r="C888" s="72"/>
      <c r="D888" s="73"/>
      <c r="E888" s="72" t="s">
        <v>283</v>
      </c>
      <c r="F888" s="1"/>
      <c r="G888" s="1"/>
      <c r="H888" s="1"/>
      <c r="I888" s="1"/>
      <c r="J888" s="1"/>
      <c r="K888" s="1"/>
    </row>
    <row r="889" spans="2:12" ht="15">
      <c r="B889" s="73"/>
      <c r="C889" s="72" t="s">
        <v>229</v>
      </c>
      <c r="D889" s="96" t="s">
        <v>282</v>
      </c>
      <c r="E889" s="73" t="s">
        <v>917</v>
      </c>
      <c r="F889" s="73" t="s">
        <v>283</v>
      </c>
      <c r="G889" s="73" t="s">
        <v>298</v>
      </c>
      <c r="H889" s="73" t="s">
        <v>299</v>
      </c>
      <c r="I889" s="73" t="s">
        <v>300</v>
      </c>
      <c r="J889" s="73" t="s">
        <v>1087</v>
      </c>
      <c r="K889" s="73" t="s">
        <v>1224</v>
      </c>
    </row>
    <row r="890" spans="2:12" ht="15.75" thickBot="1">
      <c r="B890" s="188"/>
      <c r="C890" s="75" t="s">
        <v>1</v>
      </c>
      <c r="D890" s="75" t="s">
        <v>1</v>
      </c>
      <c r="E890" s="75" t="s">
        <v>871</v>
      </c>
      <c r="F890" s="75" t="s">
        <v>20</v>
      </c>
      <c r="G890" s="75" t="s">
        <v>917</v>
      </c>
      <c r="H890" s="75" t="s">
        <v>20</v>
      </c>
      <c r="I890" s="75" t="s">
        <v>20</v>
      </c>
      <c r="J890" s="75" t="s">
        <v>20</v>
      </c>
      <c r="K890" s="75" t="s">
        <v>20</v>
      </c>
    </row>
    <row r="891" spans="2:12" ht="15">
      <c r="B891" s="71"/>
      <c r="C891" s="189"/>
      <c r="D891" s="2"/>
      <c r="E891" s="2"/>
      <c r="F891" s="2"/>
      <c r="G891" s="2"/>
      <c r="H891" s="2"/>
      <c r="I891" s="2"/>
      <c r="J891" s="2"/>
      <c r="K891" s="2"/>
    </row>
    <row r="892" spans="2:12" ht="15">
      <c r="B892" s="177" t="s">
        <v>918</v>
      </c>
      <c r="C892" s="2"/>
      <c r="D892" s="2"/>
      <c r="E892" s="2"/>
      <c r="F892" s="2"/>
      <c r="G892" s="2"/>
      <c r="H892" s="2"/>
      <c r="I892" s="2"/>
      <c r="J892" s="2"/>
      <c r="K892" s="2"/>
    </row>
    <row r="893" spans="2:12" ht="20.100000000000001" customHeight="1">
      <c r="B893" s="687" t="s">
        <v>919</v>
      </c>
      <c r="C893" s="2">
        <f>'Budget Detail FY 2012-19'!N1073+'Budget Detail FY 2012-19'!N1074</f>
        <v>4188</v>
      </c>
      <c r="D893" s="2">
        <f>'Budget Detail FY 2012-19'!O1073+'Budget Detail FY 2012-19'!O1074</f>
        <v>0</v>
      </c>
      <c r="E893" s="2">
        <f>'Budget Detail FY 2012-19'!P1073+'Budget Detail FY 2012-19'!P1074</f>
        <v>0</v>
      </c>
      <c r="F893" s="2">
        <f>'Budget Detail FY 2012-19'!Q1073+'Budget Detail FY 2012-19'!Q1074</f>
        <v>0</v>
      </c>
      <c r="G893" s="2">
        <f>'Budget Detail FY 2012-19'!R1073+'Budget Detail FY 2012-19'!R1074</f>
        <v>20000</v>
      </c>
      <c r="H893" s="2">
        <f>'Budget Detail FY 2012-19'!S1073+'Budget Detail FY 2012-19'!S1074</f>
        <v>120000</v>
      </c>
      <c r="I893" s="2">
        <f>'Budget Detail FY 2012-19'!T1073+'Budget Detail FY 2012-19'!T1074</f>
        <v>120000</v>
      </c>
      <c r="J893" s="2">
        <f>'Budget Detail FY 2012-19'!U1073+'Budget Detail FY 2012-19'!U1074</f>
        <v>120000</v>
      </c>
      <c r="K893" s="2">
        <f>'Budget Detail FY 2012-19'!V1073+'Budget Detail FY 2012-19'!V1074</f>
        <v>120000</v>
      </c>
    </row>
    <row r="894" spans="2:12" ht="20.100000000000001" customHeight="1">
      <c r="B894" s="688" t="s">
        <v>924</v>
      </c>
      <c r="C894" s="2">
        <f>'Budget Detail FY 2012-19'!N1075</f>
        <v>2718</v>
      </c>
      <c r="D894" s="2">
        <f>'Budget Detail FY 2012-19'!O1075</f>
        <v>2132</v>
      </c>
      <c r="E894" s="2">
        <f>'Budget Detail FY 2012-19'!P1075</f>
        <v>1550</v>
      </c>
      <c r="F894" s="2">
        <f>'Budget Detail FY 2012-19'!Q1075</f>
        <v>106</v>
      </c>
      <c r="G894" s="2">
        <f>'Budget Detail FY 2012-19'!R1075</f>
        <v>0</v>
      </c>
      <c r="H894" s="2">
        <f>'Budget Detail FY 2012-19'!S1075</f>
        <v>0</v>
      </c>
      <c r="I894" s="2">
        <f>'Budget Detail FY 2012-19'!T1075</f>
        <v>0</v>
      </c>
      <c r="J894" s="2">
        <f>'Budget Detail FY 2012-19'!U1075</f>
        <v>0</v>
      </c>
      <c r="K894" s="2">
        <f>'Budget Detail FY 2012-19'!V1075</f>
        <v>0</v>
      </c>
    </row>
    <row r="895" spans="2:12" ht="20.100000000000001" customHeight="1" thickBot="1">
      <c r="B895" s="172" t="s">
        <v>928</v>
      </c>
      <c r="C895" s="169">
        <f>SUM(C893:C894)</f>
        <v>6906</v>
      </c>
      <c r="D895" s="169">
        <f t="shared" ref="D895:J895" si="137">SUM(D893:D894)</f>
        <v>2132</v>
      </c>
      <c r="E895" s="169">
        <f t="shared" si="137"/>
        <v>1550</v>
      </c>
      <c r="F895" s="169">
        <f t="shared" si="137"/>
        <v>106</v>
      </c>
      <c r="G895" s="169">
        <f t="shared" si="137"/>
        <v>20000</v>
      </c>
      <c r="H895" s="169">
        <f t="shared" si="137"/>
        <v>120000</v>
      </c>
      <c r="I895" s="169">
        <f t="shared" si="137"/>
        <v>120000</v>
      </c>
      <c r="J895" s="169">
        <f t="shared" si="137"/>
        <v>120000</v>
      </c>
      <c r="K895" s="169">
        <f>SUM(K893:K894)</f>
        <v>120000</v>
      </c>
      <c r="L895" s="173"/>
    </row>
    <row r="896" spans="2:12" s="173" customFormat="1" ht="15" hidden="1">
      <c r="B896" s="174"/>
      <c r="C896" s="146">
        <f>'Budget Detail FY 2012-19'!N1077</f>
        <v>6906</v>
      </c>
      <c r="D896" s="146">
        <f>'Budget Detail FY 2012-19'!O1077</f>
        <v>2132</v>
      </c>
      <c r="E896" s="146">
        <f>'Budget Detail FY 2012-19'!P1077</f>
        <v>1550</v>
      </c>
      <c r="F896" s="146">
        <f>'Budget Detail FY 2012-19'!Q1077</f>
        <v>106</v>
      </c>
      <c r="G896" s="146">
        <f>'Budget Detail FY 2012-19'!R1077</f>
        <v>20000</v>
      </c>
      <c r="H896" s="146">
        <f>'Budget Detail FY 2012-19'!S1077</f>
        <v>120000</v>
      </c>
      <c r="I896" s="146">
        <f>'Budget Detail FY 2012-19'!T1077</f>
        <v>120000</v>
      </c>
      <c r="J896" s="146">
        <f>'Budget Detail FY 2012-19'!U1077</f>
        <v>120000</v>
      </c>
      <c r="K896" s="146">
        <f>'Budget Detail FY 2012-19'!V1077</f>
        <v>120000</v>
      </c>
      <c r="L896" s="586" t="s">
        <v>1299</v>
      </c>
    </row>
    <row r="897" spans="2:12" s="175" customFormat="1" ht="15" hidden="1">
      <c r="B897" s="176"/>
      <c r="C897" s="182">
        <f>C895-C896</f>
        <v>0</v>
      </c>
      <c r="D897" s="182">
        <f t="shared" ref="D897:K897" si="138">D895-D896</f>
        <v>0</v>
      </c>
      <c r="E897" s="182">
        <f t="shared" si="138"/>
        <v>0</v>
      </c>
      <c r="F897" s="182">
        <f t="shared" si="138"/>
        <v>0</v>
      </c>
      <c r="G897" s="182">
        <f t="shared" si="138"/>
        <v>0</v>
      </c>
      <c r="H897" s="182">
        <f t="shared" si="138"/>
        <v>0</v>
      </c>
      <c r="I897" s="182">
        <f t="shared" si="138"/>
        <v>0</v>
      </c>
      <c r="J897" s="182">
        <f t="shared" si="138"/>
        <v>0</v>
      </c>
      <c r="K897" s="182">
        <f t="shared" si="138"/>
        <v>0</v>
      </c>
      <c r="L897" s="587" t="s">
        <v>1300</v>
      </c>
    </row>
    <row r="898" spans="2:12" ht="15">
      <c r="B898" s="1"/>
      <c r="C898" s="2"/>
      <c r="D898" s="2"/>
      <c r="E898" s="2"/>
      <c r="F898" s="2"/>
      <c r="G898" s="2"/>
      <c r="H898" s="2"/>
      <c r="I898" s="2"/>
      <c r="J898" s="2"/>
      <c r="K898" s="2"/>
    </row>
    <row r="899" spans="2:12" ht="15">
      <c r="B899" s="177" t="s">
        <v>659</v>
      </c>
      <c r="C899" s="2"/>
      <c r="D899" s="2"/>
      <c r="E899" s="2"/>
      <c r="F899" s="2"/>
      <c r="G899" s="2"/>
      <c r="H899" s="2"/>
      <c r="I899" s="2"/>
      <c r="J899" s="2"/>
      <c r="K899" s="2"/>
    </row>
    <row r="900" spans="2:12" ht="20.100000000000001" customHeight="1">
      <c r="B900" s="689" t="s">
        <v>931</v>
      </c>
      <c r="C900" s="2">
        <f>SUM('Budget Detail FY 2012-19'!N1079:N1082)</f>
        <v>1442</v>
      </c>
      <c r="D900" s="2">
        <f>SUM('Budget Detail FY 2012-19'!O1079:O1082)</f>
        <v>3002</v>
      </c>
      <c r="E900" s="2">
        <f>SUM('Budget Detail FY 2012-19'!P1079:P1082)</f>
        <v>1802375</v>
      </c>
      <c r="F900" s="2">
        <f>SUM('Budget Detail FY 2012-19'!Q1079:Q1082)</f>
        <v>1802375</v>
      </c>
      <c r="G900" s="2">
        <f>SUM('Budget Detail FY 2012-19'!R1079:R1082)</f>
        <v>23325</v>
      </c>
      <c r="H900" s="2">
        <f>SUM('Budget Detail FY 2012-19'!S1079:S1082)</f>
        <v>23325</v>
      </c>
      <c r="I900" s="2">
        <f>SUM('Budget Detail FY 2012-19'!T1079:T1082)</f>
        <v>23325</v>
      </c>
      <c r="J900" s="2">
        <f>SUM('Budget Detail FY 2012-19'!U1079:U1082)</f>
        <v>23325</v>
      </c>
      <c r="K900" s="2">
        <f>SUM('Budget Detail FY 2012-19'!V1079:V1082)</f>
        <v>23325</v>
      </c>
    </row>
    <row r="901" spans="2:12" ht="20.100000000000001" customHeight="1">
      <c r="B901" s="689" t="s">
        <v>852</v>
      </c>
      <c r="C901" s="2">
        <f>SUM('Budget Detail FY 2012-19'!N1084:N1088)</f>
        <v>306143</v>
      </c>
      <c r="D901" s="2">
        <f>SUM('Budget Detail FY 2012-19'!O1084:O1088)</f>
        <v>304668</v>
      </c>
      <c r="E901" s="2">
        <f>SUM('Budget Detail FY 2012-19'!P1084:P1088)</f>
        <v>302738</v>
      </c>
      <c r="F901" s="2">
        <f>SUM('Budget Detail FY 2012-19'!Q1084:Q1088)</f>
        <v>302738</v>
      </c>
      <c r="G901" s="2">
        <f>SUM('Budget Detail FY 2012-19'!R1084:R1088)</f>
        <v>68073</v>
      </c>
      <c r="H901" s="2">
        <f>SUM('Budget Detail FY 2012-19'!S1084:S1088)</f>
        <v>93431</v>
      </c>
      <c r="I901" s="2">
        <f>SUM('Budget Detail FY 2012-19'!T1084:T1088)</f>
        <v>118788</v>
      </c>
      <c r="J901" s="2">
        <f>SUM('Budget Detail FY 2012-19'!U1084:U1088)</f>
        <v>118788</v>
      </c>
      <c r="K901" s="2">
        <f>SUM('Budget Detail FY 2012-19'!V1084:V1088)</f>
        <v>118788</v>
      </c>
    </row>
    <row r="902" spans="2:12" ht="20.100000000000001" customHeight="1" thickBot="1">
      <c r="B902" s="172" t="s">
        <v>936</v>
      </c>
      <c r="C902" s="169">
        <f>SUM(C900:C901)</f>
        <v>307585</v>
      </c>
      <c r="D902" s="169">
        <f t="shared" ref="D902:J902" si="139">SUM(D900:D901)</f>
        <v>307670</v>
      </c>
      <c r="E902" s="169">
        <f t="shared" si="139"/>
        <v>2105113</v>
      </c>
      <c r="F902" s="169">
        <f t="shared" si="139"/>
        <v>2105113</v>
      </c>
      <c r="G902" s="169">
        <f t="shared" si="139"/>
        <v>91398</v>
      </c>
      <c r="H902" s="169">
        <f t="shared" si="139"/>
        <v>116756</v>
      </c>
      <c r="I902" s="169">
        <f t="shared" si="139"/>
        <v>142113</v>
      </c>
      <c r="J902" s="169">
        <f t="shared" si="139"/>
        <v>142113</v>
      </c>
      <c r="K902" s="169">
        <f>SUM(K900:K901)</f>
        <v>142113</v>
      </c>
      <c r="L902" s="173"/>
    </row>
    <row r="903" spans="2:12" s="173" customFormat="1" ht="15" hidden="1">
      <c r="B903" s="174"/>
      <c r="C903" s="146">
        <f>'Budget Detail FY 2012-19'!N1090</f>
        <v>307585</v>
      </c>
      <c r="D903" s="146">
        <f>'Budget Detail FY 2012-19'!O1090</f>
        <v>307670</v>
      </c>
      <c r="E903" s="146">
        <f>'Budget Detail FY 2012-19'!P1090</f>
        <v>2105113</v>
      </c>
      <c r="F903" s="146">
        <f>'Budget Detail FY 2012-19'!Q1090</f>
        <v>2105113</v>
      </c>
      <c r="G903" s="146">
        <f>'Budget Detail FY 2012-19'!R1090</f>
        <v>91398</v>
      </c>
      <c r="H903" s="146">
        <f>'Budget Detail FY 2012-19'!S1090</f>
        <v>116756</v>
      </c>
      <c r="I903" s="146">
        <f>'Budget Detail FY 2012-19'!T1090</f>
        <v>142113</v>
      </c>
      <c r="J903" s="146">
        <f>'Budget Detail FY 2012-19'!U1090</f>
        <v>142113</v>
      </c>
      <c r="K903" s="146">
        <f>'Budget Detail FY 2012-19'!V1090</f>
        <v>142113</v>
      </c>
      <c r="L903" s="586" t="s">
        <v>1299</v>
      </c>
    </row>
    <row r="904" spans="2:12" s="175" customFormat="1" ht="15" hidden="1">
      <c r="B904" s="176"/>
      <c r="C904" s="182">
        <f>C902-C903</f>
        <v>0</v>
      </c>
      <c r="D904" s="182">
        <f t="shared" ref="D904:K904" si="140">D902-D903</f>
        <v>0</v>
      </c>
      <c r="E904" s="182">
        <f t="shared" si="140"/>
        <v>0</v>
      </c>
      <c r="F904" s="182">
        <f t="shared" si="140"/>
        <v>0</v>
      </c>
      <c r="G904" s="182">
        <f t="shared" si="140"/>
        <v>0</v>
      </c>
      <c r="H904" s="182">
        <f t="shared" si="140"/>
        <v>0</v>
      </c>
      <c r="I904" s="182">
        <f t="shared" si="140"/>
        <v>0</v>
      </c>
      <c r="J904" s="182">
        <f t="shared" si="140"/>
        <v>0</v>
      </c>
      <c r="K904" s="182">
        <f t="shared" si="140"/>
        <v>0</v>
      </c>
      <c r="L904" s="587" t="s">
        <v>1300</v>
      </c>
    </row>
    <row r="905" spans="2:12" ht="15">
      <c r="B905" s="179"/>
      <c r="C905" s="3"/>
      <c r="D905" s="2"/>
      <c r="E905" s="2"/>
      <c r="F905" s="2"/>
      <c r="G905" s="2"/>
      <c r="H905" s="2"/>
      <c r="I905" s="2"/>
      <c r="J905" s="2"/>
      <c r="K905" s="2"/>
    </row>
    <row r="906" spans="2:12" ht="20.100000000000001" customHeight="1">
      <c r="B906" s="691" t="s">
        <v>937</v>
      </c>
      <c r="C906" s="3">
        <f>+C895-C902</f>
        <v>-300679</v>
      </c>
      <c r="D906" s="3">
        <f t="shared" ref="D906:J906" si="141">+D895-D902</f>
        <v>-305538</v>
      </c>
      <c r="E906" s="3">
        <f t="shared" si="141"/>
        <v>-2103563</v>
      </c>
      <c r="F906" s="3">
        <f t="shared" si="141"/>
        <v>-2105007</v>
      </c>
      <c r="G906" s="3">
        <f t="shared" si="141"/>
        <v>-71398</v>
      </c>
      <c r="H906" s="3">
        <f t="shared" si="141"/>
        <v>3244</v>
      </c>
      <c r="I906" s="3">
        <f t="shared" si="141"/>
        <v>-22113</v>
      </c>
      <c r="J906" s="3">
        <f t="shared" si="141"/>
        <v>-22113</v>
      </c>
      <c r="K906" s="3">
        <f>+K895-K902</f>
        <v>-22113</v>
      </c>
      <c r="L906" s="173"/>
    </row>
    <row r="907" spans="2:12" s="173" customFormat="1" ht="15" hidden="1">
      <c r="B907" s="180"/>
      <c r="C907" s="146">
        <f>'Budget Detail FY 2012-19'!N1092</f>
        <v>-300679</v>
      </c>
      <c r="D907" s="146">
        <f>'Budget Detail FY 2012-19'!O1092</f>
        <v>-305538</v>
      </c>
      <c r="E907" s="146">
        <f>'Budget Detail FY 2012-19'!P1092</f>
        <v>-2103563</v>
      </c>
      <c r="F907" s="146">
        <f>'Budget Detail FY 2012-19'!Q1092</f>
        <v>-2105007</v>
      </c>
      <c r="G907" s="146">
        <f>'Budget Detail FY 2012-19'!R1092</f>
        <v>-71398</v>
      </c>
      <c r="H907" s="146">
        <f>'Budget Detail FY 2012-19'!S1092</f>
        <v>3244</v>
      </c>
      <c r="I907" s="146">
        <f>'Budget Detail FY 2012-19'!T1092</f>
        <v>-22113</v>
      </c>
      <c r="J907" s="146">
        <f>'Budget Detail FY 2012-19'!U1092</f>
        <v>-22113</v>
      </c>
      <c r="K907" s="146">
        <f>'Budget Detail FY 2012-19'!V1092</f>
        <v>-22113</v>
      </c>
      <c r="L907" s="586" t="s">
        <v>1299</v>
      </c>
    </row>
    <row r="908" spans="2:12" s="175" customFormat="1" ht="15" hidden="1">
      <c r="B908" s="181"/>
      <c r="C908" s="182">
        <f>C906-C907</f>
        <v>0</v>
      </c>
      <c r="D908" s="182">
        <f t="shared" ref="D908:K908" si="142">D906-D907</f>
        <v>0</v>
      </c>
      <c r="E908" s="182">
        <f t="shared" si="142"/>
        <v>0</v>
      </c>
      <c r="F908" s="182">
        <f t="shared" si="142"/>
        <v>0</v>
      </c>
      <c r="G908" s="182">
        <f t="shared" si="142"/>
        <v>0</v>
      </c>
      <c r="H908" s="182">
        <f t="shared" si="142"/>
        <v>0</v>
      </c>
      <c r="I908" s="182">
        <f t="shared" si="142"/>
        <v>0</v>
      </c>
      <c r="J908" s="182">
        <f t="shared" si="142"/>
        <v>0</v>
      </c>
      <c r="K908" s="182">
        <f t="shared" si="142"/>
        <v>0</v>
      </c>
      <c r="L908" s="587" t="s">
        <v>1300</v>
      </c>
    </row>
    <row r="909" spans="2:12" ht="15">
      <c r="B909" s="183"/>
      <c r="C909" s="3"/>
      <c r="D909" s="2"/>
      <c r="E909" s="2"/>
      <c r="F909" s="2"/>
      <c r="G909" s="2"/>
      <c r="H909" s="2"/>
      <c r="I909" s="2"/>
      <c r="J909" s="2"/>
      <c r="K909" s="2"/>
    </row>
    <row r="910" spans="2:12" ht="20.100000000000001" customHeight="1" thickBot="1">
      <c r="B910" s="171" t="s">
        <v>938</v>
      </c>
      <c r="C910" s="91">
        <v>1877872</v>
      </c>
      <c r="D910" s="91">
        <v>1572335</v>
      </c>
      <c r="E910" s="91">
        <v>-529634</v>
      </c>
      <c r="F910" s="91">
        <f>D910+F906</f>
        <v>-532672</v>
      </c>
      <c r="G910" s="91">
        <f>F910+G906</f>
        <v>-604070</v>
      </c>
      <c r="H910" s="91">
        <f>G910+H906</f>
        <v>-600826</v>
      </c>
      <c r="I910" s="91">
        <f>H910+I906</f>
        <v>-622939</v>
      </c>
      <c r="J910" s="91">
        <f>I910+J906</f>
        <v>-645052</v>
      </c>
      <c r="K910" s="91">
        <f>J910+K906</f>
        <v>-667165</v>
      </c>
      <c r="L910" s="173"/>
    </row>
    <row r="911" spans="2:12" s="173" customFormat="1" ht="15.75" hidden="1" thickTop="1">
      <c r="B911" s="174"/>
      <c r="C911" s="146">
        <f>'Budget Detail FY 2012-19'!N1094</f>
        <v>1877872</v>
      </c>
      <c r="D911" s="146">
        <f>'Budget Detail FY 2012-19'!O1094</f>
        <v>1572335</v>
      </c>
      <c r="E911" s="146">
        <f>'Budget Detail FY 2012-19'!P1094</f>
        <v>-529634</v>
      </c>
      <c r="F911" s="146">
        <f>'Budget Detail FY 2012-19'!Q1094</f>
        <v>-532672</v>
      </c>
      <c r="G911" s="146">
        <f>'Budget Detail FY 2012-19'!R1094</f>
        <v>-604070</v>
      </c>
      <c r="H911" s="146">
        <f>'Budget Detail FY 2012-19'!S1094</f>
        <v>-600826</v>
      </c>
      <c r="I911" s="146">
        <f>'Budget Detail FY 2012-19'!T1094</f>
        <v>-622939</v>
      </c>
      <c r="J911" s="146">
        <f>'Budget Detail FY 2012-19'!U1094</f>
        <v>-645052</v>
      </c>
      <c r="K911" s="146">
        <f>'Budget Detail FY 2012-19'!V1094</f>
        <v>-667165</v>
      </c>
      <c r="L911" s="586" t="s">
        <v>1299</v>
      </c>
    </row>
    <row r="912" spans="2:12" s="175" customFormat="1" ht="15" hidden="1">
      <c r="B912" s="176"/>
      <c r="C912" s="182">
        <f>C910-C911</f>
        <v>0</v>
      </c>
      <c r="D912" s="182">
        <f t="shared" ref="D912:K912" si="143">D910-D911</f>
        <v>0</v>
      </c>
      <c r="E912" s="182">
        <f t="shared" si="143"/>
        <v>0</v>
      </c>
      <c r="F912" s="182">
        <f t="shared" si="143"/>
        <v>0</v>
      </c>
      <c r="G912" s="182">
        <f t="shared" si="143"/>
        <v>0</v>
      </c>
      <c r="H912" s="182">
        <f t="shared" si="143"/>
        <v>0</v>
      </c>
      <c r="I912" s="182">
        <f t="shared" si="143"/>
        <v>0</v>
      </c>
      <c r="J912" s="182">
        <f t="shared" si="143"/>
        <v>0</v>
      </c>
      <c r="K912" s="182">
        <f t="shared" si="143"/>
        <v>0</v>
      </c>
      <c r="L912" s="587" t="s">
        <v>1300</v>
      </c>
    </row>
    <row r="913" spans="2:11" ht="15.75" thickTop="1">
      <c r="B913" s="184"/>
      <c r="C913" s="3"/>
      <c r="D913" s="3"/>
      <c r="E913" s="3"/>
      <c r="F913" s="2"/>
      <c r="G913" s="2"/>
      <c r="H913" s="2"/>
      <c r="I913" s="2"/>
      <c r="J913" s="2"/>
      <c r="K913" s="2"/>
    </row>
    <row r="914" spans="2:11" ht="15">
      <c r="B914" s="184"/>
      <c r="C914" s="3"/>
      <c r="D914" s="3"/>
      <c r="E914" s="3"/>
      <c r="F914" s="2"/>
      <c r="G914" s="2"/>
      <c r="H914" s="2"/>
      <c r="I914" s="2"/>
      <c r="J914" s="2"/>
      <c r="K914" s="2"/>
    </row>
    <row r="915" spans="2:11" ht="15">
      <c r="B915" s="184"/>
      <c r="C915" s="2"/>
      <c r="D915" s="2"/>
      <c r="E915" s="2"/>
      <c r="F915" s="2"/>
      <c r="G915" s="2"/>
      <c r="H915" s="2"/>
      <c r="I915" s="2"/>
      <c r="J915" s="2"/>
      <c r="K915" s="2"/>
    </row>
    <row r="916" spans="2:11" ht="15">
      <c r="B916" s="1"/>
      <c r="C916" s="2"/>
      <c r="D916" s="2"/>
      <c r="E916" s="2"/>
      <c r="F916" s="2"/>
      <c r="G916" s="2"/>
      <c r="H916" s="2"/>
      <c r="I916" s="2"/>
      <c r="J916" s="2"/>
      <c r="K916" s="2"/>
    </row>
    <row r="917" spans="2:11" ht="15">
      <c r="B917" s="1"/>
      <c r="C917" s="2"/>
      <c r="D917" s="2"/>
      <c r="E917" s="2"/>
      <c r="F917" s="2"/>
      <c r="G917" s="2"/>
      <c r="H917" s="2"/>
      <c r="I917" s="2"/>
      <c r="J917" s="2"/>
      <c r="K917" s="2"/>
    </row>
    <row r="918" spans="2:11" ht="15">
      <c r="B918" s="1"/>
      <c r="C918" s="2"/>
      <c r="D918" s="2"/>
      <c r="E918" s="2"/>
      <c r="F918" s="2"/>
      <c r="G918" s="2"/>
      <c r="H918" s="2"/>
      <c r="I918" s="2"/>
      <c r="J918" s="2"/>
      <c r="K918" s="2"/>
    </row>
    <row r="919" spans="2:11" ht="15">
      <c r="B919" s="1"/>
      <c r="C919" s="2"/>
      <c r="D919" s="2"/>
      <c r="E919" s="2"/>
      <c r="F919" s="2"/>
      <c r="G919" s="2"/>
      <c r="H919" s="2"/>
      <c r="I919" s="2"/>
      <c r="J919" s="2"/>
      <c r="K919" s="2"/>
    </row>
    <row r="920" spans="2:11" ht="15">
      <c r="B920" s="1"/>
      <c r="C920" s="2"/>
      <c r="D920" s="2"/>
      <c r="E920" s="2"/>
      <c r="F920" s="2"/>
      <c r="G920" s="2"/>
      <c r="H920" s="2"/>
      <c r="I920" s="2"/>
      <c r="J920" s="2"/>
      <c r="K920" s="2"/>
    </row>
    <row r="921" spans="2:11" ht="15">
      <c r="B921" s="1"/>
      <c r="C921" s="2"/>
      <c r="D921" s="2"/>
      <c r="E921" s="2"/>
      <c r="F921" s="2"/>
      <c r="G921" s="2"/>
      <c r="H921" s="2"/>
      <c r="I921" s="2"/>
      <c r="J921" s="2"/>
      <c r="K921" s="2"/>
    </row>
    <row r="922" spans="2:11" ht="15">
      <c r="B922" s="1"/>
      <c r="C922" s="2"/>
      <c r="D922" s="2"/>
      <c r="E922" s="2"/>
      <c r="F922" s="2"/>
      <c r="G922" s="2"/>
      <c r="H922" s="2"/>
      <c r="I922" s="2"/>
      <c r="J922" s="2"/>
      <c r="K922" s="2"/>
    </row>
    <row r="923" spans="2:11" ht="15">
      <c r="B923" s="1"/>
      <c r="C923" s="2"/>
      <c r="D923" s="2"/>
      <c r="E923" s="2"/>
      <c r="F923" s="2"/>
      <c r="G923" s="2"/>
      <c r="H923" s="2"/>
      <c r="I923" s="2"/>
      <c r="J923" s="2"/>
      <c r="K923" s="2"/>
    </row>
    <row r="924" spans="2:11" ht="15">
      <c r="B924" s="1"/>
      <c r="C924" s="2"/>
      <c r="D924" s="2"/>
      <c r="E924" s="2"/>
      <c r="F924" s="2"/>
      <c r="G924" s="2"/>
      <c r="H924" s="2"/>
      <c r="I924" s="2"/>
      <c r="J924" s="2"/>
      <c r="K924" s="2"/>
    </row>
    <row r="925" spans="2:11" ht="15">
      <c r="B925" s="1"/>
      <c r="C925" s="2"/>
      <c r="D925" s="2"/>
      <c r="E925" s="2"/>
      <c r="F925" s="2"/>
      <c r="G925" s="2"/>
      <c r="H925" s="2"/>
      <c r="I925" s="2"/>
      <c r="J925" s="2"/>
      <c r="K925" s="2"/>
    </row>
    <row r="926" spans="2:11" ht="15">
      <c r="B926" s="1"/>
      <c r="C926" s="2"/>
      <c r="D926" s="2"/>
      <c r="E926" s="2"/>
      <c r="F926" s="2"/>
      <c r="G926" s="2"/>
      <c r="H926" s="2"/>
      <c r="I926" s="2"/>
      <c r="J926" s="2"/>
      <c r="K926" s="2"/>
    </row>
    <row r="927" spans="2:11" ht="15">
      <c r="B927" s="1"/>
      <c r="C927" s="2"/>
      <c r="D927" s="2"/>
      <c r="E927" s="2"/>
      <c r="F927" s="2"/>
      <c r="G927" s="2"/>
      <c r="H927" s="2"/>
      <c r="I927" s="2"/>
      <c r="J927" s="2"/>
      <c r="K927" s="2"/>
    </row>
    <row r="928" spans="2:11" ht="18.75">
      <c r="B928" s="722" t="s">
        <v>967</v>
      </c>
      <c r="C928" s="722"/>
      <c r="D928" s="722"/>
      <c r="E928" s="722"/>
      <c r="F928" s="722"/>
      <c r="G928" s="722"/>
      <c r="H928" s="722"/>
      <c r="I928" s="722"/>
      <c r="J928" s="722"/>
      <c r="K928" s="722"/>
    </row>
    <row r="929" spans="2:12" ht="15">
      <c r="B929" s="72"/>
      <c r="C929" s="3"/>
      <c r="D929" s="2"/>
      <c r="E929" s="2"/>
      <c r="F929" s="2"/>
      <c r="G929" s="2"/>
      <c r="H929" s="2"/>
      <c r="I929" s="2"/>
      <c r="J929" s="2"/>
      <c r="K929" s="2"/>
    </row>
    <row r="930" spans="2:12" ht="15" customHeight="1">
      <c r="B930" s="715" t="s">
        <v>968</v>
      </c>
      <c r="C930" s="715"/>
      <c r="D930" s="715"/>
      <c r="E930" s="715"/>
      <c r="F930" s="715"/>
      <c r="G930" s="715"/>
      <c r="H930" s="715"/>
      <c r="I930" s="715"/>
      <c r="J930" s="715"/>
      <c r="K930" s="715"/>
    </row>
    <row r="931" spans="2:12" ht="15">
      <c r="B931" s="686"/>
      <c r="C931" s="25"/>
      <c r="D931" s="25"/>
      <c r="E931" s="25"/>
      <c r="F931" s="25"/>
      <c r="G931" s="25"/>
      <c r="H931" s="25"/>
      <c r="I931" s="2"/>
      <c r="J931" s="2"/>
      <c r="K931" s="2"/>
    </row>
    <row r="932" spans="2:12" ht="15">
      <c r="B932" s="5"/>
      <c r="C932" s="72"/>
      <c r="D932" s="73"/>
      <c r="E932" s="72" t="s">
        <v>283</v>
      </c>
      <c r="F932" s="1"/>
      <c r="G932" s="1"/>
      <c r="H932" s="1"/>
      <c r="I932" s="1"/>
      <c r="J932" s="1"/>
      <c r="K932" s="1"/>
    </row>
    <row r="933" spans="2:12" ht="15">
      <c r="B933" s="73"/>
      <c r="C933" s="72" t="s">
        <v>229</v>
      </c>
      <c r="D933" s="96" t="s">
        <v>282</v>
      </c>
      <c r="E933" s="73" t="s">
        <v>917</v>
      </c>
      <c r="F933" s="73" t="s">
        <v>283</v>
      </c>
      <c r="G933" s="73" t="s">
        <v>298</v>
      </c>
      <c r="H933" s="73" t="s">
        <v>299</v>
      </c>
      <c r="I933" s="73" t="s">
        <v>300</v>
      </c>
      <c r="J933" s="73" t="s">
        <v>1087</v>
      </c>
      <c r="K933" s="73" t="s">
        <v>1224</v>
      </c>
    </row>
    <row r="934" spans="2:12" ht="15.75" thickBot="1">
      <c r="B934" s="188"/>
      <c r="C934" s="75" t="s">
        <v>1</v>
      </c>
      <c r="D934" s="75" t="s">
        <v>1</v>
      </c>
      <c r="E934" s="75" t="s">
        <v>871</v>
      </c>
      <c r="F934" s="75" t="s">
        <v>20</v>
      </c>
      <c r="G934" s="75" t="s">
        <v>917</v>
      </c>
      <c r="H934" s="75" t="s">
        <v>20</v>
      </c>
      <c r="I934" s="75" t="s">
        <v>20</v>
      </c>
      <c r="J934" s="75" t="s">
        <v>20</v>
      </c>
      <c r="K934" s="75" t="s">
        <v>20</v>
      </c>
    </row>
    <row r="935" spans="2:12" ht="15">
      <c r="B935" s="71"/>
      <c r="C935" s="189"/>
      <c r="D935" s="2"/>
      <c r="E935" s="2"/>
      <c r="F935" s="2"/>
      <c r="G935" s="2"/>
      <c r="H935" s="2"/>
      <c r="I935" s="2"/>
      <c r="J935" s="2"/>
      <c r="K935" s="2"/>
    </row>
    <row r="936" spans="2:12" ht="15">
      <c r="B936" s="177" t="s">
        <v>918</v>
      </c>
      <c r="C936" s="2"/>
      <c r="D936" s="2"/>
      <c r="E936" s="2"/>
      <c r="F936" s="2"/>
      <c r="G936" s="2"/>
      <c r="H936" s="2"/>
      <c r="I936" s="2"/>
      <c r="J936" s="2"/>
      <c r="K936" s="2"/>
    </row>
    <row r="937" spans="2:12" ht="20.100000000000001" customHeight="1">
      <c r="B937" s="687" t="s">
        <v>919</v>
      </c>
      <c r="C937" s="2">
        <f>SUM('Budget Detail FY 2012-19'!N1098:N1099)</f>
        <v>67807</v>
      </c>
      <c r="D937" s="2">
        <f>SUM('Budget Detail FY 2012-19'!O1098:O1099)</f>
        <v>39980</v>
      </c>
      <c r="E937" s="2">
        <f>SUM('Budget Detail FY 2012-19'!P1098:P1099)</f>
        <v>35000</v>
      </c>
      <c r="F937" s="2">
        <f>SUM('Budget Detail FY 2012-19'!Q1098:Q1099)</f>
        <v>59311</v>
      </c>
      <c r="G937" s="2">
        <f>SUM('Budget Detail FY 2012-19'!R1098:R1099)</f>
        <v>85000</v>
      </c>
      <c r="H937" s="2">
        <f>SUM('Budget Detail FY 2012-19'!S1098:S1099)</f>
        <v>85000</v>
      </c>
      <c r="I937" s="2">
        <f>SUM('Budget Detail FY 2012-19'!T1098:T1099)</f>
        <v>90000</v>
      </c>
      <c r="J937" s="2">
        <f>SUM('Budget Detail FY 2012-19'!U1098:U1099)</f>
        <v>90000</v>
      </c>
      <c r="K937" s="2">
        <f>SUM('Budget Detail FY 2012-19'!V1098:V1099)</f>
        <v>95000</v>
      </c>
    </row>
    <row r="938" spans="2:12" ht="20.100000000000001" customHeight="1">
      <c r="B938" s="688" t="s">
        <v>924</v>
      </c>
      <c r="C938" s="2">
        <f>'Budget Detail FY 2012-19'!N1100</f>
        <v>126</v>
      </c>
      <c r="D938" s="2">
        <f>'Budget Detail FY 2012-19'!O1100</f>
        <v>428</v>
      </c>
      <c r="E938" s="2">
        <f>'Budget Detail FY 2012-19'!P1100</f>
        <v>350</v>
      </c>
      <c r="F938" s="2">
        <f>'Budget Detail FY 2012-19'!Q1100</f>
        <v>75</v>
      </c>
      <c r="G938" s="2">
        <f>'Budget Detail FY 2012-19'!R1100</f>
        <v>75</v>
      </c>
      <c r="H938" s="2">
        <f>'Budget Detail FY 2012-19'!S1100</f>
        <v>75</v>
      </c>
      <c r="I938" s="2">
        <f>'Budget Detail FY 2012-19'!T1100</f>
        <v>75</v>
      </c>
      <c r="J938" s="2">
        <f>'Budget Detail FY 2012-19'!U1100</f>
        <v>75</v>
      </c>
      <c r="K938" s="2">
        <f>'Budget Detail FY 2012-19'!V1100</f>
        <v>75</v>
      </c>
    </row>
    <row r="939" spans="2:12" ht="20.100000000000001" customHeight="1">
      <c r="B939" s="688" t="s">
        <v>927</v>
      </c>
      <c r="C939" s="2">
        <f>'Budget Detail FY 2012-19'!N1101</f>
        <v>0</v>
      </c>
      <c r="D939" s="2">
        <f>'Budget Detail FY 2012-19'!O1101</f>
        <v>5000</v>
      </c>
      <c r="E939" s="2">
        <f>'Budget Detail FY 2012-19'!P1101</f>
        <v>0</v>
      </c>
      <c r="F939" s="2">
        <f>'Budget Detail FY 2012-19'!Q1101</f>
        <v>8500</v>
      </c>
      <c r="G939" s="2">
        <f>'Budget Detail FY 2012-19'!R1101</f>
        <v>0</v>
      </c>
      <c r="H939" s="2">
        <f>'Budget Detail FY 2012-19'!S1101</f>
        <v>0</v>
      </c>
      <c r="I939" s="2">
        <f>'Budget Detail FY 2012-19'!T1101</f>
        <v>0</v>
      </c>
      <c r="J939" s="2">
        <f>'Budget Detail FY 2012-19'!U1101</f>
        <v>0</v>
      </c>
      <c r="K939" s="2">
        <f>'Budget Detail FY 2012-19'!V1101</f>
        <v>0</v>
      </c>
    </row>
    <row r="940" spans="2:12" ht="20.100000000000001" customHeight="1" thickBot="1">
      <c r="B940" s="172" t="s">
        <v>928</v>
      </c>
      <c r="C940" s="169">
        <f>SUM(C937:C939)</f>
        <v>67933</v>
      </c>
      <c r="D940" s="169">
        <f t="shared" ref="D940:K940" si="144">SUM(D937:D939)</f>
        <v>45408</v>
      </c>
      <c r="E940" s="169">
        <f t="shared" si="144"/>
        <v>35350</v>
      </c>
      <c r="F940" s="169">
        <f t="shared" si="144"/>
        <v>67886</v>
      </c>
      <c r="G940" s="169">
        <f t="shared" si="144"/>
        <v>85075</v>
      </c>
      <c r="H940" s="169">
        <f t="shared" si="144"/>
        <v>85075</v>
      </c>
      <c r="I940" s="169">
        <f t="shared" si="144"/>
        <v>90075</v>
      </c>
      <c r="J940" s="169">
        <f t="shared" si="144"/>
        <v>90075</v>
      </c>
      <c r="K940" s="169">
        <f t="shared" si="144"/>
        <v>95075</v>
      </c>
      <c r="L940" s="173"/>
    </row>
    <row r="941" spans="2:12" s="173" customFormat="1" ht="15" hidden="1">
      <c r="B941" s="174"/>
      <c r="C941" s="146">
        <f>'Budget Detail FY 2012-19'!N1103</f>
        <v>67933</v>
      </c>
      <c r="D941" s="146">
        <f>'Budget Detail FY 2012-19'!O1103</f>
        <v>45408</v>
      </c>
      <c r="E941" s="146">
        <f>'Budget Detail FY 2012-19'!P1103</f>
        <v>35350</v>
      </c>
      <c r="F941" s="146">
        <f>'Budget Detail FY 2012-19'!Q1103</f>
        <v>67886</v>
      </c>
      <c r="G941" s="146">
        <f>'Budget Detail FY 2012-19'!R1103</f>
        <v>85075</v>
      </c>
      <c r="H941" s="146">
        <f>'Budget Detail FY 2012-19'!S1103</f>
        <v>85075</v>
      </c>
      <c r="I941" s="146">
        <f>'Budget Detail FY 2012-19'!T1103</f>
        <v>90075</v>
      </c>
      <c r="J941" s="146">
        <f>'Budget Detail FY 2012-19'!U1103</f>
        <v>90075</v>
      </c>
      <c r="K941" s="146">
        <f>'Budget Detail FY 2012-19'!V1103</f>
        <v>95075</v>
      </c>
      <c r="L941" s="586" t="s">
        <v>1299</v>
      </c>
    </row>
    <row r="942" spans="2:12" s="175" customFormat="1" ht="15" hidden="1">
      <c r="B942" s="176"/>
      <c r="C942" s="182">
        <f>C940-C941</f>
        <v>0</v>
      </c>
      <c r="D942" s="182">
        <f t="shared" ref="D942:K942" si="145">D940-D941</f>
        <v>0</v>
      </c>
      <c r="E942" s="182">
        <f t="shared" si="145"/>
        <v>0</v>
      </c>
      <c r="F942" s="182">
        <f t="shared" si="145"/>
        <v>0</v>
      </c>
      <c r="G942" s="182">
        <f t="shared" si="145"/>
        <v>0</v>
      </c>
      <c r="H942" s="182">
        <f t="shared" si="145"/>
        <v>0</v>
      </c>
      <c r="I942" s="182">
        <f t="shared" si="145"/>
        <v>0</v>
      </c>
      <c r="J942" s="182">
        <f t="shared" si="145"/>
        <v>0</v>
      </c>
      <c r="K942" s="182">
        <f t="shared" si="145"/>
        <v>0</v>
      </c>
      <c r="L942" s="587" t="s">
        <v>1300</v>
      </c>
    </row>
    <row r="943" spans="2:12" ht="15">
      <c r="B943" s="1"/>
      <c r="C943" s="2"/>
      <c r="D943" s="2"/>
      <c r="E943" s="2"/>
      <c r="F943" s="2"/>
      <c r="G943" s="2"/>
      <c r="H943" s="2"/>
      <c r="I943" s="2"/>
      <c r="J943" s="2"/>
      <c r="K943" s="2"/>
    </row>
    <row r="944" spans="2:12" ht="15">
      <c r="B944" s="177" t="s">
        <v>659</v>
      </c>
      <c r="C944" s="2"/>
      <c r="D944" s="2"/>
      <c r="E944" s="2"/>
      <c r="F944" s="2"/>
      <c r="G944" s="2"/>
      <c r="H944" s="2"/>
      <c r="I944" s="2"/>
      <c r="J944" s="2"/>
      <c r="K944" s="2"/>
    </row>
    <row r="945" spans="2:12" ht="20.100000000000001" customHeight="1">
      <c r="B945" s="689" t="s">
        <v>931</v>
      </c>
      <c r="C945" s="2">
        <f>SUM('Budget Detail FY 2012-19'!N1105:N1108)</f>
        <v>12152</v>
      </c>
      <c r="D945" s="2">
        <f>SUM('Budget Detail FY 2012-19'!O1105:O1108)</f>
        <v>18391</v>
      </c>
      <c r="E945" s="2">
        <f>SUM('Budget Detail FY 2012-19'!P1105:P1108)</f>
        <v>15350</v>
      </c>
      <c r="F945" s="2">
        <f>SUM('Budget Detail FY 2012-19'!Q1105:Q1108)</f>
        <v>21850</v>
      </c>
      <c r="G945" s="2">
        <f>SUM('Budget Detail FY 2012-19'!R1105:R1108)</f>
        <v>35355</v>
      </c>
      <c r="H945" s="2">
        <f>SUM('Budget Detail FY 2012-19'!S1105:S1108)</f>
        <v>35360</v>
      </c>
      <c r="I945" s="2">
        <f>SUM('Budget Detail FY 2012-19'!T1105:T1108)</f>
        <v>35365</v>
      </c>
      <c r="J945" s="2">
        <f>SUM('Budget Detail FY 2012-19'!U1105:U1108)</f>
        <v>35375</v>
      </c>
      <c r="K945" s="2">
        <f>SUM('Budget Detail FY 2012-19'!V1105:V1108)</f>
        <v>35375</v>
      </c>
    </row>
    <row r="946" spans="2:12" ht="20.100000000000001" customHeight="1">
      <c r="B946" s="689" t="s">
        <v>933</v>
      </c>
      <c r="C946" s="2">
        <f>SUM('Budget Detail FY 2012-19'!N1109:N1111)</f>
        <v>7589</v>
      </c>
      <c r="D946" s="2">
        <f>SUM('Budget Detail FY 2012-19'!O1109:O1111)</f>
        <v>68034</v>
      </c>
      <c r="E946" s="2">
        <f>SUM('Budget Detail FY 2012-19'!P1109:P1111)</f>
        <v>30000</v>
      </c>
      <c r="F946" s="2">
        <f>SUM('Budget Detail FY 2012-19'!Q1109:Q1111)</f>
        <v>30000</v>
      </c>
      <c r="G946" s="2">
        <f>SUM('Budget Detail FY 2012-19'!R1109:R1111)</f>
        <v>17433</v>
      </c>
      <c r="H946" s="2">
        <f>SUM('Budget Detail FY 2012-19'!S1109:S1111)</f>
        <v>328183</v>
      </c>
      <c r="I946" s="2">
        <f>SUM('Budget Detail FY 2012-19'!T1109:T1111)</f>
        <v>17433</v>
      </c>
      <c r="J946" s="2">
        <f>SUM('Budget Detail FY 2012-19'!U1109:U1111)</f>
        <v>17433</v>
      </c>
      <c r="K946" s="2">
        <f>SUM('Budget Detail FY 2012-19'!V1109:V1111)</f>
        <v>17433</v>
      </c>
    </row>
    <row r="947" spans="2:12" ht="20.100000000000001" customHeight="1" thickBot="1">
      <c r="B947" s="172" t="s">
        <v>936</v>
      </c>
      <c r="C947" s="169">
        <f>SUM(C945:C946)</f>
        <v>19741</v>
      </c>
      <c r="D947" s="169">
        <f>SUM(D945:D946)</f>
        <v>86425</v>
      </c>
      <c r="E947" s="169">
        <f t="shared" ref="E947:J947" si="146">SUM(E945:E946)</f>
        <v>45350</v>
      </c>
      <c r="F947" s="169">
        <f t="shared" si="146"/>
        <v>51850</v>
      </c>
      <c r="G947" s="169">
        <f t="shared" si="146"/>
        <v>52788</v>
      </c>
      <c r="H947" s="169">
        <f t="shared" si="146"/>
        <v>363543</v>
      </c>
      <c r="I947" s="169">
        <f t="shared" si="146"/>
        <v>52798</v>
      </c>
      <c r="J947" s="169">
        <f t="shared" si="146"/>
        <v>52808</v>
      </c>
      <c r="K947" s="169">
        <f>SUM(K945:K946)</f>
        <v>52808</v>
      </c>
      <c r="L947" s="173"/>
    </row>
    <row r="948" spans="2:12" s="173" customFormat="1" ht="15" hidden="1">
      <c r="B948" s="174"/>
      <c r="C948" s="146">
        <f>'Budget Detail FY 2012-19'!N1113</f>
        <v>19741</v>
      </c>
      <c r="D948" s="146">
        <f>'Budget Detail FY 2012-19'!O1113</f>
        <v>86425</v>
      </c>
      <c r="E948" s="146">
        <f>'Budget Detail FY 2012-19'!P1113</f>
        <v>45350</v>
      </c>
      <c r="F948" s="146">
        <f>'Budget Detail FY 2012-19'!Q1113</f>
        <v>51850</v>
      </c>
      <c r="G948" s="146">
        <f>'Budget Detail FY 2012-19'!R1113</f>
        <v>52788</v>
      </c>
      <c r="H948" s="146">
        <f>'Budget Detail FY 2012-19'!S1113</f>
        <v>363543</v>
      </c>
      <c r="I948" s="146">
        <f>'Budget Detail FY 2012-19'!T1113</f>
        <v>52798</v>
      </c>
      <c r="J948" s="146">
        <f>'Budget Detail FY 2012-19'!U1113</f>
        <v>52808</v>
      </c>
      <c r="K948" s="146">
        <f>'Budget Detail FY 2012-19'!V1113</f>
        <v>52808</v>
      </c>
      <c r="L948" s="586" t="s">
        <v>1299</v>
      </c>
    </row>
    <row r="949" spans="2:12" s="175" customFormat="1" ht="15" hidden="1">
      <c r="B949" s="176"/>
      <c r="C949" s="182">
        <f>C947-C948</f>
        <v>0</v>
      </c>
      <c r="D949" s="182">
        <f t="shared" ref="D949:K949" si="147">D947-D948</f>
        <v>0</v>
      </c>
      <c r="E949" s="182">
        <f t="shared" si="147"/>
        <v>0</v>
      </c>
      <c r="F949" s="182">
        <f t="shared" si="147"/>
        <v>0</v>
      </c>
      <c r="G949" s="182">
        <f t="shared" si="147"/>
        <v>0</v>
      </c>
      <c r="H949" s="182">
        <f t="shared" si="147"/>
        <v>0</v>
      </c>
      <c r="I949" s="182">
        <f t="shared" si="147"/>
        <v>0</v>
      </c>
      <c r="J949" s="182">
        <f t="shared" si="147"/>
        <v>0</v>
      </c>
      <c r="K949" s="182">
        <f t="shared" si="147"/>
        <v>0</v>
      </c>
      <c r="L949" s="587" t="s">
        <v>1300</v>
      </c>
    </row>
    <row r="950" spans="2:12" ht="15">
      <c r="B950" s="179"/>
      <c r="C950" s="3"/>
      <c r="D950" s="2"/>
      <c r="E950" s="2"/>
      <c r="F950" s="2"/>
      <c r="G950" s="2"/>
      <c r="H950" s="2"/>
      <c r="I950" s="2"/>
      <c r="J950" s="2"/>
      <c r="K950" s="2"/>
    </row>
    <row r="951" spans="2:12" ht="20.100000000000001" customHeight="1">
      <c r="B951" s="691" t="s">
        <v>937</v>
      </c>
      <c r="C951" s="3">
        <f t="shared" ref="C951:J951" si="148">+C940-C947</f>
        <v>48192</v>
      </c>
      <c r="D951" s="3">
        <f>+D940-D947</f>
        <v>-41017</v>
      </c>
      <c r="E951" s="3">
        <f t="shared" si="148"/>
        <v>-10000</v>
      </c>
      <c r="F951" s="3">
        <f t="shared" si="148"/>
        <v>16036</v>
      </c>
      <c r="G951" s="3">
        <f t="shared" si="148"/>
        <v>32287</v>
      </c>
      <c r="H951" s="3">
        <f t="shared" si="148"/>
        <v>-278468</v>
      </c>
      <c r="I951" s="3">
        <f t="shared" si="148"/>
        <v>37277</v>
      </c>
      <c r="J951" s="3">
        <f t="shared" si="148"/>
        <v>37267</v>
      </c>
      <c r="K951" s="3">
        <f>+K940-K947</f>
        <v>42267</v>
      </c>
      <c r="L951" s="173"/>
    </row>
    <row r="952" spans="2:12" s="173" customFormat="1" ht="15" hidden="1">
      <c r="B952" s="180"/>
      <c r="C952" s="146">
        <f>'Budget Detail FY 2012-19'!N1115</f>
        <v>48192</v>
      </c>
      <c r="D952" s="146">
        <f>'Budget Detail FY 2012-19'!O1115</f>
        <v>-41017</v>
      </c>
      <c r="E952" s="146">
        <f>'Budget Detail FY 2012-19'!P1115</f>
        <v>-10000</v>
      </c>
      <c r="F952" s="146">
        <f>'Budget Detail FY 2012-19'!Q1115</f>
        <v>16036</v>
      </c>
      <c r="G952" s="146">
        <f>'Budget Detail FY 2012-19'!R1115</f>
        <v>32287</v>
      </c>
      <c r="H952" s="146">
        <f>'Budget Detail FY 2012-19'!S1115</f>
        <v>-278468</v>
      </c>
      <c r="I952" s="146">
        <f>'Budget Detail FY 2012-19'!T1115</f>
        <v>37277</v>
      </c>
      <c r="J952" s="146">
        <f>'Budget Detail FY 2012-19'!U1115</f>
        <v>37267</v>
      </c>
      <c r="K952" s="146">
        <f>'Budget Detail FY 2012-19'!V1115</f>
        <v>42267</v>
      </c>
      <c r="L952" s="586" t="s">
        <v>1299</v>
      </c>
    </row>
    <row r="953" spans="2:12" s="175" customFormat="1" ht="15" hidden="1">
      <c r="B953" s="181"/>
      <c r="C953" s="182">
        <f>C951-C952</f>
        <v>0</v>
      </c>
      <c r="D953" s="182">
        <f t="shared" ref="D953:K953" si="149">D951-D952</f>
        <v>0</v>
      </c>
      <c r="E953" s="182">
        <f t="shared" si="149"/>
        <v>0</v>
      </c>
      <c r="F953" s="182">
        <f t="shared" si="149"/>
        <v>0</v>
      </c>
      <c r="G953" s="182">
        <f t="shared" si="149"/>
        <v>0</v>
      </c>
      <c r="H953" s="182">
        <f t="shared" si="149"/>
        <v>0</v>
      </c>
      <c r="I953" s="182">
        <f t="shared" si="149"/>
        <v>0</v>
      </c>
      <c r="J953" s="182">
        <f t="shared" si="149"/>
        <v>0</v>
      </c>
      <c r="K953" s="182">
        <f t="shared" si="149"/>
        <v>0</v>
      </c>
      <c r="L953" s="587" t="s">
        <v>1300</v>
      </c>
    </row>
    <row r="954" spans="2:12" ht="15">
      <c r="B954" s="183"/>
      <c r="C954" s="3"/>
      <c r="D954" s="2"/>
      <c r="E954" s="2"/>
      <c r="F954" s="2"/>
      <c r="G954" s="2"/>
      <c r="H954" s="2"/>
      <c r="I954" s="2"/>
      <c r="J954" s="2"/>
      <c r="K954" s="2"/>
    </row>
    <row r="955" spans="2:12" ht="20.100000000000001" customHeight="1" thickBot="1">
      <c r="B955" s="171" t="s">
        <v>938</v>
      </c>
      <c r="C955" s="91">
        <v>257953</v>
      </c>
      <c r="D955" s="91">
        <v>216937</v>
      </c>
      <c r="E955" s="91">
        <v>251449</v>
      </c>
      <c r="F955" s="91">
        <f>D955+F951</f>
        <v>232973</v>
      </c>
      <c r="G955" s="91">
        <f>F955+G951</f>
        <v>265260</v>
      </c>
      <c r="H955" s="91">
        <f>G955+H951</f>
        <v>-13208</v>
      </c>
      <c r="I955" s="91">
        <f>H955+I951</f>
        <v>24069</v>
      </c>
      <c r="J955" s="91">
        <f>I955+J951</f>
        <v>61336</v>
      </c>
      <c r="K955" s="91">
        <f>J955+K951</f>
        <v>103603</v>
      </c>
      <c r="L955" s="173"/>
    </row>
    <row r="956" spans="2:12" s="173" customFormat="1" ht="15.75" hidden="1" thickTop="1">
      <c r="B956" s="174"/>
      <c r="C956" s="146">
        <f>'Budget Detail FY 2012-19'!N1117</f>
        <v>257953</v>
      </c>
      <c r="D956" s="146">
        <f>'Budget Detail FY 2012-19'!O1117</f>
        <v>216937</v>
      </c>
      <c r="E956" s="146">
        <f>'Budget Detail FY 2012-19'!P1117</f>
        <v>251449</v>
      </c>
      <c r="F956" s="146">
        <f>'Budget Detail FY 2012-19'!Q1117</f>
        <v>232973</v>
      </c>
      <c r="G956" s="146">
        <f>'Budget Detail FY 2012-19'!R1117</f>
        <v>265260</v>
      </c>
      <c r="H956" s="146">
        <f>'Budget Detail FY 2012-19'!S1117</f>
        <v>-13208</v>
      </c>
      <c r="I956" s="146">
        <f>'Budget Detail FY 2012-19'!T1117</f>
        <v>24069</v>
      </c>
      <c r="J956" s="146">
        <f>'Budget Detail FY 2012-19'!U1117</f>
        <v>61336</v>
      </c>
      <c r="K956" s="146">
        <f>'Budget Detail FY 2012-19'!V1117</f>
        <v>103603</v>
      </c>
      <c r="L956" s="586" t="s">
        <v>1299</v>
      </c>
    </row>
    <row r="957" spans="2:12" s="175" customFormat="1" ht="15" hidden="1">
      <c r="B957" s="176"/>
      <c r="C957" s="182">
        <f>C955-C956</f>
        <v>0</v>
      </c>
      <c r="D957" s="182">
        <f t="shared" ref="D957:K957" si="150">D955-D956</f>
        <v>0</v>
      </c>
      <c r="E957" s="182">
        <f t="shared" si="150"/>
        <v>0</v>
      </c>
      <c r="F957" s="182">
        <f t="shared" si="150"/>
        <v>0</v>
      </c>
      <c r="G957" s="182">
        <f t="shared" si="150"/>
        <v>0</v>
      </c>
      <c r="H957" s="182">
        <f t="shared" si="150"/>
        <v>0</v>
      </c>
      <c r="I957" s="182">
        <f t="shared" si="150"/>
        <v>0</v>
      </c>
      <c r="J957" s="182">
        <f t="shared" si="150"/>
        <v>0</v>
      </c>
      <c r="K957" s="182">
        <f t="shared" si="150"/>
        <v>0</v>
      </c>
      <c r="L957" s="587" t="s">
        <v>1300</v>
      </c>
    </row>
    <row r="958" spans="2:12" ht="15.75" thickTop="1">
      <c r="B958" s="184"/>
      <c r="C958" s="3"/>
      <c r="D958" s="3"/>
      <c r="E958" s="3"/>
      <c r="F958" s="2"/>
      <c r="G958" s="2"/>
      <c r="H958" s="2"/>
      <c r="I958" s="2"/>
      <c r="J958" s="2"/>
      <c r="K958" s="2"/>
    </row>
    <row r="959" spans="2:12" ht="15">
      <c r="B959" s="184"/>
      <c r="C959" s="3"/>
      <c r="D959" s="3"/>
      <c r="E959" s="3"/>
      <c r="F959" s="2"/>
      <c r="G959" s="2"/>
      <c r="H959" s="2"/>
      <c r="I959" s="2"/>
      <c r="J959" s="2"/>
      <c r="K959" s="2"/>
    </row>
    <row r="960" spans="2:12" ht="15">
      <c r="B960" s="184"/>
      <c r="C960" s="2"/>
      <c r="D960" s="2"/>
      <c r="E960" s="2"/>
      <c r="F960" s="2"/>
      <c r="G960" s="2"/>
      <c r="H960" s="2"/>
      <c r="I960" s="2"/>
      <c r="J960" s="2"/>
      <c r="K960" s="2"/>
    </row>
    <row r="961" spans="1:11" ht="15">
      <c r="B961" s="1"/>
      <c r="C961" s="2"/>
      <c r="D961" s="2"/>
      <c r="E961" s="2"/>
      <c r="F961" s="2"/>
      <c r="G961" s="2"/>
      <c r="H961" s="2"/>
      <c r="I961" s="2"/>
      <c r="J961" s="2"/>
      <c r="K961" s="2"/>
    </row>
    <row r="962" spans="1:11" ht="15">
      <c r="B962" s="1"/>
      <c r="C962" s="2"/>
      <c r="D962" s="2"/>
      <c r="E962" s="2"/>
      <c r="F962" s="2"/>
      <c r="G962" s="2"/>
      <c r="H962" s="2"/>
      <c r="I962" s="2"/>
      <c r="J962" s="2"/>
      <c r="K962" s="2"/>
    </row>
    <row r="963" spans="1:11" ht="15">
      <c r="B963" s="1"/>
      <c r="C963" s="2"/>
      <c r="D963" s="2"/>
      <c r="E963" s="2"/>
      <c r="F963" s="2"/>
      <c r="G963" s="2"/>
      <c r="H963" s="2"/>
      <c r="I963" s="2"/>
      <c r="J963" s="2"/>
      <c r="K963" s="2"/>
    </row>
    <row r="964" spans="1:11" ht="15">
      <c r="B964" s="1"/>
      <c r="C964" s="2"/>
      <c r="D964" s="2"/>
      <c r="E964" s="2"/>
      <c r="F964" s="2"/>
      <c r="G964" s="2"/>
      <c r="H964" s="2"/>
      <c r="I964" s="2"/>
      <c r="J964" s="2"/>
      <c r="K964" s="2"/>
    </row>
    <row r="965" spans="1:11" ht="15">
      <c r="B965" s="1"/>
      <c r="C965" s="2"/>
      <c r="D965" s="2"/>
      <c r="E965" s="2"/>
      <c r="F965" s="2"/>
      <c r="G965" s="2"/>
      <c r="H965" s="2"/>
      <c r="I965" s="2"/>
      <c r="J965" s="2"/>
      <c r="K965" s="2"/>
    </row>
    <row r="966" spans="1:11" ht="15">
      <c r="B966" s="1"/>
      <c r="C966" s="2"/>
      <c r="D966" s="2"/>
      <c r="E966" s="2"/>
      <c r="F966" s="2"/>
      <c r="G966" s="2"/>
      <c r="H966" s="2"/>
      <c r="I966" s="2"/>
      <c r="J966" s="2"/>
      <c r="K966" s="2"/>
    </row>
    <row r="967" spans="1:11" ht="15">
      <c r="B967" s="1"/>
      <c r="C967" s="2"/>
      <c r="D967" s="2"/>
      <c r="E967" s="2"/>
      <c r="F967" s="2"/>
      <c r="G967" s="2"/>
      <c r="H967" s="2"/>
      <c r="I967" s="2"/>
      <c r="J967" s="2"/>
      <c r="K967" s="2"/>
    </row>
    <row r="968" spans="1:11" ht="15">
      <c r="B968" s="1"/>
      <c r="C968" s="2"/>
      <c r="D968" s="2"/>
      <c r="E968" s="2"/>
      <c r="F968" s="2"/>
      <c r="G968" s="2"/>
      <c r="H968" s="2"/>
      <c r="I968" s="2"/>
      <c r="J968" s="2"/>
      <c r="K968" s="2"/>
    </row>
    <row r="969" spans="1:11" ht="15">
      <c r="B969" s="1"/>
      <c r="C969" s="2"/>
      <c r="D969" s="2"/>
      <c r="E969" s="2"/>
      <c r="F969" s="2"/>
      <c r="G969" s="2"/>
      <c r="H969" s="2"/>
      <c r="I969" s="2"/>
      <c r="J969" s="2"/>
      <c r="K969" s="2"/>
    </row>
    <row r="970" spans="1:11" ht="15">
      <c r="B970" s="1"/>
      <c r="C970" s="2"/>
      <c r="D970" s="2"/>
      <c r="E970" s="2"/>
      <c r="F970" s="2"/>
      <c r="G970" s="2"/>
      <c r="H970" s="2"/>
      <c r="I970" s="2"/>
      <c r="J970" s="2"/>
      <c r="K970" s="2"/>
    </row>
    <row r="971" spans="1:11" ht="15.75" customHeight="1">
      <c r="B971" s="1"/>
      <c r="C971" s="2"/>
      <c r="D971" s="2"/>
      <c r="E971" s="2"/>
      <c r="F971" s="2"/>
      <c r="G971" s="2"/>
      <c r="H971" s="2"/>
      <c r="I971" s="2"/>
      <c r="J971" s="2"/>
      <c r="K971" s="2"/>
    </row>
    <row r="972" spans="1:11" ht="18.75">
      <c r="A972" s="1"/>
      <c r="B972" s="722" t="s">
        <v>1259</v>
      </c>
      <c r="C972" s="722"/>
      <c r="D972" s="722"/>
      <c r="E972" s="722"/>
      <c r="F972" s="722"/>
      <c r="G972" s="722"/>
      <c r="H972" s="722"/>
      <c r="I972" s="722"/>
      <c r="J972" s="722"/>
      <c r="K972" s="722"/>
    </row>
    <row r="973" spans="1:11" ht="7.5" customHeight="1">
      <c r="A973" s="1"/>
      <c r="B973" s="72"/>
      <c r="C973" s="3"/>
      <c r="D973" s="2"/>
      <c r="E973" s="2"/>
      <c r="F973" s="2"/>
      <c r="G973" s="2"/>
      <c r="H973" s="2"/>
      <c r="I973" s="2"/>
      <c r="J973" s="2"/>
      <c r="K973" s="2"/>
    </row>
    <row r="974" spans="1:11" ht="15" customHeight="1">
      <c r="A974" s="1"/>
      <c r="B974" s="715" t="s">
        <v>1486</v>
      </c>
      <c r="C974" s="715"/>
      <c r="D974" s="715"/>
      <c r="E974" s="715"/>
      <c r="F974" s="715"/>
      <c r="G974" s="715"/>
      <c r="H974" s="715"/>
      <c r="I974" s="715"/>
      <c r="J974" s="715"/>
      <c r="K974" s="715"/>
    </row>
    <row r="975" spans="1:11" ht="15">
      <c r="A975" s="1"/>
      <c r="B975" s="715"/>
      <c r="C975" s="715"/>
      <c r="D975" s="715"/>
      <c r="E975" s="715"/>
      <c r="F975" s="715"/>
      <c r="G975" s="715"/>
      <c r="H975" s="715"/>
      <c r="I975" s="715"/>
      <c r="J975" s="715"/>
      <c r="K975" s="715"/>
    </row>
    <row r="976" spans="1:11" ht="15">
      <c r="A976" s="1"/>
      <c r="B976" s="715"/>
      <c r="C976" s="715"/>
      <c r="D976" s="715"/>
      <c r="E976" s="715"/>
      <c r="F976" s="715"/>
      <c r="G976" s="715"/>
      <c r="H976" s="715"/>
      <c r="I976" s="715"/>
      <c r="J976" s="715"/>
      <c r="K976" s="715"/>
    </row>
    <row r="977" spans="1:12" ht="15">
      <c r="A977" s="1"/>
      <c r="B977" s="715"/>
      <c r="C977" s="715"/>
      <c r="D977" s="715"/>
      <c r="E977" s="715"/>
      <c r="F977" s="715"/>
      <c r="G977" s="715"/>
      <c r="H977" s="715"/>
      <c r="I977" s="715"/>
      <c r="J977" s="715"/>
      <c r="K977" s="715"/>
    </row>
    <row r="978" spans="1:12" ht="15">
      <c r="A978" s="1"/>
      <c r="B978" s="5"/>
      <c r="C978" s="72"/>
      <c r="D978" s="73"/>
      <c r="E978" s="72" t="s">
        <v>283</v>
      </c>
      <c r="F978" s="1"/>
      <c r="G978" s="1"/>
      <c r="H978" s="1"/>
      <c r="I978" s="1"/>
      <c r="J978" s="1"/>
      <c r="K978" s="1"/>
    </row>
    <row r="979" spans="1:12" ht="15">
      <c r="A979" s="1"/>
      <c r="B979" s="73"/>
      <c r="C979" s="72" t="s">
        <v>229</v>
      </c>
      <c r="D979" s="96" t="s">
        <v>282</v>
      </c>
      <c r="E979" s="73" t="s">
        <v>917</v>
      </c>
      <c r="F979" s="73" t="s">
        <v>283</v>
      </c>
      <c r="G979" s="73" t="s">
        <v>298</v>
      </c>
      <c r="H979" s="73" t="s">
        <v>299</v>
      </c>
      <c r="I979" s="73" t="s">
        <v>300</v>
      </c>
      <c r="J979" s="73" t="s">
        <v>1087</v>
      </c>
      <c r="K979" s="73" t="s">
        <v>1224</v>
      </c>
    </row>
    <row r="980" spans="1:12" ht="15.75" thickBot="1">
      <c r="A980" s="1"/>
      <c r="B980" s="188"/>
      <c r="C980" s="75" t="s">
        <v>1</v>
      </c>
      <c r="D980" s="75" t="s">
        <v>1</v>
      </c>
      <c r="E980" s="75" t="s">
        <v>871</v>
      </c>
      <c r="F980" s="75" t="s">
        <v>20</v>
      </c>
      <c r="G980" s="75" t="s">
        <v>917</v>
      </c>
      <c r="H980" s="75" t="s">
        <v>20</v>
      </c>
      <c r="I980" s="75" t="s">
        <v>20</v>
      </c>
      <c r="J980" s="75" t="s">
        <v>20</v>
      </c>
      <c r="K980" s="75" t="s">
        <v>20</v>
      </c>
    </row>
    <row r="981" spans="1:12" ht="15">
      <c r="A981" s="1"/>
      <c r="B981" s="71"/>
      <c r="C981" s="189"/>
      <c r="D981" s="2"/>
      <c r="E981" s="2"/>
      <c r="F981" s="2"/>
      <c r="G981" s="2"/>
      <c r="H981" s="2"/>
      <c r="I981" s="2"/>
      <c r="J981" s="2"/>
      <c r="K981" s="2"/>
    </row>
    <row r="982" spans="1:12" ht="15">
      <c r="A982" s="1"/>
      <c r="B982" s="177" t="s">
        <v>918</v>
      </c>
      <c r="C982" s="2"/>
      <c r="D982" s="2"/>
      <c r="E982" s="2"/>
      <c r="F982" s="2"/>
      <c r="G982" s="2"/>
      <c r="H982" s="2"/>
      <c r="I982" s="2"/>
      <c r="J982" s="2"/>
      <c r="K982" s="2"/>
    </row>
    <row r="983" spans="1:12" ht="20.100000000000001" customHeight="1">
      <c r="A983" s="1"/>
      <c r="B983" s="687" t="s">
        <v>919</v>
      </c>
      <c r="C983" s="2">
        <f t="shared" ref="C983:K983" si="151">C11+C66+C110+C386+C431+C486+C846+C893+C937</f>
        <v>10492418</v>
      </c>
      <c r="D983" s="2">
        <f t="shared" si="151"/>
        <v>10088777</v>
      </c>
      <c r="E983" s="2">
        <f t="shared" si="151"/>
        <v>9891567</v>
      </c>
      <c r="F983" s="2">
        <f t="shared" si="151"/>
        <v>10077957</v>
      </c>
      <c r="G983" s="2">
        <f t="shared" si="151"/>
        <v>10337490</v>
      </c>
      <c r="H983" s="2">
        <f t="shared" si="151"/>
        <v>10436653</v>
      </c>
      <c r="I983" s="2">
        <f t="shared" si="151"/>
        <v>10471860</v>
      </c>
      <c r="J983" s="2">
        <f t="shared" si="151"/>
        <v>10493304</v>
      </c>
      <c r="K983" s="2">
        <f t="shared" si="151"/>
        <v>10553993</v>
      </c>
      <c r="L983" s="557"/>
    </row>
    <row r="984" spans="1:12" ht="20.100000000000001" customHeight="1">
      <c r="A984" s="1"/>
      <c r="B984" s="687" t="s">
        <v>920</v>
      </c>
      <c r="C984" s="2">
        <f t="shared" ref="C984:K984" si="152">C12+C153+C242+C543</f>
        <v>2877646</v>
      </c>
      <c r="D984" s="2">
        <f t="shared" si="152"/>
        <v>3057610</v>
      </c>
      <c r="E984" s="2">
        <f t="shared" si="152"/>
        <v>3383800</v>
      </c>
      <c r="F984" s="2">
        <f t="shared" si="152"/>
        <v>3806901</v>
      </c>
      <c r="G984" s="2">
        <f t="shared" si="152"/>
        <v>2763160</v>
      </c>
      <c r="H984" s="2">
        <f t="shared" si="152"/>
        <v>2656200</v>
      </c>
      <c r="I984" s="2">
        <f t="shared" si="152"/>
        <v>3141360</v>
      </c>
      <c r="J984" s="2">
        <f t="shared" si="152"/>
        <v>2644920</v>
      </c>
      <c r="K984" s="2">
        <f t="shared" si="152"/>
        <v>2642200</v>
      </c>
      <c r="L984" s="557"/>
    </row>
    <row r="985" spans="1:12" ht="20.100000000000001" customHeight="1">
      <c r="A985" s="1"/>
      <c r="B985" s="688" t="s">
        <v>921</v>
      </c>
      <c r="C985" s="2">
        <f>C13+C199+C243+C387+C432+C487+'Budget Detail FY 2012-19'!N465+'Budget Detail FY 2012-19'!N466+'Budget Detail FY 2012-19'!N467+'Budget Detail FY 2012-19'!N468+'Budget Detail FY 2012-19'!N469</f>
        <v>342483</v>
      </c>
      <c r="D985" s="2">
        <f>D13+D199+D243+D387+D432+D487+'Budget Detail FY 2012-19'!O465+'Budget Detail FY 2012-19'!O466+'Budget Detail FY 2012-19'!O467+'Budget Detail FY 2012-19'!O468+'Budget Detail FY 2012-19'!O469</f>
        <v>467098</v>
      </c>
      <c r="E985" s="2">
        <f>E13+E199+E243+E387+E432+E487+'Budget Detail FY 2012-19'!P465+'Budget Detail FY 2012-19'!P466+'Budget Detail FY 2012-19'!P467+'Budget Detail FY 2012-19'!P468+'Budget Detail FY 2012-19'!P469</f>
        <v>261250</v>
      </c>
      <c r="F985" s="2">
        <f>F13+F199+F243+F387+F432+F487+'Budget Detail FY 2012-19'!Q465+'Budget Detail FY 2012-19'!Q466+'Budget Detail FY 2012-19'!Q467+'Budget Detail FY 2012-19'!Q468+'Budget Detail FY 2012-19'!Q469</f>
        <v>252014</v>
      </c>
      <c r="G985" s="2">
        <f>G13+G199+G243+G387+G432+G487+'Budget Detail FY 2012-19'!R465+'Budget Detail FY 2012-19'!R466+'Budget Detail FY 2012-19'!R467+'Budget Detail FY 2012-19'!R468+'Budget Detail FY 2012-19'!R469</f>
        <v>262750</v>
      </c>
      <c r="H985" s="2">
        <f>H13+H199+H243+H387+H432+H487+'Budget Detail FY 2012-19'!S465+'Budget Detail FY 2012-19'!S466+'Budget Detail FY 2012-19'!S467+'Budget Detail FY 2012-19'!S468+'Budget Detail FY 2012-19'!S469</f>
        <v>262750</v>
      </c>
      <c r="I985" s="2">
        <f>I13+I199+I243+I387+I432+I487+'Budget Detail FY 2012-19'!T465+'Budget Detail FY 2012-19'!T466+'Budget Detail FY 2012-19'!T467+'Budget Detail FY 2012-19'!T468+'Budget Detail FY 2012-19'!T469</f>
        <v>312750</v>
      </c>
      <c r="J985" s="2">
        <f>J13+J199+J243+J387+J432+J487+'Budget Detail FY 2012-19'!U465+'Budget Detail FY 2012-19'!U466+'Budget Detail FY 2012-19'!U467+'Budget Detail FY 2012-19'!U468+'Budget Detail FY 2012-19'!U469</f>
        <v>312750</v>
      </c>
      <c r="K985" s="2">
        <f>K13+K199+K243+K387+K432+K487+'Budget Detail FY 2012-19'!V465+'Budget Detail FY 2012-19'!V466+'Budget Detail FY 2012-19'!V467+'Budget Detail FY 2012-19'!V468+'Budget Detail FY 2012-19'!V469</f>
        <v>312750</v>
      </c>
      <c r="L985" s="557"/>
    </row>
    <row r="986" spans="1:12" ht="20.100000000000001" customHeight="1">
      <c r="A986" s="1"/>
      <c r="B986" s="688" t="s">
        <v>922</v>
      </c>
      <c r="C986" s="2">
        <f>C14+'Budget Detail FY 2012-19'!N471+'Budget Detail FY 2012-19'!N472+'Budget Detail FY 2012-19'!N473</f>
        <v>181392</v>
      </c>
      <c r="D986" s="2">
        <f>D14+'Budget Detail FY 2012-19'!O471+'Budget Detail FY 2012-19'!O472+'Budget Detail FY 2012-19'!O473</f>
        <v>185883</v>
      </c>
      <c r="E986" s="2">
        <f>E14+'Budget Detail FY 2012-19'!P471+'Budget Detail FY 2012-19'!P472+'Budget Detail FY 2012-19'!P473</f>
        <v>189050</v>
      </c>
      <c r="F986" s="2">
        <f>F14+'Budget Detail FY 2012-19'!Q471+'Budget Detail FY 2012-19'!Q472+'Budget Detail FY 2012-19'!Q473</f>
        <v>194500</v>
      </c>
      <c r="G986" s="2">
        <f>G14+'Budget Detail FY 2012-19'!R471+'Budget Detail FY 2012-19'!R472+'Budget Detail FY 2012-19'!R473</f>
        <v>186000</v>
      </c>
      <c r="H986" s="2">
        <f>H14+'Budget Detail FY 2012-19'!S471+'Budget Detail FY 2012-19'!S472+'Budget Detail FY 2012-19'!S473</f>
        <v>186000</v>
      </c>
      <c r="I986" s="2">
        <f>I14+'Budget Detail FY 2012-19'!T471+'Budget Detail FY 2012-19'!T472+'Budget Detail FY 2012-19'!T473</f>
        <v>186000</v>
      </c>
      <c r="J986" s="2">
        <f>J14+'Budget Detail FY 2012-19'!U471+'Budget Detail FY 2012-19'!U472+'Budget Detail FY 2012-19'!U473</f>
        <v>186000</v>
      </c>
      <c r="K986" s="2">
        <f>K14+'Budget Detail FY 2012-19'!V471+'Budget Detail FY 2012-19'!V472+'Budget Detail FY 2012-19'!V473</f>
        <v>186000</v>
      </c>
      <c r="L986" s="557"/>
    </row>
    <row r="987" spans="1:12" ht="20.100000000000001" customHeight="1">
      <c r="A987" s="1"/>
      <c r="B987" s="688" t="s">
        <v>923</v>
      </c>
      <c r="C987" s="2">
        <f>C15+C244+C433+C488+'Budget Detail FY 2012-19'!N474+'Budget Detail FY 2012-19'!N475+'Budget Detail FY 2012-19'!N476</f>
        <v>5513815</v>
      </c>
      <c r="D987" s="2">
        <f>D15+D244+D433+D488+'Budget Detail FY 2012-19'!O474+'Budget Detail FY 2012-19'!O475+'Budget Detail FY 2012-19'!O476</f>
        <v>5297314</v>
      </c>
      <c r="E987" s="2">
        <f>E15+E244+E433+E488+'Budget Detail FY 2012-19'!P474+'Budget Detail FY 2012-19'!P475+'Budget Detail FY 2012-19'!P476</f>
        <v>5556805</v>
      </c>
      <c r="F987" s="2">
        <f>F15+F244+F433+F488+'Budget Detail FY 2012-19'!Q474+'Budget Detail FY 2012-19'!Q475+'Budget Detail FY 2012-19'!Q476</f>
        <v>5437616</v>
      </c>
      <c r="G987" s="2">
        <f>G15+G244+G433+G488+'Budget Detail FY 2012-19'!R474+'Budget Detail FY 2012-19'!R475+'Budget Detail FY 2012-19'!R476</f>
        <v>5869129</v>
      </c>
      <c r="H987" s="2">
        <f>H15+H244+H433+H488+'Budget Detail FY 2012-19'!S474+'Budget Detail FY 2012-19'!S475+'Budget Detail FY 2012-19'!S476</f>
        <v>6234684</v>
      </c>
      <c r="I987" s="2">
        <f>I15+I244+I433+I488+'Budget Detail FY 2012-19'!T474+'Budget Detail FY 2012-19'!T475+'Budget Detail FY 2012-19'!T476</f>
        <v>6518511</v>
      </c>
      <c r="J987" s="2">
        <f>J15+J244+J433+J488+'Budget Detail FY 2012-19'!U474+'Budget Detail FY 2012-19'!U475+'Budget Detail FY 2012-19'!U476</f>
        <v>6593120</v>
      </c>
      <c r="K987" s="2">
        <f>K15+K244+K433+K488+'Budget Detail FY 2012-19'!V474+'Budget Detail FY 2012-19'!V475+'Budget Detail FY 2012-19'!V476</f>
        <v>6670803</v>
      </c>
    </row>
    <row r="988" spans="1:12" ht="20.100000000000001" customHeight="1">
      <c r="A988" s="1"/>
      <c r="B988" s="688" t="s">
        <v>924</v>
      </c>
      <c r="C988" s="2">
        <f>C16+C67+C111+C154+C245+C388+C434+C489+C847+C894+C938+'Budget Detail FY 2012-19'!N478+'Budget Detail FY 2012-19'!N479+C545</f>
        <v>11966</v>
      </c>
      <c r="D988" s="2">
        <f>D16+D67+D111+D154+D245+D388+D434+D489+D847+D894+D938+'Budget Detail FY 2012-19'!O478+'Budget Detail FY 2012-19'!O479+D545</f>
        <v>23688</v>
      </c>
      <c r="E988" s="2">
        <f>E16+E67+E111+E154+E245+E388+E434+E489+E847+E894+E938+'Budget Detail FY 2012-19'!P478+'Budget Detail FY 2012-19'!P479+E545</f>
        <v>18475</v>
      </c>
      <c r="F988" s="2">
        <f>F16+F67+F111+F154+F245+F388+F434+F489+F847+F894+F938+'Budget Detail FY 2012-19'!Q478+'Budget Detail FY 2012-19'!Q479+F545</f>
        <v>22989</v>
      </c>
      <c r="G988" s="2">
        <f>G16+G67+G111+G154+G245+G388+G434+G489+G847+G894+G938+'Budget Detail FY 2012-19'!R478+'Budget Detail FY 2012-19'!R479+G545</f>
        <v>22375</v>
      </c>
      <c r="H988" s="2">
        <f>H16+H67+H111+H154+H245+H388+H434+H489+H847+H894+H938+'Budget Detail FY 2012-19'!S478+'Budget Detail FY 2012-19'!S479+H545</f>
        <v>17175</v>
      </c>
      <c r="I988" s="2">
        <f>I16+I67+I111+I154+I245+I388+I434+I489+I847+I894+I938+'Budget Detail FY 2012-19'!T478+'Budget Detail FY 2012-19'!T479+I545</f>
        <v>13775</v>
      </c>
      <c r="J988" s="2">
        <f>J16+J67+J111+J154+J245+J388+J434+J489+J847+J894+J938+'Budget Detail FY 2012-19'!U478+'Budget Detail FY 2012-19'!U479+J545</f>
        <v>11675</v>
      </c>
      <c r="K988" s="2">
        <f>K16+K67+K111+K154+K245+K388+K434+K489+K847+K894+K938+'Budget Detail FY 2012-19'!V478+'Budget Detail FY 2012-19'!V479+K545</f>
        <v>10675</v>
      </c>
    </row>
    <row r="989" spans="1:12" ht="20.100000000000001" customHeight="1">
      <c r="A989" s="1"/>
      <c r="B989" s="688" t="s">
        <v>925</v>
      </c>
      <c r="C989" s="2">
        <f t="shared" ref="C989:K989" si="153">C17+C155+C246+C435+C490</f>
        <v>404419</v>
      </c>
      <c r="D989" s="2">
        <f t="shared" si="153"/>
        <v>277183</v>
      </c>
      <c r="E989" s="2">
        <f t="shared" si="153"/>
        <v>382551</v>
      </c>
      <c r="F989" s="2">
        <f t="shared" si="153"/>
        <v>299184</v>
      </c>
      <c r="G989" s="2">
        <f t="shared" si="153"/>
        <v>965630</v>
      </c>
      <c r="H989" s="2">
        <f t="shared" si="153"/>
        <v>87000</v>
      </c>
      <c r="I989" s="2">
        <f t="shared" si="153"/>
        <v>374740</v>
      </c>
      <c r="J989" s="2">
        <f t="shared" si="153"/>
        <v>112780</v>
      </c>
      <c r="K989" s="2">
        <f t="shared" si="153"/>
        <v>80000</v>
      </c>
    </row>
    <row r="990" spans="1:12" ht="20.100000000000001" customHeight="1">
      <c r="A990" s="1"/>
      <c r="B990" s="688" t="s">
        <v>956</v>
      </c>
      <c r="C990" s="2">
        <f>C546</f>
        <v>30767</v>
      </c>
      <c r="D990" s="2">
        <f t="shared" ref="D990:K990" si="154">D546</f>
        <v>68768</v>
      </c>
      <c r="E990" s="2">
        <f t="shared" si="154"/>
        <v>20500</v>
      </c>
      <c r="F990" s="2">
        <f t="shared" si="154"/>
        <v>32212</v>
      </c>
      <c r="G990" s="2">
        <f t="shared" si="154"/>
        <v>23000</v>
      </c>
      <c r="H990" s="2">
        <f t="shared" si="154"/>
        <v>23000</v>
      </c>
      <c r="I990" s="2">
        <f t="shared" si="154"/>
        <v>23000</v>
      </c>
      <c r="J990" s="2">
        <f t="shared" si="154"/>
        <v>23000</v>
      </c>
      <c r="K990" s="2">
        <f t="shared" si="154"/>
        <v>23000</v>
      </c>
    </row>
    <row r="991" spans="1:12" ht="20.100000000000001" customHeight="1">
      <c r="A991" s="1"/>
      <c r="B991" s="688" t="s">
        <v>926</v>
      </c>
      <c r="C991" s="2">
        <f>C18+C436+'Budget Detail FY 2012-19'!N482+'Budget Detail FY 2012-19'!N483</f>
        <v>53291</v>
      </c>
      <c r="D991" s="2">
        <f>D18+D436+'Budget Detail FY 2012-19'!O482+'Budget Detail FY 2012-19'!O483</f>
        <v>187154</v>
      </c>
      <c r="E991" s="2">
        <f>E18+E436+'Budget Detail FY 2012-19'!P482+'Budget Detail FY 2012-19'!P483</f>
        <v>65336</v>
      </c>
      <c r="F991" s="2">
        <f>F18+F436+'Budget Detail FY 2012-19'!Q482+'Budget Detail FY 2012-19'!Q483</f>
        <v>64069</v>
      </c>
      <c r="G991" s="2">
        <f>G18+G436+'Budget Detail FY 2012-19'!R482+'Budget Detail FY 2012-19'!R483</f>
        <v>69203</v>
      </c>
      <c r="H991" s="2">
        <f>H18+H436+'Budget Detail FY 2012-19'!S482+'Budget Detail FY 2012-19'!S483</f>
        <v>70307</v>
      </c>
      <c r="I991" s="2">
        <f>I18+I436+'Budget Detail FY 2012-19'!T482+'Budget Detail FY 2012-19'!T483</f>
        <v>71433</v>
      </c>
      <c r="J991" s="2">
        <f>J18+J436+'Budget Detail FY 2012-19'!U482+'Budget Detail FY 2012-19'!U483</f>
        <v>72582</v>
      </c>
      <c r="K991" s="2">
        <f>K18+K436+'Budget Detail FY 2012-19'!V482+'Budget Detail FY 2012-19'!V483</f>
        <v>73754</v>
      </c>
    </row>
    <row r="992" spans="1:12" ht="20.100000000000001" customHeight="1">
      <c r="A992" s="1"/>
      <c r="B992" s="688" t="s">
        <v>927</v>
      </c>
      <c r="C992" s="2">
        <f>C19+C200+C247+C389+C437+C491+C547+C939+'Budget Detail FY 2012-19'!N484+'Budget Detail FY 2012-19'!N485+'Budget Detail FY 2012-19'!N487</f>
        <v>742580</v>
      </c>
      <c r="D992" s="2">
        <f>D19+D200+D247+D389+D437+D491+D547+D939+'Budget Detail FY 2012-19'!O484+'Budget Detail FY 2012-19'!O485+'Budget Detail FY 2012-19'!O487</f>
        <v>646635</v>
      </c>
      <c r="E992" s="2">
        <f>E19+E200+E247+E389+E437+E491+E547+E939+'Budget Detail FY 2012-19'!P484+'Budget Detail FY 2012-19'!P485+'Budget Detail FY 2012-19'!P487</f>
        <v>2285233</v>
      </c>
      <c r="F992" s="2">
        <f>F19+F200+F247+F389+F437+F491+F547+F939+'Budget Detail FY 2012-19'!Q484+'Budget Detail FY 2012-19'!Q485+'Budget Detail FY 2012-19'!Q487</f>
        <v>2595499</v>
      </c>
      <c r="G992" s="2">
        <f>G19+G200+G247+G389+G437+G491+G547+G939+'Budget Detail FY 2012-19'!R484+'Budget Detail FY 2012-19'!R485+'Budget Detail FY 2012-19'!R487</f>
        <v>6293810</v>
      </c>
      <c r="H992" s="2">
        <f>H19+H200+H247+H389+H437+H491+H547+H939+'Budget Detail FY 2012-19'!S484+'Budget Detail FY 2012-19'!S485+'Budget Detail FY 2012-19'!S487</f>
        <v>1421539</v>
      </c>
      <c r="I992" s="2">
        <f>I19+I200+I247+I389+I437+I491+I547+I939+'Budget Detail FY 2012-19'!T484+'Budget Detail FY 2012-19'!T485+'Budget Detail FY 2012-19'!T487</f>
        <v>1476644</v>
      </c>
      <c r="J992" s="2">
        <f>J19+J200+J247+J389+J437+J491+J547+J939+'Budget Detail FY 2012-19'!U484+'Budget Detail FY 2012-19'!U485+'Budget Detail FY 2012-19'!U487</f>
        <v>1609799</v>
      </c>
      <c r="K992" s="2">
        <f>K19+K200+K247+K389+K437+K491+K547+K939+'Budget Detail FY 2012-19'!V484+'Budget Detail FY 2012-19'!V485+'Budget Detail FY 2012-19'!V487</f>
        <v>1711579</v>
      </c>
    </row>
    <row r="993" spans="1:12" ht="20.100000000000001" customHeight="1" thickBot="1">
      <c r="A993" s="1"/>
      <c r="B993" s="172" t="s">
        <v>928</v>
      </c>
      <c r="C993" s="169">
        <f t="shared" ref="C993:K993" si="155">SUM(C983:C992)</f>
        <v>20650777</v>
      </c>
      <c r="D993" s="169">
        <f t="shared" si="155"/>
        <v>20300110</v>
      </c>
      <c r="E993" s="169">
        <f t="shared" si="155"/>
        <v>22054567</v>
      </c>
      <c r="F993" s="169">
        <f t="shared" si="155"/>
        <v>22782941</v>
      </c>
      <c r="G993" s="169">
        <f t="shared" si="155"/>
        <v>26792547</v>
      </c>
      <c r="H993" s="169">
        <f t="shared" si="155"/>
        <v>21395308</v>
      </c>
      <c r="I993" s="169">
        <f t="shared" si="155"/>
        <v>22590073</v>
      </c>
      <c r="J993" s="169">
        <f t="shared" si="155"/>
        <v>22059930</v>
      </c>
      <c r="K993" s="169">
        <f t="shared" si="155"/>
        <v>22264754</v>
      </c>
      <c r="L993" s="173"/>
    </row>
    <row r="994" spans="1:12" s="173" customFormat="1" ht="15" hidden="1">
      <c r="A994" s="199"/>
      <c r="B994" s="174"/>
      <c r="C994" s="146">
        <f>'Budget Detail FY 2012-19'!N66+'Budget Detail FY 2012-19'!N314+'Budget Detail FY 2012-19'!N332+'Budget Detail FY 2012-19'!N355+'Budget Detail FY 2012-19'!N386+'Budget Detail FY 2012-19'!N418+'Budget Detail FY 2012-19'!N465+'Budget Detail FY 2012-19'!N466+'Budget Detail FY 2012-19'!N467+'Budget Detail FY 2012-19'!N468+'Budget Detail FY 2012-19'!N469+'Budget Detail FY 2012-19'!N471+'Budget Detail FY 2012-19'!N472+'Budget Detail FY 2012-19'!N473+'Budget Detail FY 2012-19'!N474+'Budget Detail FY 2012-19'!N475+'Budget Detail FY 2012-19'!N476+'Budget Detail FY 2012-19'!N478+'Budget Detail FY 2012-19'!N479+'Budget Detail FY 2012-19'!N482+'Budget Detail FY 2012-19'!N483+'Budget Detail FY 2012-19'!N484+'Budget Detail FY 2012-19'!N485+'Budget Detail FY 2012-19'!N487+'Budget Detail FY 2012-19'!N548+'Budget Detail FY 2012-19'!N586+'Budget Detail FY 2012-19'!N681+'Budget Detail FY 2012-19'!N769+'Budget Detail FY 2012-19'!N1055+'Budget Detail FY 2012-19'!N1077+'Budget Detail FY 2012-19'!N1103</f>
        <v>20650777</v>
      </c>
      <c r="D994" s="146">
        <f>'Budget Detail FY 2012-19'!O66+'Budget Detail FY 2012-19'!O314+'Budget Detail FY 2012-19'!O332+'Budget Detail FY 2012-19'!O355+'Budget Detail FY 2012-19'!O386+'Budget Detail FY 2012-19'!O418+'Budget Detail FY 2012-19'!O465+'Budget Detail FY 2012-19'!O466+'Budget Detail FY 2012-19'!O467+'Budget Detail FY 2012-19'!O468+'Budget Detail FY 2012-19'!O469+'Budget Detail FY 2012-19'!O471+'Budget Detail FY 2012-19'!O472+'Budget Detail FY 2012-19'!O473+'Budget Detail FY 2012-19'!O474+'Budget Detail FY 2012-19'!O475+'Budget Detail FY 2012-19'!O476+'Budget Detail FY 2012-19'!O478+'Budget Detail FY 2012-19'!O479+'Budget Detail FY 2012-19'!O482+'Budget Detail FY 2012-19'!O483+'Budget Detail FY 2012-19'!O484+'Budget Detail FY 2012-19'!O485+'Budget Detail FY 2012-19'!O487+'Budget Detail FY 2012-19'!O548+'Budget Detail FY 2012-19'!O586+'Budget Detail FY 2012-19'!O681+'Budget Detail FY 2012-19'!O769+'Budget Detail FY 2012-19'!O1055+'Budget Detail FY 2012-19'!O1077+'Budget Detail FY 2012-19'!O1103</f>
        <v>20300110</v>
      </c>
      <c r="E994" s="146">
        <f>'Budget Detail FY 2012-19'!P66+'Budget Detail FY 2012-19'!P314+'Budget Detail FY 2012-19'!P332+'Budget Detail FY 2012-19'!P355+'Budget Detail FY 2012-19'!P386+'Budget Detail FY 2012-19'!P418+'Budget Detail FY 2012-19'!P465+'Budget Detail FY 2012-19'!P466+'Budget Detail FY 2012-19'!P467+'Budget Detail FY 2012-19'!P468+'Budget Detail FY 2012-19'!P469+'Budget Detail FY 2012-19'!P471+'Budget Detail FY 2012-19'!P472+'Budget Detail FY 2012-19'!P473+'Budget Detail FY 2012-19'!P474+'Budget Detail FY 2012-19'!P475+'Budget Detail FY 2012-19'!P476+'Budget Detail FY 2012-19'!P478+'Budget Detail FY 2012-19'!P479+'Budget Detail FY 2012-19'!P482+'Budget Detail FY 2012-19'!P483+'Budget Detail FY 2012-19'!P484+'Budget Detail FY 2012-19'!P485+'Budget Detail FY 2012-19'!P487+'Budget Detail FY 2012-19'!P548+'Budget Detail FY 2012-19'!P586+'Budget Detail FY 2012-19'!P681+'Budget Detail FY 2012-19'!P769+'Budget Detail FY 2012-19'!P1055+'Budget Detail FY 2012-19'!P1077+'Budget Detail FY 2012-19'!P1103</f>
        <v>22054567</v>
      </c>
      <c r="F994" s="146">
        <f>'Budget Detail FY 2012-19'!Q66+'Budget Detail FY 2012-19'!Q314+'Budget Detail FY 2012-19'!Q332+'Budget Detail FY 2012-19'!Q355+'Budget Detail FY 2012-19'!Q386+'Budget Detail FY 2012-19'!Q418+'Budget Detail FY 2012-19'!Q465+'Budget Detail FY 2012-19'!Q466+'Budget Detail FY 2012-19'!Q467+'Budget Detail FY 2012-19'!Q468+'Budget Detail FY 2012-19'!Q469+'Budget Detail FY 2012-19'!Q471+'Budget Detail FY 2012-19'!Q472+'Budget Detail FY 2012-19'!Q473+'Budget Detail FY 2012-19'!Q474+'Budget Detail FY 2012-19'!Q475+'Budget Detail FY 2012-19'!Q476+'Budget Detail FY 2012-19'!Q478+'Budget Detail FY 2012-19'!Q479+'Budget Detail FY 2012-19'!Q482+'Budget Detail FY 2012-19'!Q483+'Budget Detail FY 2012-19'!Q484+'Budget Detail FY 2012-19'!Q485+'Budget Detail FY 2012-19'!Q487+'Budget Detail FY 2012-19'!Q548+'Budget Detail FY 2012-19'!Q586+'Budget Detail FY 2012-19'!Q681+'Budget Detail FY 2012-19'!Q769+'Budget Detail FY 2012-19'!Q1055+'Budget Detail FY 2012-19'!Q1077+'Budget Detail FY 2012-19'!Q1103</f>
        <v>22782941</v>
      </c>
      <c r="G994" s="146">
        <f>'Budget Detail FY 2012-19'!R66+'Budget Detail FY 2012-19'!R314+'Budget Detail FY 2012-19'!R332+'Budget Detail FY 2012-19'!R355+'Budget Detail FY 2012-19'!R386+'Budget Detail FY 2012-19'!R418+'Budget Detail FY 2012-19'!R465+'Budget Detail FY 2012-19'!R466+'Budget Detail FY 2012-19'!R467+'Budget Detail FY 2012-19'!R468+'Budget Detail FY 2012-19'!R469+'Budget Detail FY 2012-19'!R471+'Budget Detail FY 2012-19'!R472+'Budget Detail FY 2012-19'!R473+'Budget Detail FY 2012-19'!R474+'Budget Detail FY 2012-19'!R475+'Budget Detail FY 2012-19'!R476+'Budget Detail FY 2012-19'!R478+'Budget Detail FY 2012-19'!R479+'Budget Detail FY 2012-19'!R482+'Budget Detail FY 2012-19'!R483+'Budget Detail FY 2012-19'!R484+'Budget Detail FY 2012-19'!R485+'Budget Detail FY 2012-19'!R487+'Budget Detail FY 2012-19'!R548+'Budget Detail FY 2012-19'!R586+'Budget Detail FY 2012-19'!R681+'Budget Detail FY 2012-19'!R769+'Budget Detail FY 2012-19'!R1055+'Budget Detail FY 2012-19'!R1077+'Budget Detail FY 2012-19'!R1103</f>
        <v>26792547</v>
      </c>
      <c r="H994" s="146">
        <f>'Budget Detail FY 2012-19'!S66+'Budget Detail FY 2012-19'!S314+'Budget Detail FY 2012-19'!S332+'Budget Detail FY 2012-19'!S355+'Budget Detail FY 2012-19'!S386+'Budget Detail FY 2012-19'!S418+'Budget Detail FY 2012-19'!S465+'Budget Detail FY 2012-19'!S466+'Budget Detail FY 2012-19'!S467+'Budget Detail FY 2012-19'!S468+'Budget Detail FY 2012-19'!S469+'Budget Detail FY 2012-19'!S471+'Budget Detail FY 2012-19'!S472+'Budget Detail FY 2012-19'!S473+'Budget Detail FY 2012-19'!S474+'Budget Detail FY 2012-19'!S475+'Budget Detail FY 2012-19'!S476+'Budget Detail FY 2012-19'!S478+'Budget Detail FY 2012-19'!S479+'Budget Detail FY 2012-19'!S482+'Budget Detail FY 2012-19'!S483+'Budget Detail FY 2012-19'!S484+'Budget Detail FY 2012-19'!S485+'Budget Detail FY 2012-19'!S487+'Budget Detail FY 2012-19'!S548+'Budget Detail FY 2012-19'!S586+'Budget Detail FY 2012-19'!S681+'Budget Detail FY 2012-19'!S769+'Budget Detail FY 2012-19'!S1055+'Budget Detail FY 2012-19'!S1077+'Budget Detail FY 2012-19'!S1103</f>
        <v>21395308</v>
      </c>
      <c r="I994" s="146">
        <f>'Budget Detail FY 2012-19'!T66+'Budget Detail FY 2012-19'!T314+'Budget Detail FY 2012-19'!T332+'Budget Detail FY 2012-19'!T355+'Budget Detail FY 2012-19'!T386+'Budget Detail FY 2012-19'!T418+'Budget Detail FY 2012-19'!T465+'Budget Detail FY 2012-19'!T466+'Budget Detail FY 2012-19'!T467+'Budget Detail FY 2012-19'!T468+'Budget Detail FY 2012-19'!T469+'Budget Detail FY 2012-19'!T471+'Budget Detail FY 2012-19'!T472+'Budget Detail FY 2012-19'!T473+'Budget Detail FY 2012-19'!T474+'Budget Detail FY 2012-19'!T475+'Budget Detail FY 2012-19'!T476+'Budget Detail FY 2012-19'!T478+'Budget Detail FY 2012-19'!T479+'Budget Detail FY 2012-19'!T482+'Budget Detail FY 2012-19'!T483+'Budget Detail FY 2012-19'!T484+'Budget Detail FY 2012-19'!T485+'Budget Detail FY 2012-19'!T487+'Budget Detail FY 2012-19'!T548+'Budget Detail FY 2012-19'!T586+'Budget Detail FY 2012-19'!T681+'Budget Detail FY 2012-19'!T769+'Budget Detail FY 2012-19'!T1055+'Budget Detail FY 2012-19'!T1077+'Budget Detail FY 2012-19'!T1103</f>
        <v>22590073</v>
      </c>
      <c r="J994" s="146">
        <f>'Budget Detail FY 2012-19'!U66+'Budget Detail FY 2012-19'!U314+'Budget Detail FY 2012-19'!U332+'Budget Detail FY 2012-19'!U355+'Budget Detail FY 2012-19'!U386+'Budget Detail FY 2012-19'!U418+'Budget Detail FY 2012-19'!U465+'Budget Detail FY 2012-19'!U466+'Budget Detail FY 2012-19'!U467+'Budget Detail FY 2012-19'!U468+'Budget Detail FY 2012-19'!U469+'Budget Detail FY 2012-19'!U471+'Budget Detail FY 2012-19'!U472+'Budget Detail FY 2012-19'!U473+'Budget Detail FY 2012-19'!U474+'Budget Detail FY 2012-19'!U475+'Budget Detail FY 2012-19'!U476+'Budget Detail FY 2012-19'!U478+'Budget Detail FY 2012-19'!U479+'Budget Detail FY 2012-19'!U482+'Budget Detail FY 2012-19'!U483+'Budget Detail FY 2012-19'!U484+'Budget Detail FY 2012-19'!U485+'Budget Detail FY 2012-19'!U487+'Budget Detail FY 2012-19'!U548+'Budget Detail FY 2012-19'!U586+'Budget Detail FY 2012-19'!U681+'Budget Detail FY 2012-19'!U769+'Budget Detail FY 2012-19'!U1055+'Budget Detail FY 2012-19'!U1077+'Budget Detail FY 2012-19'!U1103</f>
        <v>22059930</v>
      </c>
      <c r="K994" s="146">
        <f>'Budget Detail FY 2012-19'!V66+'Budget Detail FY 2012-19'!V314+'Budget Detail FY 2012-19'!V332+'Budget Detail FY 2012-19'!V355+'Budget Detail FY 2012-19'!V386+'Budget Detail FY 2012-19'!V418+'Budget Detail FY 2012-19'!V465+'Budget Detail FY 2012-19'!V466+'Budget Detail FY 2012-19'!V467+'Budget Detail FY 2012-19'!V468+'Budget Detail FY 2012-19'!V469+'Budget Detail FY 2012-19'!V471+'Budget Detail FY 2012-19'!V472+'Budget Detail FY 2012-19'!V473+'Budget Detail FY 2012-19'!V474+'Budget Detail FY 2012-19'!V475+'Budget Detail FY 2012-19'!V476+'Budget Detail FY 2012-19'!V478+'Budget Detail FY 2012-19'!V479+'Budget Detail FY 2012-19'!V482+'Budget Detail FY 2012-19'!V483+'Budget Detail FY 2012-19'!V484+'Budget Detail FY 2012-19'!V485+'Budget Detail FY 2012-19'!V487+'Budget Detail FY 2012-19'!V548+'Budget Detail FY 2012-19'!V586+'Budget Detail FY 2012-19'!V681+'Budget Detail FY 2012-19'!V769+'Budget Detail FY 2012-19'!V1055+'Budget Detail FY 2012-19'!V1077+'Budget Detail FY 2012-19'!V1103</f>
        <v>22264754</v>
      </c>
      <c r="L994" s="586" t="s">
        <v>1299</v>
      </c>
    </row>
    <row r="995" spans="1:12" s="175" customFormat="1" ht="15" hidden="1">
      <c r="A995" s="200"/>
      <c r="B995" s="176"/>
      <c r="C995" s="147">
        <f>C993-C994</f>
        <v>0</v>
      </c>
      <c r="D995" s="147">
        <f>D993-D994</f>
        <v>0</v>
      </c>
      <c r="E995" s="147">
        <f t="shared" ref="E995:K995" si="156">E993-E994</f>
        <v>0</v>
      </c>
      <c r="F995" s="147">
        <f t="shared" si="156"/>
        <v>0</v>
      </c>
      <c r="G995" s="147">
        <f>G993-G994</f>
        <v>0</v>
      </c>
      <c r="H995" s="147">
        <f t="shared" si="156"/>
        <v>0</v>
      </c>
      <c r="I995" s="147">
        <f t="shared" si="156"/>
        <v>0</v>
      </c>
      <c r="J995" s="147">
        <f t="shared" si="156"/>
        <v>0</v>
      </c>
      <c r="K995" s="147">
        <f t="shared" si="156"/>
        <v>0</v>
      </c>
      <c r="L995" s="587" t="s">
        <v>1300</v>
      </c>
    </row>
    <row r="996" spans="1:12" ht="7.5" customHeight="1">
      <c r="A996" s="1"/>
      <c r="B996" s="1"/>
      <c r="C996" s="2"/>
      <c r="D996" s="2"/>
      <c r="E996" s="2"/>
      <c r="F996" s="2"/>
      <c r="G996" s="2"/>
      <c r="H996" s="2"/>
      <c r="I996" s="2"/>
      <c r="J996" s="2"/>
      <c r="K996" s="2"/>
    </row>
    <row r="997" spans="1:12" ht="15">
      <c r="A997" s="1"/>
      <c r="B997" s="177" t="s">
        <v>659</v>
      </c>
      <c r="C997" s="2"/>
      <c r="D997" s="2"/>
      <c r="E997" s="2"/>
      <c r="F997" s="2"/>
      <c r="G997" s="2"/>
      <c r="H997" s="2"/>
      <c r="I997" s="2"/>
      <c r="J997" s="2"/>
      <c r="K997" s="2"/>
    </row>
    <row r="998" spans="1:12" ht="20.100000000000001" customHeight="1">
      <c r="A998" s="1"/>
      <c r="B998" s="689" t="s">
        <v>929</v>
      </c>
      <c r="C998" s="2">
        <f t="shared" ref="C998:K998" si="157">C25+C443+C497</f>
        <v>3560392</v>
      </c>
      <c r="D998" s="2">
        <f t="shared" si="157"/>
        <v>3698231</v>
      </c>
      <c r="E998" s="2">
        <f t="shared" si="157"/>
        <v>4075539</v>
      </c>
      <c r="F998" s="2">
        <f t="shared" si="157"/>
        <v>4070039</v>
      </c>
      <c r="G998" s="2">
        <f t="shared" si="157"/>
        <v>4514382</v>
      </c>
      <c r="H998" s="2">
        <f t="shared" si="157"/>
        <v>4736664</v>
      </c>
      <c r="I998" s="2">
        <f t="shared" si="157"/>
        <v>4890634</v>
      </c>
      <c r="J998" s="2">
        <f t="shared" si="157"/>
        <v>5049994</v>
      </c>
      <c r="K998" s="2">
        <f t="shared" si="157"/>
        <v>5214931</v>
      </c>
    </row>
    <row r="999" spans="1:12" ht="20.100000000000001" customHeight="1">
      <c r="A999" s="1"/>
      <c r="B999" s="689" t="s">
        <v>930</v>
      </c>
      <c r="C999" s="2">
        <f t="shared" ref="C999:K999" si="158">C26+C444+C498</f>
        <v>2497616</v>
      </c>
      <c r="D999" s="2">
        <f t="shared" si="158"/>
        <v>2180578</v>
      </c>
      <c r="E999" s="2">
        <f t="shared" si="158"/>
        <v>2570918</v>
      </c>
      <c r="F999" s="2">
        <f t="shared" si="158"/>
        <v>2435224</v>
      </c>
      <c r="G999" s="2">
        <f t="shared" si="158"/>
        <v>2790338</v>
      </c>
      <c r="H999" s="2">
        <f t="shared" si="158"/>
        <v>3018529</v>
      </c>
      <c r="I999" s="2">
        <f t="shared" si="158"/>
        <v>3209401</v>
      </c>
      <c r="J999" s="2">
        <f t="shared" si="158"/>
        <v>3413144</v>
      </c>
      <c r="K999" s="2">
        <f t="shared" si="158"/>
        <v>3630180</v>
      </c>
    </row>
    <row r="1000" spans="1:12" ht="20.100000000000001" customHeight="1">
      <c r="A1000" s="1"/>
      <c r="B1000" s="689" t="s">
        <v>931</v>
      </c>
      <c r="C1000" s="2">
        <f t="shared" ref="C1000:K1000" si="159">C27+C73+C117+C161+C206+C253+C316+C323+C395+C445+C499+C553+C853+C900+C945</f>
        <v>5341136</v>
      </c>
      <c r="D1000" s="2">
        <f t="shared" si="159"/>
        <v>4371281</v>
      </c>
      <c r="E1000" s="2">
        <f t="shared" si="159"/>
        <v>6456125</v>
      </c>
      <c r="F1000" s="2">
        <f t="shared" si="159"/>
        <v>6527818</v>
      </c>
      <c r="G1000" s="2">
        <f t="shared" si="159"/>
        <v>5244903</v>
      </c>
      <c r="H1000" s="2">
        <f t="shared" si="159"/>
        <v>5207604</v>
      </c>
      <c r="I1000" s="2">
        <f t="shared" si="159"/>
        <v>5241452</v>
      </c>
      <c r="J1000" s="2">
        <f t="shared" si="159"/>
        <v>5354236</v>
      </c>
      <c r="K1000" s="2">
        <f t="shared" si="159"/>
        <v>5450503</v>
      </c>
    </row>
    <row r="1001" spans="1:12" ht="20.100000000000001" customHeight="1">
      <c r="A1001" s="1"/>
      <c r="B1001" s="689" t="s">
        <v>932</v>
      </c>
      <c r="C1001" s="2">
        <f t="shared" ref="C1001:K1001" si="160">C28+C162+C254+C324+C446+C500+C854</f>
        <v>761737</v>
      </c>
      <c r="D1001" s="2">
        <f t="shared" si="160"/>
        <v>690841</v>
      </c>
      <c r="E1001" s="2">
        <f t="shared" si="160"/>
        <v>898745</v>
      </c>
      <c r="F1001" s="2">
        <f t="shared" si="160"/>
        <v>823745</v>
      </c>
      <c r="G1001" s="2">
        <f t="shared" si="160"/>
        <v>897389</v>
      </c>
      <c r="H1001" s="2">
        <f t="shared" si="160"/>
        <v>922575</v>
      </c>
      <c r="I1001" s="2">
        <f t="shared" si="160"/>
        <v>951442</v>
      </c>
      <c r="J1001" s="2">
        <f t="shared" si="160"/>
        <v>979608</v>
      </c>
      <c r="K1001" s="2">
        <f t="shared" si="160"/>
        <v>1002046</v>
      </c>
    </row>
    <row r="1002" spans="1:12" ht="20.100000000000001" customHeight="1">
      <c r="A1002" s="1"/>
      <c r="B1002" s="689" t="s">
        <v>933</v>
      </c>
      <c r="C1002" s="2">
        <f t="shared" ref="C1002:K1002" si="161">C163+C255+C317+C325+C447+C501+C554+C946</f>
        <v>457112</v>
      </c>
      <c r="D1002" s="2">
        <f t="shared" si="161"/>
        <v>721564</v>
      </c>
      <c r="E1002" s="2">
        <f t="shared" si="161"/>
        <v>3241580</v>
      </c>
      <c r="F1002" s="2">
        <f t="shared" si="161"/>
        <v>3442562</v>
      </c>
      <c r="G1002" s="2">
        <f t="shared" si="161"/>
        <v>4735735</v>
      </c>
      <c r="H1002" s="2">
        <f t="shared" si="161"/>
        <v>6386816</v>
      </c>
      <c r="I1002" s="2">
        <f t="shared" si="161"/>
        <v>2860954</v>
      </c>
      <c r="J1002" s="2">
        <f t="shared" si="161"/>
        <v>1650866</v>
      </c>
      <c r="K1002" s="2">
        <f t="shared" si="161"/>
        <v>1155366</v>
      </c>
    </row>
    <row r="1003" spans="1:12" ht="20.100000000000001" customHeight="1">
      <c r="A1003" s="1"/>
      <c r="B1003" s="690" t="s">
        <v>934</v>
      </c>
      <c r="C1003" s="2">
        <f>C29</f>
        <v>52075</v>
      </c>
      <c r="D1003" s="2">
        <f t="shared" ref="D1003:K1003" si="162">D29</f>
        <v>0</v>
      </c>
      <c r="E1003" s="2">
        <f t="shared" si="162"/>
        <v>50000</v>
      </c>
      <c r="F1003" s="2">
        <f t="shared" si="162"/>
        <v>11675</v>
      </c>
      <c r="G1003" s="2">
        <f t="shared" si="162"/>
        <v>0</v>
      </c>
      <c r="H1003" s="2">
        <f t="shared" si="162"/>
        <v>0</v>
      </c>
      <c r="I1003" s="2">
        <f t="shared" si="162"/>
        <v>0</v>
      </c>
      <c r="J1003" s="2">
        <f t="shared" si="162"/>
        <v>0</v>
      </c>
      <c r="K1003" s="2">
        <f t="shared" si="162"/>
        <v>0</v>
      </c>
    </row>
    <row r="1004" spans="1:12" ht="20.100000000000001" customHeight="1">
      <c r="A1004" s="1"/>
      <c r="B1004" s="690" t="s">
        <v>949</v>
      </c>
      <c r="C1004" s="2">
        <f>C448+C502</f>
        <v>306861</v>
      </c>
      <c r="D1004" s="2">
        <f t="shared" ref="D1004:K1004" si="163">D448+D502</f>
        <v>191917</v>
      </c>
      <c r="E1004" s="2">
        <f t="shared" si="163"/>
        <v>0</v>
      </c>
      <c r="F1004" s="2">
        <f t="shared" si="163"/>
        <v>0</v>
      </c>
      <c r="G1004" s="2">
        <f t="shared" si="163"/>
        <v>0</v>
      </c>
      <c r="H1004" s="2">
        <f t="shared" si="163"/>
        <v>0</v>
      </c>
      <c r="I1004" s="2">
        <f t="shared" si="163"/>
        <v>0</v>
      </c>
      <c r="J1004" s="2">
        <f t="shared" si="163"/>
        <v>0</v>
      </c>
      <c r="K1004" s="2">
        <f t="shared" si="163"/>
        <v>0</v>
      </c>
    </row>
    <row r="1005" spans="1:12" ht="20.100000000000001" customHeight="1">
      <c r="A1005" s="1"/>
      <c r="B1005" s="690" t="s">
        <v>852</v>
      </c>
      <c r="C1005" s="2">
        <f t="shared" ref="C1005:K1005" si="164">C256+C326+C396+C449+C503+C855+C901</f>
        <v>3337833</v>
      </c>
      <c r="D1005" s="2">
        <f t="shared" si="164"/>
        <v>3375398</v>
      </c>
      <c r="E1005" s="2">
        <f t="shared" si="164"/>
        <v>3934966</v>
      </c>
      <c r="F1005" s="2">
        <f t="shared" si="164"/>
        <v>3922892</v>
      </c>
      <c r="G1005" s="2">
        <f t="shared" si="164"/>
        <v>3776313</v>
      </c>
      <c r="H1005" s="2">
        <f t="shared" si="164"/>
        <v>3939832</v>
      </c>
      <c r="I1005" s="2">
        <f t="shared" si="164"/>
        <v>3977129</v>
      </c>
      <c r="J1005" s="2">
        <f t="shared" si="164"/>
        <v>3976833</v>
      </c>
      <c r="K1005" s="2">
        <f t="shared" si="164"/>
        <v>4186601</v>
      </c>
    </row>
    <row r="1006" spans="1:12" ht="20.100000000000001" customHeight="1">
      <c r="A1006" s="1"/>
      <c r="B1006" s="690" t="s">
        <v>935</v>
      </c>
      <c r="C1006" s="2">
        <f t="shared" ref="C1006:K1006" si="165">C30+C257+C504+C856</f>
        <v>1981309</v>
      </c>
      <c r="D1006" s="2">
        <f t="shared" si="165"/>
        <v>1583790</v>
      </c>
      <c r="E1006" s="2">
        <f t="shared" si="165"/>
        <v>3886911</v>
      </c>
      <c r="F1006" s="2">
        <f t="shared" si="165"/>
        <v>3885152</v>
      </c>
      <c r="G1006" s="2">
        <f t="shared" si="165"/>
        <v>2637791</v>
      </c>
      <c r="H1006" s="2">
        <f t="shared" si="165"/>
        <v>2744301</v>
      </c>
      <c r="I1006" s="2">
        <f t="shared" si="165"/>
        <v>2913680</v>
      </c>
      <c r="J1006" s="2">
        <f t="shared" si="165"/>
        <v>3107707</v>
      </c>
      <c r="K1006" s="2">
        <f t="shared" si="165"/>
        <v>3279665</v>
      </c>
    </row>
    <row r="1007" spans="1:12" ht="20.100000000000001" customHeight="1" thickBot="1">
      <c r="A1007" s="1"/>
      <c r="B1007" s="172" t="s">
        <v>936</v>
      </c>
      <c r="C1007" s="169">
        <f>SUM(C998:C1006)</f>
        <v>18296071</v>
      </c>
      <c r="D1007" s="169">
        <f t="shared" ref="D1007:J1007" si="166">SUM(D998:D1006)</f>
        <v>16813600</v>
      </c>
      <c r="E1007" s="169">
        <f t="shared" si="166"/>
        <v>25114784</v>
      </c>
      <c r="F1007" s="169">
        <f t="shared" si="166"/>
        <v>25119107</v>
      </c>
      <c r="G1007" s="169">
        <f t="shared" si="166"/>
        <v>24596851</v>
      </c>
      <c r="H1007" s="169">
        <f t="shared" si="166"/>
        <v>26956321</v>
      </c>
      <c r="I1007" s="169">
        <f t="shared" si="166"/>
        <v>24044692</v>
      </c>
      <c r="J1007" s="169">
        <f t="shared" si="166"/>
        <v>23532388</v>
      </c>
      <c r="K1007" s="169">
        <f>SUM(K998:K1006)</f>
        <v>23919292</v>
      </c>
      <c r="L1007" s="173"/>
    </row>
    <row r="1008" spans="1:12" s="173" customFormat="1" ht="15" hidden="1">
      <c r="A1008" s="199"/>
      <c r="B1008" s="174"/>
      <c r="C1008" s="146">
        <f>'Budget Detail FY 2012-19'!N302+'Budget Detail FY 2012-19'!N320+'Budget Detail FY 2012-19'!N337+'Budget Detail FY 2012-19'!N374+'Budget Detail FY 2012-19'!N390+'Budget Detail FY 2012-19'!N451+'Budget Detail FY 2012-19'!N497+'Budget Detail FY 2012-19'!N509+'Budget Detail FY 2012-19'!N562+'Budget Detail FY 2012-19'!N655+'Budget Detail FY 2012-19'!N747+'Budget Detail FY 2012-19'!N782+'Budget Detail FY 2012-19'!N1065+'Budget Detail FY 2012-19'!N1090+'Budget Detail FY 2012-19'!N1113</f>
        <v>18296071</v>
      </c>
      <c r="D1008" s="146">
        <f>'Budget Detail FY 2012-19'!O302+'Budget Detail FY 2012-19'!O320+'Budget Detail FY 2012-19'!O337+'Budget Detail FY 2012-19'!O374+'Budget Detail FY 2012-19'!O390+'Budget Detail FY 2012-19'!O451+'Budget Detail FY 2012-19'!O497+'Budget Detail FY 2012-19'!O509+'Budget Detail FY 2012-19'!O562+'Budget Detail FY 2012-19'!O655+'Budget Detail FY 2012-19'!O747+'Budget Detail FY 2012-19'!O782+'Budget Detail FY 2012-19'!O1065+'Budget Detail FY 2012-19'!O1090+'Budget Detail FY 2012-19'!O1113</f>
        <v>16813600</v>
      </c>
      <c r="E1008" s="146">
        <f>'Budget Detail FY 2012-19'!P302+'Budget Detail FY 2012-19'!P320+'Budget Detail FY 2012-19'!P337+'Budget Detail FY 2012-19'!P374+'Budget Detail FY 2012-19'!P390+'Budget Detail FY 2012-19'!P451+'Budget Detail FY 2012-19'!P497+'Budget Detail FY 2012-19'!P509+'Budget Detail FY 2012-19'!P562+'Budget Detail FY 2012-19'!P655+'Budget Detail FY 2012-19'!P747+'Budget Detail FY 2012-19'!P782+'Budget Detail FY 2012-19'!P1065+'Budget Detail FY 2012-19'!P1090+'Budget Detail FY 2012-19'!P1113</f>
        <v>25114784</v>
      </c>
      <c r="F1008" s="146">
        <f>'Budget Detail FY 2012-19'!Q302+'Budget Detail FY 2012-19'!Q320+'Budget Detail FY 2012-19'!Q337+'Budget Detail FY 2012-19'!Q374+'Budget Detail FY 2012-19'!Q390+'Budget Detail FY 2012-19'!Q451+'Budget Detail FY 2012-19'!Q497+'Budget Detail FY 2012-19'!Q509+'Budget Detail FY 2012-19'!Q562+'Budget Detail FY 2012-19'!Q655+'Budget Detail FY 2012-19'!Q747+'Budget Detail FY 2012-19'!Q782+'Budget Detail FY 2012-19'!Q1065+'Budget Detail FY 2012-19'!Q1090+'Budget Detail FY 2012-19'!Q1113</f>
        <v>25119107</v>
      </c>
      <c r="G1008" s="146">
        <f>'Budget Detail FY 2012-19'!R302+'Budget Detail FY 2012-19'!R320+'Budget Detail FY 2012-19'!R337+'Budget Detail FY 2012-19'!R374+'Budget Detail FY 2012-19'!R390+'Budget Detail FY 2012-19'!R451+'Budget Detail FY 2012-19'!R497+'Budget Detail FY 2012-19'!R509+'Budget Detail FY 2012-19'!R562+'Budget Detail FY 2012-19'!R655+'Budget Detail FY 2012-19'!R747+'Budget Detail FY 2012-19'!R782+'Budget Detail FY 2012-19'!R1065+'Budget Detail FY 2012-19'!R1090+'Budget Detail FY 2012-19'!R1113</f>
        <v>24596851</v>
      </c>
      <c r="H1008" s="146">
        <f>'Budget Detail FY 2012-19'!S302+'Budget Detail FY 2012-19'!S320+'Budget Detail FY 2012-19'!S337+'Budget Detail FY 2012-19'!S374+'Budget Detail FY 2012-19'!S390+'Budget Detail FY 2012-19'!S451+'Budget Detail FY 2012-19'!S497+'Budget Detail FY 2012-19'!S509+'Budget Detail FY 2012-19'!S562+'Budget Detail FY 2012-19'!S655+'Budget Detail FY 2012-19'!S747+'Budget Detail FY 2012-19'!S782+'Budget Detail FY 2012-19'!S1065+'Budget Detail FY 2012-19'!S1090+'Budget Detail FY 2012-19'!S1113</f>
        <v>26956321</v>
      </c>
      <c r="I1008" s="146">
        <f>'Budget Detail FY 2012-19'!T302+'Budget Detail FY 2012-19'!T320+'Budget Detail FY 2012-19'!T337+'Budget Detail FY 2012-19'!T374+'Budget Detail FY 2012-19'!T390+'Budget Detail FY 2012-19'!T451+'Budget Detail FY 2012-19'!T497+'Budget Detail FY 2012-19'!T509+'Budget Detail FY 2012-19'!T562+'Budget Detail FY 2012-19'!T655+'Budget Detail FY 2012-19'!T747+'Budget Detail FY 2012-19'!T782+'Budget Detail FY 2012-19'!T1065+'Budget Detail FY 2012-19'!T1090+'Budget Detail FY 2012-19'!T1113</f>
        <v>24044692</v>
      </c>
      <c r="J1008" s="146">
        <f>'Budget Detail FY 2012-19'!U302+'Budget Detail FY 2012-19'!U320+'Budget Detail FY 2012-19'!U337+'Budget Detail FY 2012-19'!U374+'Budget Detail FY 2012-19'!U390+'Budget Detail FY 2012-19'!U451+'Budget Detail FY 2012-19'!U497+'Budget Detail FY 2012-19'!U509+'Budget Detail FY 2012-19'!U562+'Budget Detail FY 2012-19'!U655+'Budget Detail FY 2012-19'!U747+'Budget Detail FY 2012-19'!U782+'Budget Detail FY 2012-19'!U1065+'Budget Detail FY 2012-19'!U1090+'Budget Detail FY 2012-19'!U1113</f>
        <v>23532388</v>
      </c>
      <c r="K1008" s="146">
        <f>'Budget Detail FY 2012-19'!V302+'Budget Detail FY 2012-19'!V320+'Budget Detail FY 2012-19'!V337+'Budget Detail FY 2012-19'!V374+'Budget Detail FY 2012-19'!V390+'Budget Detail FY 2012-19'!V451+'Budget Detail FY 2012-19'!V497+'Budget Detail FY 2012-19'!V509+'Budget Detail FY 2012-19'!V562+'Budget Detail FY 2012-19'!V655+'Budget Detail FY 2012-19'!V747+'Budget Detail FY 2012-19'!V782+'Budget Detail FY 2012-19'!V1065+'Budget Detail FY 2012-19'!V1090+'Budget Detail FY 2012-19'!V1113</f>
        <v>23919292</v>
      </c>
      <c r="L1008" s="586" t="s">
        <v>1299</v>
      </c>
    </row>
    <row r="1009" spans="1:12" s="175" customFormat="1" ht="15" hidden="1">
      <c r="A1009" s="200"/>
      <c r="B1009" s="176"/>
      <c r="C1009" s="147">
        <f>C1007-C1008</f>
        <v>0</v>
      </c>
      <c r="D1009" s="147">
        <f t="shared" ref="D1009:K1009" si="167">D1007-D1008</f>
        <v>0</v>
      </c>
      <c r="E1009" s="147">
        <f t="shared" si="167"/>
        <v>0</v>
      </c>
      <c r="F1009" s="147">
        <f t="shared" si="167"/>
        <v>0</v>
      </c>
      <c r="G1009" s="147">
        <f t="shared" si="167"/>
        <v>0</v>
      </c>
      <c r="H1009" s="147">
        <f t="shared" si="167"/>
        <v>0</v>
      </c>
      <c r="I1009" s="147">
        <f t="shared" si="167"/>
        <v>0</v>
      </c>
      <c r="J1009" s="147">
        <f t="shared" si="167"/>
        <v>0</v>
      </c>
      <c r="K1009" s="147">
        <f t="shared" si="167"/>
        <v>0</v>
      </c>
      <c r="L1009" s="587" t="s">
        <v>1300</v>
      </c>
    </row>
    <row r="1010" spans="1:12" ht="7.5" customHeight="1">
      <c r="A1010" s="1"/>
      <c r="B1010" s="179"/>
      <c r="C1010" s="3"/>
      <c r="D1010" s="2"/>
      <c r="E1010" s="2"/>
      <c r="F1010" s="2"/>
      <c r="G1010" s="2"/>
      <c r="H1010" s="2"/>
      <c r="I1010" s="2"/>
      <c r="J1010" s="2"/>
      <c r="K1010" s="2"/>
    </row>
    <row r="1011" spans="1:12" ht="20.100000000000001" customHeight="1">
      <c r="A1011" s="1"/>
      <c r="B1011" s="691" t="s">
        <v>937</v>
      </c>
      <c r="C1011" s="3">
        <f>+C993-C1007</f>
        <v>2354706</v>
      </c>
      <c r="D1011" s="3">
        <f t="shared" ref="D1011:K1011" si="168">+D993-D1007</f>
        <v>3486510</v>
      </c>
      <c r="E1011" s="3">
        <f t="shared" si="168"/>
        <v>-3060217</v>
      </c>
      <c r="F1011" s="3">
        <f t="shared" si="168"/>
        <v>-2336166</v>
      </c>
      <c r="G1011" s="3">
        <f t="shared" si="168"/>
        <v>2195696</v>
      </c>
      <c r="H1011" s="3">
        <f t="shared" si="168"/>
        <v>-5561013</v>
      </c>
      <c r="I1011" s="3">
        <f t="shared" si="168"/>
        <v>-1454619</v>
      </c>
      <c r="J1011" s="3">
        <f t="shared" si="168"/>
        <v>-1472458</v>
      </c>
      <c r="K1011" s="3">
        <f t="shared" si="168"/>
        <v>-1654538</v>
      </c>
      <c r="L1011" s="173"/>
    </row>
    <row r="1012" spans="1:12" s="173" customFormat="1" ht="15" hidden="1">
      <c r="A1012" s="199"/>
      <c r="B1012" s="180"/>
      <c r="C1012" s="146">
        <f>'Budget Detail FY 2012-19'!N304+'Budget Detail FY 2012-19'!N322+'Budget Detail FY 2012-19'!N339+'Budget Detail FY 2012-19'!N376+'Budget Detail FY 2012-19'!N392+'Budget Detail FY 2012-19'!N453+('Budget Detail FY 2012-19'!N489-'Budget Detail FY 2012-19'!N470-'Budget Detail FY 2012-19'!N477-'Budget Detail FY 2012-19'!N480-'Budget Detail FY 2012-19'!N481-'Budget Detail FY 2012-19'!N486-'Budget Detail FY 2012-19'!N497-'Budget Detail FY 2012-19'!N509)+'Budget Detail FY 2012-19'!N564+'Budget Detail FY 2012-19'!N657+'Budget Detail FY 2012-19'!N749+'Budget Detail FY 2012-19'!N784+'Budget Detail FY 2012-19'!N1067+'Budget Detail FY 2012-19'!N1092+'Budget Detail FY 2012-19'!N1115</f>
        <v>2354706</v>
      </c>
      <c r="D1012" s="146">
        <f>'Budget Detail FY 2012-19'!O304+'Budget Detail FY 2012-19'!O322+'Budget Detail FY 2012-19'!O339+'Budget Detail FY 2012-19'!O376+'Budget Detail FY 2012-19'!O392+'Budget Detail FY 2012-19'!O453+('Budget Detail FY 2012-19'!O489-'Budget Detail FY 2012-19'!O470-'Budget Detail FY 2012-19'!O477-'Budget Detail FY 2012-19'!O480-'Budget Detail FY 2012-19'!O481-'Budget Detail FY 2012-19'!O486-'Budget Detail FY 2012-19'!O497-'Budget Detail FY 2012-19'!O509)+'Budget Detail FY 2012-19'!O564+'Budget Detail FY 2012-19'!O657+'Budget Detail FY 2012-19'!O749+'Budget Detail FY 2012-19'!O784+'Budget Detail FY 2012-19'!O1067+'Budget Detail FY 2012-19'!O1092+'Budget Detail FY 2012-19'!O1115</f>
        <v>3486510</v>
      </c>
      <c r="E1012" s="146">
        <f>'Budget Detail FY 2012-19'!P304+'Budget Detail FY 2012-19'!P322+'Budget Detail FY 2012-19'!P339+'Budget Detail FY 2012-19'!P376+'Budget Detail FY 2012-19'!P392+'Budget Detail FY 2012-19'!P453+('Budget Detail FY 2012-19'!P489-'Budget Detail FY 2012-19'!P470-'Budget Detail FY 2012-19'!P477-'Budget Detail FY 2012-19'!P480-'Budget Detail FY 2012-19'!P481-'Budget Detail FY 2012-19'!P486-'Budget Detail FY 2012-19'!P497-'Budget Detail FY 2012-19'!P509)+'Budget Detail FY 2012-19'!P564+'Budget Detail FY 2012-19'!P657+'Budget Detail FY 2012-19'!P749+'Budget Detail FY 2012-19'!P784+'Budget Detail FY 2012-19'!P1067+'Budget Detail FY 2012-19'!P1092+'Budget Detail FY 2012-19'!P1115</f>
        <v>-3060217</v>
      </c>
      <c r="F1012" s="146">
        <f>'Budget Detail FY 2012-19'!Q304+'Budget Detail FY 2012-19'!Q322+'Budget Detail FY 2012-19'!Q339+'Budget Detail FY 2012-19'!Q376+'Budget Detail FY 2012-19'!Q392+'Budget Detail FY 2012-19'!Q453+('Budget Detail FY 2012-19'!Q489-'Budget Detail FY 2012-19'!Q470-'Budget Detail FY 2012-19'!Q477-'Budget Detail FY 2012-19'!Q480-'Budget Detail FY 2012-19'!Q481-'Budget Detail FY 2012-19'!Q486-'Budget Detail FY 2012-19'!Q497-'Budget Detail FY 2012-19'!Q509)+'Budget Detail FY 2012-19'!Q564+'Budget Detail FY 2012-19'!Q657+'Budget Detail FY 2012-19'!Q749+'Budget Detail FY 2012-19'!Q784+'Budget Detail FY 2012-19'!Q1067+'Budget Detail FY 2012-19'!Q1092+'Budget Detail FY 2012-19'!Q1115</f>
        <v>-2336166</v>
      </c>
      <c r="G1012" s="146">
        <f>'Budget Detail FY 2012-19'!R304+'Budget Detail FY 2012-19'!R322+'Budget Detail FY 2012-19'!R339+'Budget Detail FY 2012-19'!R376+'Budget Detail FY 2012-19'!R392+'Budget Detail FY 2012-19'!R453+('Budget Detail FY 2012-19'!R489-'Budget Detail FY 2012-19'!R470-'Budget Detail FY 2012-19'!R477-'Budget Detail FY 2012-19'!R480-'Budget Detail FY 2012-19'!R481-'Budget Detail FY 2012-19'!R486-'Budget Detail FY 2012-19'!R497-'Budget Detail FY 2012-19'!R509)+'Budget Detail FY 2012-19'!R564+'Budget Detail FY 2012-19'!R657+'Budget Detail FY 2012-19'!R749+'Budget Detail FY 2012-19'!R784+'Budget Detail FY 2012-19'!R1067+'Budget Detail FY 2012-19'!R1092+'Budget Detail FY 2012-19'!R1115</f>
        <v>2195696</v>
      </c>
      <c r="H1012" s="146">
        <f>'Budget Detail FY 2012-19'!S304+'Budget Detail FY 2012-19'!S322+'Budget Detail FY 2012-19'!S339+'Budget Detail FY 2012-19'!S376+'Budget Detail FY 2012-19'!S392+'Budget Detail FY 2012-19'!S453+('Budget Detail FY 2012-19'!S489-'Budget Detail FY 2012-19'!S470-'Budget Detail FY 2012-19'!S477-'Budget Detail FY 2012-19'!S480-'Budget Detail FY 2012-19'!S481-'Budget Detail FY 2012-19'!S486-'Budget Detail FY 2012-19'!S497-'Budget Detail FY 2012-19'!S509)+'Budget Detail FY 2012-19'!S564+'Budget Detail FY 2012-19'!S657+'Budget Detail FY 2012-19'!S749+'Budget Detail FY 2012-19'!S784+'Budget Detail FY 2012-19'!S1067+'Budget Detail FY 2012-19'!S1092+'Budget Detail FY 2012-19'!S1115</f>
        <v>-5561013</v>
      </c>
      <c r="I1012" s="146">
        <f>'Budget Detail FY 2012-19'!T304+'Budget Detail FY 2012-19'!T322+'Budget Detail FY 2012-19'!T339+'Budget Detail FY 2012-19'!T376+'Budget Detail FY 2012-19'!T392+'Budget Detail FY 2012-19'!T453+('Budget Detail FY 2012-19'!T489-'Budget Detail FY 2012-19'!T470-'Budget Detail FY 2012-19'!T477-'Budget Detail FY 2012-19'!T480-'Budget Detail FY 2012-19'!T481-'Budget Detail FY 2012-19'!T486-'Budget Detail FY 2012-19'!T497-'Budget Detail FY 2012-19'!T509)+'Budget Detail FY 2012-19'!T564+'Budget Detail FY 2012-19'!T657+'Budget Detail FY 2012-19'!T749+'Budget Detail FY 2012-19'!T784+'Budget Detail FY 2012-19'!T1067+'Budget Detail FY 2012-19'!T1092+'Budget Detail FY 2012-19'!T1115</f>
        <v>-1454619</v>
      </c>
      <c r="J1012" s="146">
        <f>'Budget Detail FY 2012-19'!U304+'Budget Detail FY 2012-19'!U322+'Budget Detail FY 2012-19'!U339+'Budget Detail FY 2012-19'!U376+'Budget Detail FY 2012-19'!U392+'Budget Detail FY 2012-19'!U453+('Budget Detail FY 2012-19'!U489-'Budget Detail FY 2012-19'!U470-'Budget Detail FY 2012-19'!U477-'Budget Detail FY 2012-19'!U480-'Budget Detail FY 2012-19'!U481-'Budget Detail FY 2012-19'!U486-'Budget Detail FY 2012-19'!U497-'Budget Detail FY 2012-19'!U509)+'Budget Detail FY 2012-19'!U564+'Budget Detail FY 2012-19'!U657+'Budget Detail FY 2012-19'!U749+'Budget Detail FY 2012-19'!U784+'Budget Detail FY 2012-19'!U1067+'Budget Detail FY 2012-19'!U1092+'Budget Detail FY 2012-19'!U1115</f>
        <v>-1472458</v>
      </c>
      <c r="K1012" s="146">
        <f>'Budget Detail FY 2012-19'!V304+'Budget Detail FY 2012-19'!V322+'Budget Detail FY 2012-19'!V339+'Budget Detail FY 2012-19'!V376+'Budget Detail FY 2012-19'!V392+'Budget Detail FY 2012-19'!V453+('Budget Detail FY 2012-19'!V489-'Budget Detail FY 2012-19'!V470-'Budget Detail FY 2012-19'!V477-'Budget Detail FY 2012-19'!V480-'Budget Detail FY 2012-19'!V481-'Budget Detail FY 2012-19'!V486-'Budget Detail FY 2012-19'!V497-'Budget Detail FY 2012-19'!V509)+'Budget Detail FY 2012-19'!V564+'Budget Detail FY 2012-19'!V657+'Budget Detail FY 2012-19'!V749+'Budget Detail FY 2012-19'!V784+'Budget Detail FY 2012-19'!V1067+'Budget Detail FY 2012-19'!V1092+'Budget Detail FY 2012-19'!V1115</f>
        <v>-1654538</v>
      </c>
      <c r="L1012" s="586" t="s">
        <v>1299</v>
      </c>
    </row>
    <row r="1013" spans="1:12" s="175" customFormat="1" ht="15" hidden="1">
      <c r="A1013" s="200"/>
      <c r="B1013" s="181"/>
      <c r="C1013" s="182">
        <f>C1011-C1012</f>
        <v>0</v>
      </c>
      <c r="D1013" s="182">
        <f t="shared" ref="D1013:K1013" si="169">D1011-D1012</f>
        <v>0</v>
      </c>
      <c r="E1013" s="182">
        <f t="shared" si="169"/>
        <v>0</v>
      </c>
      <c r="F1013" s="182">
        <f t="shared" si="169"/>
        <v>0</v>
      </c>
      <c r="G1013" s="182">
        <f t="shared" si="169"/>
        <v>0</v>
      </c>
      <c r="H1013" s="182">
        <f t="shared" si="169"/>
        <v>0</v>
      </c>
      <c r="I1013" s="182">
        <f t="shared" si="169"/>
        <v>0</v>
      </c>
      <c r="J1013" s="182">
        <f t="shared" si="169"/>
        <v>0</v>
      </c>
      <c r="K1013" s="182">
        <f t="shared" si="169"/>
        <v>0</v>
      </c>
      <c r="L1013" s="587" t="s">
        <v>1300</v>
      </c>
    </row>
    <row r="1014" spans="1:12" ht="7.5" customHeight="1">
      <c r="A1014" s="1"/>
      <c r="B1014" s="183"/>
      <c r="C1014" s="3"/>
      <c r="D1014" s="2"/>
      <c r="E1014" s="2"/>
      <c r="F1014" s="2"/>
      <c r="G1014" s="2"/>
      <c r="H1014" s="2"/>
      <c r="I1014" s="2"/>
      <c r="J1014" s="2"/>
      <c r="K1014" s="2"/>
    </row>
    <row r="1015" spans="1:12" ht="20.100000000000001" customHeight="1" thickBot="1">
      <c r="A1015" s="1"/>
      <c r="B1015" s="171" t="s">
        <v>938</v>
      </c>
      <c r="C1015" s="91">
        <v>8251614</v>
      </c>
      <c r="D1015" s="91">
        <v>11738136</v>
      </c>
      <c r="E1015" s="91">
        <v>7630562</v>
      </c>
      <c r="F1015" s="91">
        <f>D1015+F1011</f>
        <v>9401970</v>
      </c>
      <c r="G1015" s="91">
        <f>F1015+G1011</f>
        <v>11597666</v>
      </c>
      <c r="H1015" s="91">
        <f>G1015+H1011</f>
        <v>6036653</v>
      </c>
      <c r="I1015" s="91">
        <f>H1015+I1011</f>
        <v>4582034</v>
      </c>
      <c r="J1015" s="91">
        <f>I1015+J1011</f>
        <v>3109576</v>
      </c>
      <c r="K1015" s="91">
        <f>J1015+K1011</f>
        <v>1455038</v>
      </c>
      <c r="L1015" s="173"/>
    </row>
    <row r="1016" spans="1:12" s="173" customFormat="1" ht="15.75" hidden="1" thickTop="1">
      <c r="A1016" s="199"/>
      <c r="B1016" s="174"/>
      <c r="C1016" s="146">
        <f>'Budget Detail FY 2012-19'!N306+'Budget Detail FY 2012-19'!N324+'Budget Detail FY 2012-19'!N341+'Budget Detail FY 2012-19'!N378+'Budget Detail FY 2012-19'!N394+'Budget Detail FY 2012-19'!N459+'Budget Detail FY 2012-19'!N528+'Budget Detail FY 2012-19'!N530+'Budget Detail FY 2012-19'!N566+'Budget Detail FY 2012-19'!N659+'Budget Detail FY 2012-19'!N751+'Budget Detail FY 2012-19'!N786+'Budget Detail FY 2012-19'!N1069+'Budget Detail FY 2012-19'!N1094+'Budget Detail FY 2012-19'!N1117</f>
        <v>8251614</v>
      </c>
      <c r="D1016" s="146">
        <f>'Budget Detail FY 2012-19'!O306+'Budget Detail FY 2012-19'!O324+'Budget Detail FY 2012-19'!O341+'Budget Detail FY 2012-19'!O378+'Budget Detail FY 2012-19'!O394+'Budget Detail FY 2012-19'!O459+'Budget Detail FY 2012-19'!O528+'Budget Detail FY 2012-19'!O530+'Budget Detail FY 2012-19'!O566+'Budget Detail FY 2012-19'!O659+'Budget Detail FY 2012-19'!O751+'Budget Detail FY 2012-19'!O786+'Budget Detail FY 2012-19'!O1069+'Budget Detail FY 2012-19'!O1094+'Budget Detail FY 2012-19'!O1117</f>
        <v>11738136</v>
      </c>
      <c r="E1016" s="146">
        <f>'Budget Detail FY 2012-19'!P306+'Budget Detail FY 2012-19'!P324+'Budget Detail FY 2012-19'!P341+'Budget Detail FY 2012-19'!P378+'Budget Detail FY 2012-19'!P394+'Budget Detail FY 2012-19'!P459+'Budget Detail FY 2012-19'!P528+'Budget Detail FY 2012-19'!P530+'Budget Detail FY 2012-19'!P566+'Budget Detail FY 2012-19'!P659+'Budget Detail FY 2012-19'!P751+'Budget Detail FY 2012-19'!P786+'Budget Detail FY 2012-19'!P1069+'Budget Detail FY 2012-19'!P1094+'Budget Detail FY 2012-19'!P1117</f>
        <v>7630562</v>
      </c>
      <c r="F1016" s="146">
        <f>'Budget Detail FY 2012-19'!Q306+'Budget Detail FY 2012-19'!Q324+'Budget Detail FY 2012-19'!Q341+'Budget Detail FY 2012-19'!Q378+'Budget Detail FY 2012-19'!Q394+'Budget Detail FY 2012-19'!Q459+'Budget Detail FY 2012-19'!Q528+'Budget Detail FY 2012-19'!Q530+'Budget Detail FY 2012-19'!Q566+'Budget Detail FY 2012-19'!Q659+'Budget Detail FY 2012-19'!Q751+'Budget Detail FY 2012-19'!Q786+'Budget Detail FY 2012-19'!Q1069+'Budget Detail FY 2012-19'!Q1094+'Budget Detail FY 2012-19'!Q1117</f>
        <v>9401970</v>
      </c>
      <c r="G1016" s="146">
        <f>'Budget Detail FY 2012-19'!R306+'Budget Detail FY 2012-19'!R324+'Budget Detail FY 2012-19'!R341+'Budget Detail FY 2012-19'!R378+'Budget Detail FY 2012-19'!R394+'Budget Detail FY 2012-19'!R459+'Budget Detail FY 2012-19'!R528+'Budget Detail FY 2012-19'!R530+'Budget Detail FY 2012-19'!R566+'Budget Detail FY 2012-19'!R659+'Budget Detail FY 2012-19'!R751+'Budget Detail FY 2012-19'!R786+'Budget Detail FY 2012-19'!R1069+'Budget Detail FY 2012-19'!R1094+'Budget Detail FY 2012-19'!R1117</f>
        <v>11597666</v>
      </c>
      <c r="H1016" s="146">
        <f>'Budget Detail FY 2012-19'!S306+'Budget Detail FY 2012-19'!S324+'Budget Detail FY 2012-19'!S341+'Budget Detail FY 2012-19'!S378+'Budget Detail FY 2012-19'!S394+'Budget Detail FY 2012-19'!S459+'Budget Detail FY 2012-19'!S528+'Budget Detail FY 2012-19'!S530+'Budget Detail FY 2012-19'!S566+'Budget Detail FY 2012-19'!S659+'Budget Detail FY 2012-19'!S751+'Budget Detail FY 2012-19'!S786+'Budget Detail FY 2012-19'!S1069+'Budget Detail FY 2012-19'!S1094+'Budget Detail FY 2012-19'!S1117</f>
        <v>6036653</v>
      </c>
      <c r="I1016" s="146">
        <f>'Budget Detail FY 2012-19'!T306+'Budget Detail FY 2012-19'!T324+'Budget Detail FY 2012-19'!T341+'Budget Detail FY 2012-19'!T378+'Budget Detail FY 2012-19'!T394+'Budget Detail FY 2012-19'!T459+'Budget Detail FY 2012-19'!T528+'Budget Detail FY 2012-19'!T530+'Budget Detail FY 2012-19'!T566+'Budget Detail FY 2012-19'!T659+'Budget Detail FY 2012-19'!T751+'Budget Detail FY 2012-19'!T786+'Budget Detail FY 2012-19'!T1069+'Budget Detail FY 2012-19'!T1094+'Budget Detail FY 2012-19'!T1117</f>
        <v>4582034</v>
      </c>
      <c r="J1016" s="146">
        <f>'Budget Detail FY 2012-19'!U306+'Budget Detail FY 2012-19'!U324+'Budget Detail FY 2012-19'!U341+'Budget Detail FY 2012-19'!U378+'Budget Detail FY 2012-19'!U394+'Budget Detail FY 2012-19'!U459+'Budget Detail FY 2012-19'!U528+'Budget Detail FY 2012-19'!U530+'Budget Detail FY 2012-19'!U566+'Budget Detail FY 2012-19'!U659+'Budget Detail FY 2012-19'!U751+'Budget Detail FY 2012-19'!U786+'Budget Detail FY 2012-19'!U1069+'Budget Detail FY 2012-19'!U1094+'Budget Detail FY 2012-19'!U1117</f>
        <v>3109576</v>
      </c>
      <c r="K1016" s="146">
        <f>'Budget Detail FY 2012-19'!V306+'Budget Detail FY 2012-19'!V324+'Budget Detail FY 2012-19'!V341+'Budget Detail FY 2012-19'!V378+'Budget Detail FY 2012-19'!V394+'Budget Detail FY 2012-19'!V459+'Budget Detail FY 2012-19'!V528+'Budget Detail FY 2012-19'!V530+'Budget Detail FY 2012-19'!V566+'Budget Detail FY 2012-19'!V659+'Budget Detail FY 2012-19'!V751+'Budget Detail FY 2012-19'!V786+'Budget Detail FY 2012-19'!V1069+'Budget Detail FY 2012-19'!V1094+'Budget Detail FY 2012-19'!V1117</f>
        <v>1455038</v>
      </c>
      <c r="L1016" s="586" t="s">
        <v>1299</v>
      </c>
    </row>
    <row r="1017" spans="1:12" s="175" customFormat="1" ht="15" hidden="1">
      <c r="A1017" s="200"/>
      <c r="B1017" s="176"/>
      <c r="C1017" s="182">
        <f>C1015-'Budget Detail FY 2012-19'!N1157</f>
        <v>0</v>
      </c>
      <c r="D1017" s="182">
        <f>D1015-'Budget Detail FY 2012-19'!O1157</f>
        <v>0</v>
      </c>
      <c r="E1017" s="182">
        <f>E1015-'Budget Detail FY 2012-19'!P1157</f>
        <v>0</v>
      </c>
      <c r="F1017" s="182">
        <f>F1015-'Budget Detail FY 2012-19'!Q1157</f>
        <v>0</v>
      </c>
      <c r="G1017" s="182">
        <f>G1015-'Budget Detail FY 2012-19'!R1157</f>
        <v>0</v>
      </c>
      <c r="H1017" s="182">
        <f>H1015-'Budget Detail FY 2012-19'!S1157</f>
        <v>0</v>
      </c>
      <c r="I1017" s="182">
        <f>I1015-'Budget Detail FY 2012-19'!T1157</f>
        <v>0</v>
      </c>
      <c r="J1017" s="182">
        <f>J1015-'Budget Detail FY 2012-19'!U1157</f>
        <v>0</v>
      </c>
      <c r="K1017" s="182">
        <f>K1015-'Budget Detail FY 2012-19'!V1157</f>
        <v>0</v>
      </c>
      <c r="L1017" s="587" t="s">
        <v>1418</v>
      </c>
    </row>
    <row r="1018" spans="1:12" s="175" customFormat="1" ht="15" hidden="1">
      <c r="A1018" s="200"/>
      <c r="B1018" s="176"/>
      <c r="C1018" s="182">
        <f>C1015-C1016</f>
        <v>0</v>
      </c>
      <c r="D1018" s="182">
        <f t="shared" ref="D1018:K1018" si="170">D1015-D1016</f>
        <v>0</v>
      </c>
      <c r="E1018" s="182">
        <f t="shared" si="170"/>
        <v>0</v>
      </c>
      <c r="F1018" s="182">
        <f t="shared" si="170"/>
        <v>0</v>
      </c>
      <c r="G1018" s="182">
        <f t="shared" si="170"/>
        <v>0</v>
      </c>
      <c r="H1018" s="182">
        <f t="shared" si="170"/>
        <v>0</v>
      </c>
      <c r="I1018" s="182">
        <f t="shared" si="170"/>
        <v>0</v>
      </c>
      <c r="J1018" s="182">
        <f t="shared" si="170"/>
        <v>0</v>
      </c>
      <c r="K1018" s="182">
        <f t="shared" si="170"/>
        <v>0</v>
      </c>
      <c r="L1018" s="587" t="s">
        <v>1300</v>
      </c>
    </row>
    <row r="1019" spans="1:12" ht="15.75" thickTop="1">
      <c r="A1019" s="1"/>
      <c r="B1019" s="184"/>
      <c r="C1019" s="185">
        <f t="shared" ref="C1019:K1019" si="171">+C1015/C1007</f>
        <v>0.4510046993149513</v>
      </c>
      <c r="D1019" s="185">
        <f t="shared" si="171"/>
        <v>0.6981334158062521</v>
      </c>
      <c r="E1019" s="185">
        <f t="shared" si="171"/>
        <v>0.30382749857613744</v>
      </c>
      <c r="F1019" s="185">
        <f t="shared" si="171"/>
        <v>0.37429555119136998</v>
      </c>
      <c r="G1019" s="185">
        <f t="shared" si="171"/>
        <v>0.47151019453669091</v>
      </c>
      <c r="H1019" s="185">
        <f>+H1015/H1007</f>
        <v>0.22394202087146833</v>
      </c>
      <c r="I1019" s="185">
        <f t="shared" si="171"/>
        <v>0.19056322285184604</v>
      </c>
      <c r="J1019" s="185">
        <f t="shared" si="171"/>
        <v>0.13214026557780706</v>
      </c>
      <c r="K1019" s="185">
        <f t="shared" si="171"/>
        <v>6.0831148346698553E-2</v>
      </c>
    </row>
    <row r="1020" spans="1:12" ht="15">
      <c r="A1020" s="1"/>
      <c r="B1020" s="184"/>
      <c r="C1020" s="185"/>
      <c r="D1020" s="185"/>
      <c r="E1020" s="185"/>
      <c r="F1020" s="185"/>
      <c r="G1020" s="185"/>
      <c r="H1020" s="185"/>
      <c r="I1020" s="185"/>
      <c r="J1020" s="185"/>
      <c r="K1020" s="185"/>
    </row>
    <row r="1021" spans="1:12" ht="7.5" customHeight="1">
      <c r="A1021" s="1"/>
      <c r="B1021" s="184"/>
      <c r="C1021" s="2"/>
      <c r="D1021" s="2"/>
      <c r="E1021" s="2"/>
      <c r="F1021" s="2"/>
      <c r="G1021" s="2"/>
      <c r="H1021" s="2"/>
      <c r="I1021" s="2"/>
      <c r="J1021" s="2"/>
      <c r="K1021" s="2"/>
    </row>
    <row r="1022" spans="1:12" ht="15">
      <c r="A1022" s="1"/>
      <c r="B1022" s="1"/>
      <c r="C1022" s="2"/>
      <c r="D1022" s="2"/>
      <c r="E1022" s="2"/>
      <c r="F1022" s="2"/>
      <c r="G1022" s="2"/>
      <c r="H1022" s="2"/>
      <c r="I1022" s="2"/>
      <c r="J1022" s="2"/>
      <c r="K1022" s="2"/>
    </row>
    <row r="1023" spans="1:12" ht="15">
      <c r="A1023" s="1"/>
      <c r="B1023" s="1"/>
      <c r="C1023" s="2"/>
      <c r="D1023" s="2"/>
      <c r="E1023" s="2"/>
      <c r="F1023" s="2"/>
      <c r="G1023" s="2"/>
      <c r="H1023" s="2"/>
      <c r="I1023" s="2"/>
      <c r="J1023" s="2"/>
      <c r="K1023" s="2"/>
    </row>
    <row r="1024" spans="1:12" ht="15">
      <c r="A1024" s="1"/>
      <c r="B1024" s="1"/>
      <c r="C1024" s="2"/>
      <c r="D1024" s="2"/>
      <c r="E1024" s="2"/>
      <c r="F1024" s="2"/>
      <c r="G1024" s="2"/>
      <c r="H1024" s="2"/>
      <c r="I1024" s="2"/>
      <c r="J1024" s="2"/>
      <c r="K1024" s="2"/>
    </row>
    <row r="1025" spans="1:11" ht="15">
      <c r="A1025" s="1"/>
      <c r="B1025" s="1"/>
      <c r="C1025" s="2"/>
      <c r="D1025" s="2"/>
      <c r="E1025" s="2"/>
      <c r="F1025" s="2"/>
      <c r="G1025" s="2"/>
      <c r="H1025" s="2"/>
      <c r="I1025" s="2"/>
      <c r="J1025" s="2"/>
      <c r="K1025" s="2"/>
    </row>
    <row r="1026" spans="1:11" ht="15">
      <c r="A1026" s="1"/>
      <c r="B1026" s="1"/>
      <c r="C1026" s="2"/>
      <c r="D1026" s="2"/>
      <c r="E1026" s="2"/>
      <c r="F1026" s="2"/>
      <c r="G1026" s="2"/>
      <c r="H1026" s="2"/>
      <c r="I1026" s="2"/>
      <c r="J1026" s="2"/>
      <c r="K1026" s="2"/>
    </row>
    <row r="1027" spans="1:11" ht="15">
      <c r="A1027" s="1"/>
      <c r="B1027" s="1"/>
      <c r="C1027" s="2"/>
      <c r="D1027" s="2"/>
      <c r="E1027" s="2"/>
      <c r="F1027" s="2"/>
      <c r="G1027" s="2"/>
      <c r="H1027" s="2"/>
      <c r="I1027" s="2"/>
      <c r="J1027" s="2"/>
      <c r="K1027" s="2"/>
    </row>
    <row r="1028" spans="1:11" ht="15">
      <c r="A1028" s="1"/>
      <c r="B1028" s="1"/>
      <c r="C1028" s="2"/>
      <c r="D1028" s="2"/>
      <c r="E1028" s="2"/>
      <c r="F1028" s="2"/>
      <c r="G1028" s="2"/>
      <c r="H1028" s="2"/>
      <c r="I1028" s="2"/>
      <c r="J1028" s="2"/>
      <c r="K1028" s="2"/>
    </row>
    <row r="1029" spans="1:11" ht="15">
      <c r="A1029" s="1"/>
      <c r="B1029" s="1"/>
      <c r="C1029" s="2"/>
      <c r="D1029" s="2"/>
      <c r="E1029" s="2"/>
      <c r="F1029" s="2"/>
      <c r="G1029" s="2"/>
      <c r="H1029" s="2"/>
      <c r="I1029" s="2"/>
      <c r="J1029" s="2"/>
      <c r="K1029" s="2"/>
    </row>
    <row r="1030" spans="1:11" ht="15">
      <c r="A1030" s="1"/>
      <c r="B1030" s="1"/>
      <c r="C1030" s="2"/>
      <c r="D1030" s="2"/>
      <c r="E1030" s="2"/>
      <c r="F1030" s="2"/>
      <c r="G1030" s="2"/>
      <c r="H1030" s="2"/>
      <c r="I1030" s="2"/>
      <c r="J1030" s="2"/>
      <c r="K1030" s="2"/>
    </row>
    <row r="1031" spans="1:11" ht="15">
      <c r="A1031" s="1"/>
      <c r="B1031" s="1"/>
      <c r="C1031" s="2"/>
      <c r="D1031" s="2"/>
      <c r="E1031" s="2"/>
      <c r="F1031" s="2"/>
      <c r="G1031" s="2"/>
      <c r="H1031" s="2"/>
      <c r="I1031" s="2"/>
      <c r="J1031" s="2"/>
      <c r="K1031" s="2"/>
    </row>
    <row r="1035" spans="1:11" ht="18.75">
      <c r="B1035" s="722" t="s">
        <v>1260</v>
      </c>
      <c r="C1035" s="722"/>
      <c r="D1035" s="722"/>
      <c r="E1035" s="722"/>
      <c r="F1035" s="722"/>
      <c r="G1035" s="722"/>
      <c r="H1035" s="722"/>
      <c r="I1035" s="722"/>
      <c r="J1035" s="722"/>
      <c r="K1035" s="722"/>
    </row>
    <row r="1036" spans="1:11" ht="7.5" customHeight="1">
      <c r="B1036" s="72"/>
      <c r="C1036" s="3"/>
      <c r="D1036" s="2"/>
      <c r="E1036" s="2"/>
      <c r="F1036" s="2"/>
      <c r="G1036" s="2"/>
      <c r="H1036" s="2"/>
      <c r="I1036" s="2"/>
      <c r="J1036" s="2"/>
      <c r="K1036" s="2"/>
    </row>
    <row r="1037" spans="1:11">
      <c r="B1037" s="715" t="s">
        <v>1264</v>
      </c>
      <c r="C1037" s="715"/>
      <c r="D1037" s="715"/>
      <c r="E1037" s="715"/>
      <c r="F1037" s="715"/>
      <c r="G1037" s="715"/>
      <c r="H1037" s="715"/>
      <c r="I1037" s="715"/>
      <c r="J1037" s="715"/>
      <c r="K1037" s="715"/>
    </row>
    <row r="1038" spans="1:11">
      <c r="B1038" s="715"/>
      <c r="C1038" s="715"/>
      <c r="D1038" s="715"/>
      <c r="E1038" s="715"/>
      <c r="F1038" s="715"/>
      <c r="G1038" s="715"/>
      <c r="H1038" s="715"/>
      <c r="I1038" s="715"/>
      <c r="J1038" s="715"/>
      <c r="K1038" s="715"/>
    </row>
    <row r="1039" spans="1:11">
      <c r="B1039" s="715"/>
      <c r="C1039" s="715"/>
      <c r="D1039" s="715"/>
      <c r="E1039" s="715"/>
      <c r="F1039" s="715"/>
      <c r="G1039" s="715"/>
      <c r="H1039" s="715"/>
      <c r="I1039" s="715"/>
      <c r="J1039" s="715"/>
      <c r="K1039" s="715"/>
    </row>
    <row r="1040" spans="1:11" ht="7.5" customHeight="1">
      <c r="B1040" s="686"/>
      <c r="C1040" s="686"/>
      <c r="D1040" s="686"/>
      <c r="E1040" s="686"/>
      <c r="F1040" s="686"/>
      <c r="G1040" s="686"/>
      <c r="H1040" s="686"/>
      <c r="I1040" s="686"/>
      <c r="J1040" s="686"/>
      <c r="K1040" s="686"/>
    </row>
    <row r="1041" spans="2:12" ht="15">
      <c r="B1041" s="5"/>
      <c r="C1041" s="72"/>
      <c r="D1041" s="73"/>
      <c r="E1041" s="72" t="s">
        <v>283</v>
      </c>
      <c r="F1041" s="1"/>
      <c r="G1041" s="1"/>
      <c r="H1041" s="1"/>
      <c r="I1041" s="1"/>
      <c r="J1041" s="1"/>
      <c r="K1041" s="1"/>
    </row>
    <row r="1042" spans="2:12" ht="15">
      <c r="B1042" s="73"/>
      <c r="C1042" s="72" t="s">
        <v>229</v>
      </c>
      <c r="D1042" s="96" t="s">
        <v>282</v>
      </c>
      <c r="E1042" s="73" t="s">
        <v>917</v>
      </c>
      <c r="F1042" s="73" t="s">
        <v>283</v>
      </c>
      <c r="G1042" s="73" t="s">
        <v>298</v>
      </c>
      <c r="H1042" s="73" t="s">
        <v>299</v>
      </c>
      <c r="I1042" s="73" t="s">
        <v>300</v>
      </c>
      <c r="J1042" s="73" t="s">
        <v>1087</v>
      </c>
      <c r="K1042" s="73" t="s">
        <v>1224</v>
      </c>
    </row>
    <row r="1043" spans="2:12" ht="15.75" thickBot="1">
      <c r="B1043" s="188"/>
      <c r="C1043" s="75" t="s">
        <v>1</v>
      </c>
      <c r="D1043" s="75" t="s">
        <v>1</v>
      </c>
      <c r="E1043" s="75" t="s">
        <v>871</v>
      </c>
      <c r="F1043" s="75" t="s">
        <v>20</v>
      </c>
      <c r="G1043" s="75" t="s">
        <v>917</v>
      </c>
      <c r="H1043" s="75" t="s">
        <v>20</v>
      </c>
      <c r="I1043" s="75" t="s">
        <v>20</v>
      </c>
      <c r="J1043" s="75" t="s">
        <v>20</v>
      </c>
      <c r="K1043" s="75" t="s">
        <v>20</v>
      </c>
    </row>
    <row r="1044" spans="2:12" ht="7.5" customHeight="1">
      <c r="B1044" s="71"/>
      <c r="C1044" s="189"/>
      <c r="D1044" s="2"/>
      <c r="E1044" s="2"/>
      <c r="F1044" s="2"/>
      <c r="G1044" s="2"/>
      <c r="H1044" s="2"/>
      <c r="I1044" s="2"/>
      <c r="J1044" s="2"/>
      <c r="K1044" s="2"/>
    </row>
    <row r="1045" spans="2:12" ht="15">
      <c r="B1045" s="177" t="s">
        <v>918</v>
      </c>
      <c r="C1045" s="2"/>
      <c r="D1045" s="2"/>
      <c r="E1045" s="2"/>
      <c r="F1045" s="2"/>
      <c r="G1045" s="2"/>
      <c r="H1045" s="2"/>
      <c r="I1045" s="2"/>
      <c r="J1045" s="2"/>
      <c r="K1045" s="2"/>
    </row>
    <row r="1046" spans="2:12" ht="20.100000000000001" customHeight="1">
      <c r="B1046" s="687" t="s">
        <v>919</v>
      </c>
      <c r="C1046" s="2">
        <f t="shared" ref="C1046:K1046" si="172">C695+C752</f>
        <v>1411315</v>
      </c>
      <c r="D1046" s="2">
        <f t="shared" si="172"/>
        <v>1483545</v>
      </c>
      <c r="E1046" s="2">
        <f t="shared" si="172"/>
        <v>1442178</v>
      </c>
      <c r="F1046" s="2">
        <f t="shared" si="172"/>
        <v>1389302</v>
      </c>
      <c r="G1046" s="2">
        <f t="shared" si="172"/>
        <v>1377331</v>
      </c>
      <c r="H1046" s="2">
        <f t="shared" si="172"/>
        <v>1384846</v>
      </c>
      <c r="I1046" s="2">
        <f t="shared" si="172"/>
        <v>1377771</v>
      </c>
      <c r="J1046" s="2">
        <f t="shared" si="172"/>
        <v>1375396</v>
      </c>
      <c r="K1046" s="2">
        <f t="shared" si="172"/>
        <v>1407101</v>
      </c>
    </row>
    <row r="1047" spans="2:12" ht="20.100000000000001" customHeight="1">
      <c r="B1047" s="687" t="s">
        <v>920</v>
      </c>
      <c r="C1047" s="2">
        <f>C696</f>
        <v>22212</v>
      </c>
      <c r="D1047" s="2">
        <f t="shared" ref="D1047:K1047" si="173">D696</f>
        <v>24124</v>
      </c>
      <c r="E1047" s="2">
        <f t="shared" si="173"/>
        <v>22200</v>
      </c>
      <c r="F1047" s="2">
        <f t="shared" si="173"/>
        <v>22389</v>
      </c>
      <c r="G1047" s="2">
        <f t="shared" si="173"/>
        <v>22200</v>
      </c>
      <c r="H1047" s="2">
        <f t="shared" si="173"/>
        <v>22200</v>
      </c>
      <c r="I1047" s="2">
        <f t="shared" si="173"/>
        <v>22200</v>
      </c>
      <c r="J1047" s="2">
        <f t="shared" si="173"/>
        <v>22200</v>
      </c>
      <c r="K1047" s="2">
        <f t="shared" si="173"/>
        <v>22200</v>
      </c>
    </row>
    <row r="1048" spans="2:12" ht="20.100000000000001" customHeight="1">
      <c r="B1048" s="688" t="s">
        <v>921</v>
      </c>
      <c r="C1048" s="2">
        <f t="shared" ref="C1048:K1048" si="174">C697+C798</f>
        <v>22350</v>
      </c>
      <c r="D1048" s="2">
        <f t="shared" si="174"/>
        <v>35200</v>
      </c>
      <c r="E1048" s="2">
        <f t="shared" si="174"/>
        <v>20000</v>
      </c>
      <c r="F1048" s="2">
        <f t="shared" si="174"/>
        <v>55000</v>
      </c>
      <c r="G1048" s="2">
        <f t="shared" si="174"/>
        <v>20000</v>
      </c>
      <c r="H1048" s="2">
        <f t="shared" si="174"/>
        <v>20000</v>
      </c>
      <c r="I1048" s="2">
        <f t="shared" si="174"/>
        <v>20000</v>
      </c>
      <c r="J1048" s="2">
        <f t="shared" si="174"/>
        <v>20000</v>
      </c>
      <c r="K1048" s="2">
        <f t="shared" si="174"/>
        <v>20000</v>
      </c>
    </row>
    <row r="1049" spans="2:12" ht="20.100000000000001" customHeight="1">
      <c r="B1049" s="688" t="s">
        <v>922</v>
      </c>
      <c r="C1049" s="2">
        <f>C698</f>
        <v>12864</v>
      </c>
      <c r="D1049" s="2">
        <f t="shared" ref="D1049:K1049" si="175">D698</f>
        <v>9404</v>
      </c>
      <c r="E1049" s="2">
        <f t="shared" si="175"/>
        <v>9300</v>
      </c>
      <c r="F1049" s="2">
        <f t="shared" si="175"/>
        <v>9300</v>
      </c>
      <c r="G1049" s="2">
        <f t="shared" si="175"/>
        <v>9300</v>
      </c>
      <c r="H1049" s="2">
        <f t="shared" si="175"/>
        <v>9300</v>
      </c>
      <c r="I1049" s="2">
        <f t="shared" si="175"/>
        <v>9300</v>
      </c>
      <c r="J1049" s="2">
        <f t="shared" si="175"/>
        <v>9300</v>
      </c>
      <c r="K1049" s="2">
        <f t="shared" si="175"/>
        <v>9300</v>
      </c>
    </row>
    <row r="1050" spans="2:12" ht="20.100000000000001" customHeight="1">
      <c r="B1050" s="688" t="s">
        <v>923</v>
      </c>
      <c r="C1050" s="2">
        <f>C699</f>
        <v>15368</v>
      </c>
      <c r="D1050" s="2">
        <f t="shared" ref="D1050:K1050" si="176">D699</f>
        <v>14190</v>
      </c>
      <c r="E1050" s="2">
        <f t="shared" si="176"/>
        <v>14000</v>
      </c>
      <c r="F1050" s="2">
        <f t="shared" si="176"/>
        <v>14000</v>
      </c>
      <c r="G1050" s="2">
        <f t="shared" si="176"/>
        <v>14000</v>
      </c>
      <c r="H1050" s="2">
        <f t="shared" si="176"/>
        <v>14000</v>
      </c>
      <c r="I1050" s="2">
        <f t="shared" si="176"/>
        <v>14000</v>
      </c>
      <c r="J1050" s="2">
        <f t="shared" si="176"/>
        <v>14000</v>
      </c>
      <c r="K1050" s="2">
        <f t="shared" si="176"/>
        <v>14000</v>
      </c>
    </row>
    <row r="1051" spans="2:12" ht="20.100000000000001" customHeight="1">
      <c r="B1051" s="688" t="s">
        <v>924</v>
      </c>
      <c r="C1051" s="2">
        <f t="shared" ref="C1051:K1051" si="177">C700+C753+C799</f>
        <v>604</v>
      </c>
      <c r="D1051" s="2">
        <f t="shared" si="177"/>
        <v>1465</v>
      </c>
      <c r="E1051" s="2">
        <f t="shared" si="177"/>
        <v>1520</v>
      </c>
      <c r="F1051" s="2">
        <f t="shared" si="177"/>
        <v>1345</v>
      </c>
      <c r="G1051" s="2">
        <f t="shared" si="177"/>
        <v>1350</v>
      </c>
      <c r="H1051" s="2">
        <f t="shared" si="177"/>
        <v>1550</v>
      </c>
      <c r="I1051" s="2">
        <f t="shared" si="177"/>
        <v>1550</v>
      </c>
      <c r="J1051" s="2">
        <f t="shared" si="177"/>
        <v>1550</v>
      </c>
      <c r="K1051" s="2">
        <f t="shared" si="177"/>
        <v>1550</v>
      </c>
    </row>
    <row r="1052" spans="2:12" ht="20.100000000000001" customHeight="1">
      <c r="B1052" s="688" t="s">
        <v>925</v>
      </c>
      <c r="C1052" s="2">
        <f>C701</f>
        <v>0</v>
      </c>
      <c r="D1052" s="2">
        <f t="shared" ref="D1052:K1052" si="178">D701</f>
        <v>9396</v>
      </c>
      <c r="E1052" s="2">
        <f t="shared" si="178"/>
        <v>0</v>
      </c>
      <c r="F1052" s="2">
        <f t="shared" si="178"/>
        <v>0</v>
      </c>
      <c r="G1052" s="2">
        <f t="shared" si="178"/>
        <v>0</v>
      </c>
      <c r="H1052" s="2">
        <f t="shared" si="178"/>
        <v>0</v>
      </c>
      <c r="I1052" s="2">
        <f t="shared" si="178"/>
        <v>0</v>
      </c>
      <c r="J1052" s="2">
        <f t="shared" si="178"/>
        <v>0</v>
      </c>
      <c r="K1052" s="2">
        <f t="shared" si="178"/>
        <v>0</v>
      </c>
    </row>
    <row r="1053" spans="2:12" ht="20.100000000000001" customHeight="1">
      <c r="B1053" s="688" t="s">
        <v>926</v>
      </c>
      <c r="C1053" s="2">
        <f>C702</f>
        <v>15045</v>
      </c>
      <c r="D1053" s="2">
        <f t="shared" ref="D1053:K1053" si="179">D702</f>
        <v>12489</v>
      </c>
      <c r="E1053" s="2">
        <f t="shared" si="179"/>
        <v>9250</v>
      </c>
      <c r="F1053" s="2">
        <f t="shared" si="179"/>
        <v>8003</v>
      </c>
      <c r="G1053" s="2">
        <f t="shared" si="179"/>
        <v>7500</v>
      </c>
      <c r="H1053" s="2">
        <f t="shared" si="179"/>
        <v>7500</v>
      </c>
      <c r="I1053" s="2">
        <f t="shared" si="179"/>
        <v>7500</v>
      </c>
      <c r="J1053" s="2">
        <f t="shared" si="179"/>
        <v>7500</v>
      </c>
      <c r="K1053" s="2">
        <f t="shared" si="179"/>
        <v>7500</v>
      </c>
    </row>
    <row r="1054" spans="2:12" ht="20.100000000000001" customHeight="1">
      <c r="B1054" s="690" t="s">
        <v>927</v>
      </c>
      <c r="C1054" s="2">
        <f t="shared" ref="C1054:K1054" si="180">C703+C754+C800</f>
        <v>665019</v>
      </c>
      <c r="D1054" s="2">
        <f t="shared" si="180"/>
        <v>32288</v>
      </c>
      <c r="E1054" s="2">
        <f t="shared" si="180"/>
        <v>52174</v>
      </c>
      <c r="F1054" s="2">
        <f t="shared" si="180"/>
        <v>73400</v>
      </c>
      <c r="G1054" s="2">
        <f t="shared" si="180"/>
        <v>32375</v>
      </c>
      <c r="H1054" s="2">
        <f t="shared" si="180"/>
        <v>34168</v>
      </c>
      <c r="I1054" s="2">
        <f t="shared" si="180"/>
        <v>36068</v>
      </c>
      <c r="J1054" s="2">
        <f t="shared" si="180"/>
        <v>38082</v>
      </c>
      <c r="K1054" s="2">
        <f t="shared" si="180"/>
        <v>38082</v>
      </c>
    </row>
    <row r="1055" spans="2:12" ht="20.100000000000001" customHeight="1" thickBot="1">
      <c r="B1055" s="172" t="s">
        <v>928</v>
      </c>
      <c r="C1055" s="169">
        <f t="shared" ref="C1055:K1055" si="181">SUM(C1046:C1054)</f>
        <v>2164777</v>
      </c>
      <c r="D1055" s="169">
        <f t="shared" si="181"/>
        <v>1622101</v>
      </c>
      <c r="E1055" s="169">
        <f t="shared" si="181"/>
        <v>1570622</v>
      </c>
      <c r="F1055" s="169">
        <f t="shared" si="181"/>
        <v>1572739</v>
      </c>
      <c r="G1055" s="169">
        <f t="shared" si="181"/>
        <v>1484056</v>
      </c>
      <c r="H1055" s="169">
        <f t="shared" si="181"/>
        <v>1493564</v>
      </c>
      <c r="I1055" s="169">
        <f t="shared" si="181"/>
        <v>1488389</v>
      </c>
      <c r="J1055" s="169">
        <f t="shared" si="181"/>
        <v>1488028</v>
      </c>
      <c r="K1055" s="169">
        <f t="shared" si="181"/>
        <v>1519733</v>
      </c>
      <c r="L1055" s="173"/>
    </row>
    <row r="1056" spans="2:12" s="173" customFormat="1" ht="15" hidden="1">
      <c r="B1056" s="174"/>
      <c r="C1056" s="146">
        <f>'Budget Detail FY 2012-19'!N954+'Budget Detail FY 2012-19'!N1009+'Budget Detail FY 2012-19'!N1033</f>
        <v>2164777</v>
      </c>
      <c r="D1056" s="146">
        <f>'Budget Detail FY 2012-19'!O954+'Budget Detail FY 2012-19'!O1009+'Budget Detail FY 2012-19'!O1033</f>
        <v>1622101</v>
      </c>
      <c r="E1056" s="146">
        <f>'Budget Detail FY 2012-19'!P954+'Budget Detail FY 2012-19'!P1009+'Budget Detail FY 2012-19'!P1033</f>
        <v>1570622</v>
      </c>
      <c r="F1056" s="146">
        <f>'Budget Detail FY 2012-19'!Q954+'Budget Detail FY 2012-19'!Q1009+'Budget Detail FY 2012-19'!Q1033</f>
        <v>1572739</v>
      </c>
      <c r="G1056" s="146">
        <f>'Budget Detail FY 2012-19'!R954+'Budget Detail FY 2012-19'!R1009+'Budget Detail FY 2012-19'!R1033</f>
        <v>1484056</v>
      </c>
      <c r="H1056" s="146">
        <f>'Budget Detail FY 2012-19'!S954+'Budget Detail FY 2012-19'!S1009+'Budget Detail FY 2012-19'!S1033</f>
        <v>1493564</v>
      </c>
      <c r="I1056" s="146">
        <f>'Budget Detail FY 2012-19'!T954+'Budget Detail FY 2012-19'!T1009+'Budget Detail FY 2012-19'!T1033</f>
        <v>1488389</v>
      </c>
      <c r="J1056" s="146">
        <f>'Budget Detail FY 2012-19'!U954+'Budget Detail FY 2012-19'!U1009+'Budget Detail FY 2012-19'!U1033</f>
        <v>1488028</v>
      </c>
      <c r="K1056" s="146">
        <f>'Budget Detail FY 2012-19'!V954+'Budget Detail FY 2012-19'!V1009+'Budget Detail FY 2012-19'!V1033</f>
        <v>1519733</v>
      </c>
      <c r="L1056" s="586" t="s">
        <v>1299</v>
      </c>
    </row>
    <row r="1057" spans="2:12" s="175" customFormat="1" ht="15" hidden="1">
      <c r="B1057" s="176"/>
      <c r="C1057" s="182">
        <f>C1055-C1056</f>
        <v>0</v>
      </c>
      <c r="D1057" s="182">
        <f t="shared" ref="D1057:K1057" si="182">D1055-D1056</f>
        <v>0</v>
      </c>
      <c r="E1057" s="182">
        <f t="shared" si="182"/>
        <v>0</v>
      </c>
      <c r="F1057" s="182">
        <f t="shared" si="182"/>
        <v>0</v>
      </c>
      <c r="G1057" s="182">
        <f t="shared" si="182"/>
        <v>0</v>
      </c>
      <c r="H1057" s="182">
        <f t="shared" si="182"/>
        <v>0</v>
      </c>
      <c r="I1057" s="182">
        <f t="shared" si="182"/>
        <v>0</v>
      </c>
      <c r="J1057" s="182">
        <f t="shared" si="182"/>
        <v>0</v>
      </c>
      <c r="K1057" s="182">
        <f t="shared" si="182"/>
        <v>0</v>
      </c>
      <c r="L1057" s="587" t="s">
        <v>1300</v>
      </c>
    </row>
    <row r="1058" spans="2:12" ht="7.5" customHeight="1">
      <c r="B1058" s="1"/>
      <c r="C1058" s="2"/>
      <c r="D1058" s="2"/>
      <c r="E1058" s="2"/>
      <c r="F1058" s="2"/>
      <c r="G1058" s="2"/>
      <c r="H1058" s="2"/>
      <c r="I1058" s="2"/>
      <c r="J1058" s="2"/>
      <c r="K1058" s="2"/>
    </row>
    <row r="1059" spans="2:12" ht="15">
      <c r="B1059" s="177" t="s">
        <v>659</v>
      </c>
      <c r="C1059" s="2"/>
      <c r="D1059" s="2"/>
      <c r="E1059" s="2"/>
      <c r="F1059" s="2"/>
      <c r="G1059" s="2"/>
      <c r="H1059" s="2"/>
      <c r="I1059" s="2"/>
      <c r="J1059" s="2"/>
      <c r="K1059" s="2"/>
    </row>
    <row r="1060" spans="2:12" ht="20.100000000000001" customHeight="1">
      <c r="B1060" s="689" t="s">
        <v>929</v>
      </c>
      <c r="C1060" s="2">
        <f>C709</f>
        <v>432008</v>
      </c>
      <c r="D1060" s="2">
        <f t="shared" ref="D1060:K1060" si="183">D709</f>
        <v>420283</v>
      </c>
      <c r="E1060" s="2">
        <f t="shared" si="183"/>
        <v>447540</v>
      </c>
      <c r="F1060" s="2">
        <f t="shared" si="183"/>
        <v>447540</v>
      </c>
      <c r="G1060" s="2">
        <f t="shared" si="183"/>
        <v>447540</v>
      </c>
      <c r="H1060" s="2">
        <f t="shared" si="183"/>
        <v>447540</v>
      </c>
      <c r="I1060" s="2">
        <f t="shared" si="183"/>
        <v>447540</v>
      </c>
      <c r="J1060" s="2">
        <f t="shared" si="183"/>
        <v>447540</v>
      </c>
      <c r="K1060" s="2">
        <f t="shared" si="183"/>
        <v>447540</v>
      </c>
    </row>
    <row r="1061" spans="2:12" ht="20.100000000000001" customHeight="1">
      <c r="B1061" s="689" t="s">
        <v>930</v>
      </c>
      <c r="C1061" s="2">
        <f>C710</f>
        <v>149612</v>
      </c>
      <c r="D1061" s="2">
        <f t="shared" ref="D1061:K1061" si="184">D710</f>
        <v>177713</v>
      </c>
      <c r="E1061" s="2">
        <f t="shared" si="184"/>
        <v>193524</v>
      </c>
      <c r="F1061" s="2">
        <f t="shared" si="184"/>
        <v>193524</v>
      </c>
      <c r="G1061" s="2">
        <f t="shared" si="184"/>
        <v>204448</v>
      </c>
      <c r="H1061" s="2">
        <f t="shared" si="184"/>
        <v>216894</v>
      </c>
      <c r="I1061" s="2">
        <f t="shared" si="184"/>
        <v>229850</v>
      </c>
      <c r="J1061" s="2">
        <f t="shared" si="184"/>
        <v>243740</v>
      </c>
      <c r="K1061" s="2">
        <f t="shared" si="184"/>
        <v>256545</v>
      </c>
    </row>
    <row r="1062" spans="2:12" ht="20.100000000000001" customHeight="1">
      <c r="B1062" s="689" t="s">
        <v>931</v>
      </c>
      <c r="C1062" s="2">
        <f t="shared" ref="C1062:K1062" si="185">C711+C806</f>
        <v>88124</v>
      </c>
      <c r="D1062" s="2">
        <f t="shared" si="185"/>
        <v>104651</v>
      </c>
      <c r="E1062" s="2">
        <f t="shared" si="185"/>
        <v>112549</v>
      </c>
      <c r="F1062" s="2">
        <f t="shared" si="185"/>
        <v>112549</v>
      </c>
      <c r="G1062" s="2">
        <f t="shared" si="185"/>
        <v>115965</v>
      </c>
      <c r="H1062" s="2">
        <f t="shared" si="185"/>
        <v>116834</v>
      </c>
      <c r="I1062" s="2">
        <f t="shared" si="185"/>
        <v>117756</v>
      </c>
      <c r="J1062" s="2">
        <f t="shared" si="185"/>
        <v>118733</v>
      </c>
      <c r="K1062" s="2">
        <f t="shared" si="185"/>
        <v>119768</v>
      </c>
    </row>
    <row r="1063" spans="2:12" ht="20.100000000000001" customHeight="1">
      <c r="B1063" s="689" t="s">
        <v>932</v>
      </c>
      <c r="C1063" s="2">
        <f t="shared" ref="C1063:K1063" si="186">C712+C807</f>
        <v>21781</v>
      </c>
      <c r="D1063" s="2">
        <f t="shared" si="186"/>
        <v>50475</v>
      </c>
      <c r="E1063" s="2">
        <f t="shared" si="186"/>
        <v>56600</v>
      </c>
      <c r="F1063" s="2">
        <f t="shared" si="186"/>
        <v>51459</v>
      </c>
      <c r="G1063" s="2">
        <f t="shared" si="186"/>
        <v>70515</v>
      </c>
      <c r="H1063" s="2">
        <f t="shared" si="186"/>
        <v>35520</v>
      </c>
      <c r="I1063" s="2">
        <f t="shared" si="186"/>
        <v>35520</v>
      </c>
      <c r="J1063" s="2">
        <f t="shared" si="186"/>
        <v>35520</v>
      </c>
      <c r="K1063" s="2">
        <f t="shared" si="186"/>
        <v>35520</v>
      </c>
    </row>
    <row r="1064" spans="2:12" ht="20.100000000000001" customHeight="1">
      <c r="B1064" s="690" t="s">
        <v>852</v>
      </c>
      <c r="C1064" s="2">
        <f>C760</f>
        <v>720800</v>
      </c>
      <c r="D1064" s="2">
        <f t="shared" ref="D1064:K1064" si="187">D760</f>
        <v>795488</v>
      </c>
      <c r="E1064" s="2">
        <f t="shared" si="187"/>
        <v>769638</v>
      </c>
      <c r="F1064" s="2">
        <f t="shared" si="187"/>
        <v>767720</v>
      </c>
      <c r="G1064" s="2">
        <f t="shared" si="187"/>
        <v>731321</v>
      </c>
      <c r="H1064" s="2">
        <f t="shared" si="187"/>
        <v>749846</v>
      </c>
      <c r="I1064" s="2">
        <f t="shared" si="187"/>
        <v>752771</v>
      </c>
      <c r="J1064" s="2">
        <f t="shared" si="187"/>
        <v>760396</v>
      </c>
      <c r="K1064" s="2">
        <f t="shared" si="187"/>
        <v>792101</v>
      </c>
    </row>
    <row r="1065" spans="2:12" ht="20.100000000000001" customHeight="1">
      <c r="B1065" s="689" t="s">
        <v>933</v>
      </c>
      <c r="C1065" s="2">
        <f>C808</f>
        <v>10965</v>
      </c>
      <c r="D1065" s="2">
        <f t="shared" ref="D1065:K1065" si="188">D808</f>
        <v>0</v>
      </c>
      <c r="E1065" s="2">
        <f t="shared" si="188"/>
        <v>0</v>
      </c>
      <c r="F1065" s="2">
        <f t="shared" si="188"/>
        <v>0</v>
      </c>
      <c r="G1065" s="2">
        <f t="shared" si="188"/>
        <v>0</v>
      </c>
      <c r="H1065" s="2">
        <f t="shared" si="188"/>
        <v>0</v>
      </c>
      <c r="I1065" s="2">
        <f t="shared" si="188"/>
        <v>0</v>
      </c>
      <c r="J1065" s="2">
        <f t="shared" si="188"/>
        <v>0</v>
      </c>
      <c r="K1065" s="2">
        <f t="shared" si="188"/>
        <v>0</v>
      </c>
    </row>
    <row r="1066" spans="2:12" ht="20.100000000000001" customHeight="1">
      <c r="B1066" s="690" t="s">
        <v>935</v>
      </c>
      <c r="C1066" s="2">
        <f t="shared" ref="C1066:K1066" si="189">C713+C809</f>
        <v>665019</v>
      </c>
      <c r="D1066" s="2">
        <f t="shared" si="189"/>
        <v>5469</v>
      </c>
      <c r="E1066" s="2">
        <f t="shared" si="189"/>
        <v>0</v>
      </c>
      <c r="F1066" s="2">
        <f t="shared" si="189"/>
        <v>21226</v>
      </c>
      <c r="G1066" s="2">
        <f t="shared" si="189"/>
        <v>0</v>
      </c>
      <c r="H1066" s="2">
        <f t="shared" si="189"/>
        <v>0</v>
      </c>
      <c r="I1066" s="2">
        <f t="shared" si="189"/>
        <v>0</v>
      </c>
      <c r="J1066" s="2">
        <f t="shared" si="189"/>
        <v>0</v>
      </c>
      <c r="K1066" s="2">
        <f t="shared" si="189"/>
        <v>0</v>
      </c>
    </row>
    <row r="1067" spans="2:12" ht="20.100000000000001" customHeight="1" thickBot="1">
      <c r="B1067" s="172" t="s">
        <v>936</v>
      </c>
      <c r="C1067" s="169">
        <f>SUM(C1060:C1066)</f>
        <v>2088309</v>
      </c>
      <c r="D1067" s="169">
        <f>SUM(D1060:D1066)</f>
        <v>1554079</v>
      </c>
      <c r="E1067" s="169">
        <f t="shared" ref="E1067:J1067" si="190">SUM(E1060:E1066)</f>
        <v>1579851</v>
      </c>
      <c r="F1067" s="169">
        <f t="shared" si="190"/>
        <v>1594018</v>
      </c>
      <c r="G1067" s="169">
        <f t="shared" si="190"/>
        <v>1569789</v>
      </c>
      <c r="H1067" s="169">
        <f t="shared" si="190"/>
        <v>1566634</v>
      </c>
      <c r="I1067" s="169">
        <f t="shared" si="190"/>
        <v>1583437</v>
      </c>
      <c r="J1067" s="169">
        <f t="shared" si="190"/>
        <v>1605929</v>
      </c>
      <c r="K1067" s="169">
        <f>SUM(K1060:K1066)</f>
        <v>1651474</v>
      </c>
      <c r="L1067" s="173"/>
    </row>
    <row r="1068" spans="2:12" s="173" customFormat="1" ht="15" hidden="1">
      <c r="B1068" s="174"/>
      <c r="C1068" s="146">
        <f>'Budget Detail FY 2012-19'!N996+'Budget Detail FY 2012-19'!N1021+'Budget Detail FY 2012-19'!N1044</f>
        <v>2088309</v>
      </c>
      <c r="D1068" s="146">
        <f>'Budget Detail FY 2012-19'!O996+'Budget Detail FY 2012-19'!O1021+'Budget Detail FY 2012-19'!O1044</f>
        <v>1554079</v>
      </c>
      <c r="E1068" s="146">
        <f>'Budget Detail FY 2012-19'!P996+'Budget Detail FY 2012-19'!P1021+'Budget Detail FY 2012-19'!P1044</f>
        <v>1579851</v>
      </c>
      <c r="F1068" s="146">
        <f>'Budget Detail FY 2012-19'!Q996+'Budget Detail FY 2012-19'!Q1021+'Budget Detail FY 2012-19'!Q1044</f>
        <v>1594018</v>
      </c>
      <c r="G1068" s="146">
        <f>'Budget Detail FY 2012-19'!R996+'Budget Detail FY 2012-19'!R1021+'Budget Detail FY 2012-19'!R1044</f>
        <v>1569789</v>
      </c>
      <c r="H1068" s="146">
        <f>'Budget Detail FY 2012-19'!S996+'Budget Detail FY 2012-19'!S1021+'Budget Detail FY 2012-19'!S1044</f>
        <v>1566634</v>
      </c>
      <c r="I1068" s="146">
        <f>'Budget Detail FY 2012-19'!T996+'Budget Detail FY 2012-19'!T1021+'Budget Detail FY 2012-19'!T1044</f>
        <v>1583437</v>
      </c>
      <c r="J1068" s="146">
        <f>'Budget Detail FY 2012-19'!U996+'Budget Detail FY 2012-19'!U1021+'Budget Detail FY 2012-19'!U1044</f>
        <v>1605929</v>
      </c>
      <c r="K1068" s="146">
        <f>'Budget Detail FY 2012-19'!V996+'Budget Detail FY 2012-19'!V1021+'Budget Detail FY 2012-19'!V1044</f>
        <v>1651474</v>
      </c>
      <c r="L1068" s="586" t="s">
        <v>1299</v>
      </c>
    </row>
    <row r="1069" spans="2:12" s="175" customFormat="1" ht="14.25" hidden="1">
      <c r="B1069" s="176"/>
      <c r="C1069" s="147">
        <f>C1067-C1068</f>
        <v>0</v>
      </c>
      <c r="D1069" s="147">
        <f t="shared" ref="D1069:K1069" si="191">D1067-D1068</f>
        <v>0</v>
      </c>
      <c r="E1069" s="147">
        <f t="shared" si="191"/>
        <v>0</v>
      </c>
      <c r="F1069" s="147">
        <f t="shared" si="191"/>
        <v>0</v>
      </c>
      <c r="G1069" s="147">
        <f t="shared" si="191"/>
        <v>0</v>
      </c>
      <c r="H1069" s="147">
        <f t="shared" si="191"/>
        <v>0</v>
      </c>
      <c r="I1069" s="147">
        <f t="shared" si="191"/>
        <v>0</v>
      </c>
      <c r="J1069" s="147">
        <f t="shared" si="191"/>
        <v>0</v>
      </c>
      <c r="K1069" s="147">
        <f t="shared" si="191"/>
        <v>0</v>
      </c>
      <c r="L1069" s="587" t="s">
        <v>1300</v>
      </c>
    </row>
    <row r="1070" spans="2:12" ht="7.5" customHeight="1">
      <c r="B1070" s="179"/>
      <c r="C1070" s="3"/>
      <c r="D1070" s="2"/>
      <c r="E1070" s="2"/>
      <c r="F1070" s="2"/>
      <c r="G1070" s="2"/>
      <c r="H1070" s="2"/>
      <c r="I1070" s="2"/>
      <c r="J1070" s="2"/>
      <c r="K1070" s="2"/>
    </row>
    <row r="1071" spans="2:12" ht="20.100000000000001" customHeight="1">
      <c r="B1071" s="691" t="s">
        <v>937</v>
      </c>
      <c r="C1071" s="3">
        <f t="shared" ref="C1071:K1071" si="192">+C1055-C1067</f>
        <v>76468</v>
      </c>
      <c r="D1071" s="3">
        <f t="shared" si="192"/>
        <v>68022</v>
      </c>
      <c r="E1071" s="3">
        <f t="shared" si="192"/>
        <v>-9229</v>
      </c>
      <c r="F1071" s="3">
        <f t="shared" si="192"/>
        <v>-21279</v>
      </c>
      <c r="G1071" s="3">
        <f t="shared" si="192"/>
        <v>-85733</v>
      </c>
      <c r="H1071" s="3">
        <f t="shared" si="192"/>
        <v>-73070</v>
      </c>
      <c r="I1071" s="3">
        <f t="shared" si="192"/>
        <v>-95048</v>
      </c>
      <c r="J1071" s="3">
        <f t="shared" si="192"/>
        <v>-117901</v>
      </c>
      <c r="K1071" s="3">
        <f t="shared" si="192"/>
        <v>-131741</v>
      </c>
      <c r="L1071" s="173"/>
    </row>
    <row r="1072" spans="2:12" s="173" customFormat="1" ht="15" hidden="1">
      <c r="B1072" s="180"/>
      <c r="C1072" s="146">
        <f>'Budget Detail FY 2012-19'!N998+'Budget Detail FY 2012-19'!N1023+'Budget Detail FY 2012-19'!N1046</f>
        <v>76468</v>
      </c>
      <c r="D1072" s="146">
        <f>'Budget Detail FY 2012-19'!O998+'Budget Detail FY 2012-19'!O1023+'Budget Detail FY 2012-19'!O1046</f>
        <v>68022</v>
      </c>
      <c r="E1072" s="146">
        <f>'Budget Detail FY 2012-19'!P998+'Budget Detail FY 2012-19'!P1023+'Budget Detail FY 2012-19'!P1046</f>
        <v>-9229</v>
      </c>
      <c r="F1072" s="146">
        <f>'Budget Detail FY 2012-19'!Q998+'Budget Detail FY 2012-19'!Q1023+'Budget Detail FY 2012-19'!Q1046</f>
        <v>-21279</v>
      </c>
      <c r="G1072" s="146">
        <f>'Budget Detail FY 2012-19'!R998+'Budget Detail FY 2012-19'!R1023+'Budget Detail FY 2012-19'!R1046</f>
        <v>-85733</v>
      </c>
      <c r="H1072" s="146">
        <f>'Budget Detail FY 2012-19'!S998+'Budget Detail FY 2012-19'!S1023+'Budget Detail FY 2012-19'!S1046</f>
        <v>-73070</v>
      </c>
      <c r="I1072" s="146">
        <f>'Budget Detail FY 2012-19'!T998+'Budget Detail FY 2012-19'!T1023+'Budget Detail FY 2012-19'!T1046</f>
        <v>-95048</v>
      </c>
      <c r="J1072" s="146">
        <f>'Budget Detail FY 2012-19'!U998+'Budget Detail FY 2012-19'!U1023+'Budget Detail FY 2012-19'!U1046</f>
        <v>-117901</v>
      </c>
      <c r="K1072" s="146">
        <f>'Budget Detail FY 2012-19'!V998+'Budget Detail FY 2012-19'!V1023+'Budget Detail FY 2012-19'!V1046</f>
        <v>-131741</v>
      </c>
      <c r="L1072" s="586" t="s">
        <v>1299</v>
      </c>
    </row>
    <row r="1073" spans="2:12" s="175" customFormat="1" ht="15" hidden="1">
      <c r="B1073" s="181"/>
      <c r="C1073" s="182">
        <f>C1071-C1072</f>
        <v>0</v>
      </c>
      <c r="D1073" s="182">
        <f t="shared" ref="D1073:K1073" si="193">D1071-D1072</f>
        <v>0</v>
      </c>
      <c r="E1073" s="182">
        <f t="shared" si="193"/>
        <v>0</v>
      </c>
      <c r="F1073" s="182">
        <f t="shared" si="193"/>
        <v>0</v>
      </c>
      <c r="G1073" s="182">
        <f t="shared" si="193"/>
        <v>0</v>
      </c>
      <c r="H1073" s="182">
        <f t="shared" si="193"/>
        <v>0</v>
      </c>
      <c r="I1073" s="182">
        <f t="shared" si="193"/>
        <v>0</v>
      </c>
      <c r="J1073" s="182">
        <f t="shared" si="193"/>
        <v>0</v>
      </c>
      <c r="K1073" s="182">
        <f t="shared" si="193"/>
        <v>0</v>
      </c>
      <c r="L1073" s="587" t="s">
        <v>1300</v>
      </c>
    </row>
    <row r="1074" spans="2:12" ht="7.5" customHeight="1">
      <c r="B1074" s="183"/>
      <c r="C1074" s="3"/>
      <c r="D1074" s="2"/>
      <c r="E1074" s="2"/>
      <c r="F1074" s="2"/>
      <c r="G1074" s="2"/>
      <c r="H1074" s="2"/>
      <c r="I1074" s="2"/>
      <c r="J1074" s="2"/>
      <c r="K1074" s="2"/>
    </row>
    <row r="1075" spans="2:12" ht="20.100000000000001" customHeight="1" thickBot="1">
      <c r="B1075" s="171" t="s">
        <v>938</v>
      </c>
      <c r="C1075" s="91">
        <v>393804</v>
      </c>
      <c r="D1075" s="91">
        <v>461825</v>
      </c>
      <c r="E1075" s="91">
        <v>409755</v>
      </c>
      <c r="F1075" s="91">
        <f>D1075+F1071</f>
        <v>440546</v>
      </c>
      <c r="G1075" s="91">
        <f>F1075+G1071</f>
        <v>354813</v>
      </c>
      <c r="H1075" s="91">
        <f>G1075+H1071</f>
        <v>281743</v>
      </c>
      <c r="I1075" s="91">
        <f>H1075+I1071</f>
        <v>186695</v>
      </c>
      <c r="J1075" s="91">
        <f>I1075+J1071</f>
        <v>68794</v>
      </c>
      <c r="K1075" s="91">
        <f>J1075+K1071</f>
        <v>-62947</v>
      </c>
      <c r="L1075" s="173"/>
    </row>
    <row r="1076" spans="2:12" s="173" customFormat="1" ht="15.75" hidden="1" thickTop="1">
      <c r="B1076" s="174"/>
      <c r="C1076" s="146">
        <f>'Budget Detail FY 2012-19'!N1199</f>
        <v>393804</v>
      </c>
      <c r="D1076" s="146">
        <f>'Budget Detail FY 2012-19'!O1199</f>
        <v>461825</v>
      </c>
      <c r="E1076" s="146">
        <f>'Budget Detail FY 2012-19'!P1199</f>
        <v>409755</v>
      </c>
      <c r="F1076" s="146">
        <f>'Budget Detail FY 2012-19'!Q1199</f>
        <v>440546</v>
      </c>
      <c r="G1076" s="146">
        <f>'Budget Detail FY 2012-19'!R1199</f>
        <v>354813</v>
      </c>
      <c r="H1076" s="146">
        <f>'Budget Detail FY 2012-19'!S1199</f>
        <v>281743</v>
      </c>
      <c r="I1076" s="146">
        <f>'Budget Detail FY 2012-19'!T1199</f>
        <v>186695</v>
      </c>
      <c r="J1076" s="146">
        <f>'Budget Detail FY 2012-19'!U1199</f>
        <v>68794</v>
      </c>
      <c r="K1076" s="146">
        <f>'Budget Detail FY 2012-19'!V1199</f>
        <v>-62947</v>
      </c>
      <c r="L1076" s="586" t="s">
        <v>1299</v>
      </c>
    </row>
    <row r="1077" spans="2:12" s="175" customFormat="1" ht="15" hidden="1">
      <c r="B1077" s="176"/>
      <c r="C1077" s="182">
        <f>C1075-('Budget Detail FY 2012-19'!N1000+'Budget Detail FY 2012-19'!N1025+'Budget Detail FY 2012-19'!N1048)</f>
        <v>0</v>
      </c>
      <c r="D1077" s="182">
        <f>D1075-('Budget Detail FY 2012-19'!O1000+'Budget Detail FY 2012-19'!O1025+'Budget Detail FY 2012-19'!O1048)</f>
        <v>0</v>
      </c>
      <c r="E1077" s="182">
        <f>E1075-('Budget Detail FY 2012-19'!P1000+'Budget Detail FY 2012-19'!P1025+'Budget Detail FY 2012-19'!P1048)</f>
        <v>0</v>
      </c>
      <c r="F1077" s="182">
        <f>F1075-('Budget Detail FY 2012-19'!Q1000+'Budget Detail FY 2012-19'!Q1025+'Budget Detail FY 2012-19'!Q1048)</f>
        <v>0</v>
      </c>
      <c r="G1077" s="182">
        <f>G1075-('Budget Detail FY 2012-19'!R1000+'Budget Detail FY 2012-19'!R1025+'Budget Detail FY 2012-19'!R1048)</f>
        <v>0</v>
      </c>
      <c r="H1077" s="182">
        <f>H1075-('Budget Detail FY 2012-19'!S1000+'Budget Detail FY 2012-19'!S1025+'Budget Detail FY 2012-19'!S1048)</f>
        <v>0</v>
      </c>
      <c r="I1077" s="182">
        <f>I1075-('Budget Detail FY 2012-19'!T1000+'Budget Detail FY 2012-19'!T1025+'Budget Detail FY 2012-19'!T1048)</f>
        <v>0</v>
      </c>
      <c r="J1077" s="182">
        <f>J1075-('Budget Detail FY 2012-19'!U1000+'Budget Detail FY 2012-19'!U1025+'Budget Detail FY 2012-19'!U1048)</f>
        <v>0</v>
      </c>
      <c r="K1077" s="182">
        <f>K1075-('Budget Detail FY 2012-19'!V1000+'Budget Detail FY 2012-19'!V1025+'Budget Detail FY 2012-19'!V1048)</f>
        <v>0</v>
      </c>
      <c r="L1077" s="587" t="s">
        <v>1300</v>
      </c>
    </row>
    <row r="1078" spans="2:12" s="175" customFormat="1" ht="15" hidden="1">
      <c r="B1078" s="176"/>
      <c r="C1078" s="182">
        <f>C1075-C1076</f>
        <v>0</v>
      </c>
      <c r="D1078" s="182">
        <f t="shared" ref="D1078:K1078" si="194">D1075-D1076</f>
        <v>0</v>
      </c>
      <c r="E1078" s="182">
        <f t="shared" si="194"/>
        <v>0</v>
      </c>
      <c r="F1078" s="182">
        <f t="shared" si="194"/>
        <v>0</v>
      </c>
      <c r="G1078" s="182">
        <f t="shared" si="194"/>
        <v>0</v>
      </c>
      <c r="H1078" s="182">
        <f t="shared" si="194"/>
        <v>0</v>
      </c>
      <c r="I1078" s="182">
        <f t="shared" si="194"/>
        <v>0</v>
      </c>
      <c r="J1078" s="182">
        <f t="shared" si="194"/>
        <v>0</v>
      </c>
      <c r="K1078" s="182">
        <f t="shared" si="194"/>
        <v>0</v>
      </c>
      <c r="L1078" s="587" t="s">
        <v>1418</v>
      </c>
    </row>
    <row r="1079" spans="2:12" ht="15.75" thickTop="1">
      <c r="B1079" s="184"/>
      <c r="C1079" s="185">
        <f t="shared" ref="C1079:K1079" si="195">+C1075/C1067</f>
        <v>0.18857554126329007</v>
      </c>
      <c r="D1079" s="185">
        <f t="shared" si="195"/>
        <v>0.2971695776083455</v>
      </c>
      <c r="E1079" s="185">
        <f t="shared" si="195"/>
        <v>0.25936306651703228</v>
      </c>
      <c r="F1079" s="185">
        <f t="shared" si="195"/>
        <v>0.27637454533135764</v>
      </c>
      <c r="G1079" s="185">
        <f t="shared" si="195"/>
        <v>0.22602591813294653</v>
      </c>
      <c r="H1079" s="185">
        <f t="shared" si="195"/>
        <v>0.17983970729602447</v>
      </c>
      <c r="I1079" s="185">
        <f t="shared" si="195"/>
        <v>0.11790491190997811</v>
      </c>
      <c r="J1079" s="185">
        <f>+J1075/J1067</f>
        <v>4.2837510251075857E-2</v>
      </c>
      <c r="K1079" s="185">
        <f t="shared" si="195"/>
        <v>-3.8115646991717704E-2</v>
      </c>
    </row>
    <row r="1080" spans="2:12" ht="15">
      <c r="B1080" s="184"/>
      <c r="C1080" s="185"/>
      <c r="D1080" s="185"/>
      <c r="E1080" s="185"/>
      <c r="F1080" s="185"/>
      <c r="G1080" s="185"/>
      <c r="H1080" s="185"/>
      <c r="I1080" s="185"/>
      <c r="J1080" s="185"/>
      <c r="K1080" s="185"/>
    </row>
    <row r="1081" spans="2:12" ht="7.5" customHeight="1">
      <c r="B1081" s="184"/>
      <c r="C1081" s="198"/>
      <c r="D1081" s="198"/>
      <c r="E1081" s="198"/>
      <c r="F1081" s="198"/>
      <c r="G1081" s="198"/>
      <c r="H1081" s="198"/>
      <c r="I1081" s="198"/>
      <c r="J1081" s="198"/>
      <c r="K1081" s="198"/>
    </row>
    <row r="1082" spans="2:12" ht="15">
      <c r="B1082" s="184"/>
      <c r="C1082" s="2"/>
      <c r="D1082" s="2"/>
      <c r="E1082" s="2"/>
      <c r="F1082" s="2"/>
      <c r="G1082" s="2"/>
      <c r="H1082" s="2"/>
      <c r="I1082" s="2"/>
      <c r="J1082" s="2"/>
      <c r="K1082" s="2"/>
    </row>
    <row r="1083" spans="2:12" ht="15">
      <c r="B1083" s="1"/>
      <c r="C1083" s="2"/>
      <c r="D1083" s="2"/>
      <c r="E1083" s="2"/>
      <c r="F1083" s="2"/>
      <c r="G1083" s="2"/>
      <c r="H1083" s="2"/>
      <c r="I1083" s="2"/>
      <c r="J1083" s="2"/>
      <c r="K1083" s="2"/>
    </row>
    <row r="1084" spans="2:12" ht="15">
      <c r="B1084" s="1"/>
      <c r="C1084" s="2"/>
      <c r="D1084" s="2"/>
      <c r="E1084" s="2"/>
      <c r="F1084" s="2"/>
      <c r="G1084" s="2"/>
      <c r="H1084" s="2"/>
      <c r="I1084" s="2"/>
      <c r="J1084" s="2"/>
      <c r="K1084" s="2"/>
    </row>
    <row r="1085" spans="2:12" ht="15">
      <c r="B1085" s="1"/>
      <c r="C1085" s="2"/>
      <c r="D1085" s="2"/>
      <c r="E1085" s="2"/>
      <c r="F1085" s="2"/>
      <c r="G1085" s="2"/>
      <c r="H1085" s="2"/>
      <c r="I1085" s="2"/>
      <c r="J1085" s="2"/>
      <c r="K1085" s="2"/>
    </row>
    <row r="1086" spans="2:12" ht="15">
      <c r="B1086" s="1"/>
      <c r="C1086" s="2"/>
      <c r="D1086" s="2"/>
      <c r="E1086" s="2"/>
      <c r="F1086" s="2"/>
      <c r="G1086" s="2"/>
      <c r="H1086" s="2"/>
      <c r="I1086" s="2"/>
      <c r="J1086" s="2"/>
      <c r="K1086" s="2"/>
    </row>
    <row r="1087" spans="2:12" ht="15">
      <c r="B1087" s="1"/>
      <c r="C1087" s="2"/>
      <c r="D1087" s="2"/>
      <c r="E1087" s="2"/>
      <c r="F1087" s="2"/>
      <c r="G1087" s="2"/>
      <c r="H1087" s="2"/>
      <c r="I1087" s="2"/>
      <c r="J1087" s="2"/>
      <c r="K1087" s="2"/>
    </row>
    <row r="1088" spans="2:12" ht="15">
      <c r="B1088" s="1"/>
      <c r="C1088" s="2"/>
      <c r="D1088" s="2"/>
      <c r="E1088" s="2"/>
      <c r="F1088" s="2"/>
      <c r="G1088" s="2"/>
      <c r="H1088" s="2"/>
      <c r="I1088" s="2"/>
      <c r="J1088" s="2"/>
      <c r="K1088" s="2"/>
    </row>
    <row r="1089" spans="2:11" ht="15">
      <c r="B1089" s="1"/>
      <c r="C1089" s="2"/>
      <c r="D1089" s="2"/>
      <c r="E1089" s="2"/>
      <c r="F1089" s="2"/>
      <c r="G1089" s="2"/>
      <c r="H1089" s="2"/>
      <c r="I1089" s="2"/>
      <c r="J1089" s="2"/>
      <c r="K1089" s="2"/>
    </row>
    <row r="1090" spans="2:11" ht="15">
      <c r="B1090" s="1"/>
      <c r="C1090" s="2"/>
      <c r="D1090" s="2"/>
      <c r="E1090" s="2"/>
      <c r="F1090" s="2"/>
      <c r="G1090" s="2"/>
      <c r="H1090" s="2"/>
      <c r="I1090" s="2"/>
      <c r="J1090" s="2"/>
      <c r="K1090" s="2"/>
    </row>
    <row r="1091" spans="2:11" ht="15">
      <c r="B1091" s="1"/>
      <c r="C1091" s="2"/>
      <c r="D1091" s="2"/>
      <c r="E1091" s="2"/>
      <c r="F1091" s="2"/>
      <c r="G1091" s="2"/>
      <c r="H1091" s="2"/>
      <c r="I1091" s="2"/>
      <c r="J1091" s="2"/>
      <c r="K1091" s="2"/>
    </row>
    <row r="1092" spans="2:11" ht="15">
      <c r="B1092" s="1"/>
      <c r="C1092" s="2"/>
      <c r="D1092" s="2"/>
      <c r="E1092" s="2"/>
      <c r="F1092" s="2"/>
      <c r="G1092" s="2"/>
      <c r="H1092" s="2"/>
      <c r="I1092" s="2"/>
      <c r="J1092" s="2"/>
      <c r="K1092" s="2"/>
    </row>
    <row r="1093" spans="2:11" ht="15">
      <c r="B1093" s="1"/>
      <c r="C1093" s="2"/>
      <c r="D1093" s="2"/>
      <c r="E1093" s="2"/>
      <c r="F1093" s="2"/>
      <c r="G1093" s="2"/>
      <c r="H1093" s="2"/>
      <c r="I1093" s="2"/>
      <c r="J1093" s="2"/>
      <c r="K1093" s="2"/>
    </row>
    <row r="1094" spans="2:11" ht="15">
      <c r="B1094" s="1"/>
      <c r="C1094" s="2"/>
      <c r="D1094" s="2"/>
      <c r="E1094" s="2"/>
      <c r="F1094" s="2"/>
      <c r="G1094" s="2"/>
      <c r="H1094" s="2"/>
      <c r="I1094" s="2"/>
      <c r="J1094" s="2"/>
      <c r="K1094" s="2"/>
    </row>
    <row r="1095" spans="2:11" ht="18.75">
      <c r="B1095" s="722" t="s">
        <v>1261</v>
      </c>
      <c r="C1095" s="722"/>
      <c r="D1095" s="722"/>
      <c r="E1095" s="722"/>
      <c r="F1095" s="722"/>
      <c r="G1095" s="722"/>
      <c r="H1095" s="722"/>
      <c r="I1095" s="722"/>
      <c r="J1095" s="722"/>
      <c r="K1095" s="722"/>
    </row>
    <row r="1096" spans="2:11" ht="7.5" customHeight="1">
      <c r="B1096" s="72"/>
      <c r="C1096" s="3"/>
      <c r="D1096" s="2"/>
      <c r="E1096" s="2"/>
      <c r="F1096" s="2"/>
      <c r="G1096" s="2"/>
      <c r="H1096" s="2"/>
      <c r="I1096" s="2"/>
      <c r="J1096" s="2"/>
      <c r="K1096" s="2"/>
    </row>
    <row r="1097" spans="2:11">
      <c r="B1097" s="715" t="s">
        <v>1265</v>
      </c>
      <c r="C1097" s="715"/>
      <c r="D1097" s="715"/>
      <c r="E1097" s="715"/>
      <c r="F1097" s="715"/>
      <c r="G1097" s="715"/>
      <c r="H1097" s="715"/>
      <c r="I1097" s="715"/>
      <c r="J1097" s="715"/>
      <c r="K1097" s="715"/>
    </row>
    <row r="1098" spans="2:11">
      <c r="B1098" s="715"/>
      <c r="C1098" s="715"/>
      <c r="D1098" s="715"/>
      <c r="E1098" s="715"/>
      <c r="F1098" s="715"/>
      <c r="G1098" s="715"/>
      <c r="H1098" s="715"/>
      <c r="I1098" s="715"/>
      <c r="J1098" s="715"/>
      <c r="K1098" s="715"/>
    </row>
    <row r="1099" spans="2:11">
      <c r="B1099" s="715"/>
      <c r="C1099" s="715"/>
      <c r="D1099" s="715"/>
      <c r="E1099" s="715"/>
      <c r="F1099" s="715"/>
      <c r="G1099" s="715"/>
      <c r="H1099" s="715"/>
      <c r="I1099" s="715"/>
      <c r="J1099" s="715"/>
      <c r="K1099" s="715"/>
    </row>
    <row r="1100" spans="2:11">
      <c r="B1100" s="715"/>
      <c r="C1100" s="715"/>
      <c r="D1100" s="715"/>
      <c r="E1100" s="715"/>
      <c r="F1100" s="715"/>
      <c r="G1100" s="715"/>
      <c r="H1100" s="715"/>
      <c r="I1100" s="715"/>
      <c r="J1100" s="715"/>
      <c r="K1100" s="715"/>
    </row>
    <row r="1101" spans="2:11" ht="15">
      <c r="B1101" s="5"/>
      <c r="C1101" s="72"/>
      <c r="D1101" s="73"/>
      <c r="E1101" s="72" t="s">
        <v>283</v>
      </c>
      <c r="F1101" s="1"/>
      <c r="G1101" s="1"/>
      <c r="H1101" s="1"/>
      <c r="I1101" s="1"/>
      <c r="J1101" s="1"/>
      <c r="K1101" s="1"/>
    </row>
    <row r="1102" spans="2:11" ht="15">
      <c r="B1102" s="73"/>
      <c r="C1102" s="72" t="s">
        <v>229</v>
      </c>
      <c r="D1102" s="96" t="s">
        <v>282</v>
      </c>
      <c r="E1102" s="73" t="s">
        <v>917</v>
      </c>
      <c r="F1102" s="73" t="s">
        <v>283</v>
      </c>
      <c r="G1102" s="73" t="s">
        <v>298</v>
      </c>
      <c r="H1102" s="73" t="s">
        <v>299</v>
      </c>
      <c r="I1102" s="73" t="s">
        <v>300</v>
      </c>
      <c r="J1102" s="73" t="s">
        <v>1087</v>
      </c>
      <c r="K1102" s="73" t="s">
        <v>1224</v>
      </c>
    </row>
    <row r="1103" spans="2:11" ht="15.75" thickBot="1">
      <c r="B1103" s="188"/>
      <c r="C1103" s="75" t="s">
        <v>1</v>
      </c>
      <c r="D1103" s="75" t="s">
        <v>1</v>
      </c>
      <c r="E1103" s="75" t="s">
        <v>871</v>
      </c>
      <c r="F1103" s="75" t="s">
        <v>20</v>
      </c>
      <c r="G1103" s="75" t="s">
        <v>917</v>
      </c>
      <c r="H1103" s="75" t="s">
        <v>20</v>
      </c>
      <c r="I1103" s="75" t="s">
        <v>20</v>
      </c>
      <c r="J1103" s="75" t="s">
        <v>20</v>
      </c>
      <c r="K1103" s="75" t="s">
        <v>20</v>
      </c>
    </row>
    <row r="1104" spans="2:11" ht="15">
      <c r="B1104" s="71"/>
      <c r="C1104" s="189"/>
      <c r="D1104" s="2"/>
      <c r="E1104" s="2"/>
      <c r="F1104" s="2"/>
      <c r="G1104" s="2"/>
      <c r="H1104" s="2"/>
      <c r="I1104" s="2"/>
      <c r="J1104" s="2"/>
      <c r="K1104" s="2"/>
    </row>
    <row r="1105" spans="2:12" ht="15">
      <c r="B1105" s="177" t="s">
        <v>918</v>
      </c>
      <c r="C1105" s="2"/>
      <c r="D1105" s="2"/>
      <c r="E1105" s="2"/>
      <c r="F1105" s="2"/>
      <c r="G1105" s="2"/>
      <c r="H1105" s="2"/>
      <c r="I1105" s="2"/>
      <c r="J1105" s="2"/>
      <c r="K1105" s="2"/>
    </row>
    <row r="1106" spans="2:12" ht="20.100000000000001" customHeight="1">
      <c r="B1106" s="688" t="s">
        <v>923</v>
      </c>
      <c r="C1106" s="2">
        <f>C592+C645+'Budget Detail FY 2012-19'!N470+'Budget Detail FY 2012-19'!N477</f>
        <v>888788</v>
      </c>
      <c r="D1106" s="2">
        <f>D592+D645+'Budget Detail FY 2012-19'!O470+'Budget Detail FY 2012-19'!O477</f>
        <v>762533</v>
      </c>
      <c r="E1106" s="2">
        <f>E592+E645+'Budget Detail FY 2012-19'!P470+'Budget Detail FY 2012-19'!P477</f>
        <v>303275</v>
      </c>
      <c r="F1106" s="2">
        <f>F592+F645+'Budget Detail FY 2012-19'!Q470+'Budget Detail FY 2012-19'!Q477</f>
        <v>333842</v>
      </c>
      <c r="G1106" s="2">
        <f>G592+G645+'Budget Detail FY 2012-19'!R470+'Budget Detail FY 2012-19'!R477</f>
        <v>391925</v>
      </c>
      <c r="H1106" s="2">
        <f>H592+H645+'Budget Detail FY 2012-19'!S470+'Budget Detail FY 2012-19'!S477</f>
        <v>299269</v>
      </c>
      <c r="I1106" s="2">
        <f>I592+I645+'Budget Detail FY 2012-19'!T470+'Budget Detail FY 2012-19'!T477</f>
        <v>282275</v>
      </c>
      <c r="J1106" s="2">
        <f>J592+J645+'Budget Detail FY 2012-19'!U470+'Budget Detail FY 2012-19'!U477</f>
        <v>282275</v>
      </c>
      <c r="K1106" s="2">
        <f>K592+K645+'Budget Detail FY 2012-19'!V470+'Budget Detail FY 2012-19'!V477</f>
        <v>282275</v>
      </c>
    </row>
    <row r="1107" spans="2:12" ht="20.100000000000001" customHeight="1">
      <c r="B1107" s="688" t="s">
        <v>924</v>
      </c>
      <c r="C1107" s="2">
        <f>C593+'Budget Detail FY 2012-19'!N480</f>
        <v>503</v>
      </c>
      <c r="D1107" s="2">
        <f>D593+'Budget Detail FY 2012-19'!O480</f>
        <v>757</v>
      </c>
      <c r="E1107" s="2">
        <f>E593+'Budget Detail FY 2012-19'!P480</f>
        <v>650</v>
      </c>
      <c r="F1107" s="2">
        <f>F593+'Budget Detail FY 2012-19'!Q480</f>
        <v>700</v>
      </c>
      <c r="G1107" s="2">
        <f>G593+'Budget Detail FY 2012-19'!R480</f>
        <v>700</v>
      </c>
      <c r="H1107" s="2">
        <f>H593+'Budget Detail FY 2012-19'!S480</f>
        <v>700</v>
      </c>
      <c r="I1107" s="2">
        <f>I593+'Budget Detail FY 2012-19'!T480</f>
        <v>700</v>
      </c>
      <c r="J1107" s="2">
        <f>J593+'Budget Detail FY 2012-19'!U480</f>
        <v>700</v>
      </c>
      <c r="K1107" s="2">
        <f>K593+'Budget Detail FY 2012-19'!V480</f>
        <v>700</v>
      </c>
    </row>
    <row r="1108" spans="2:12" ht="20.100000000000001" customHeight="1">
      <c r="B1108" s="688" t="s">
        <v>925</v>
      </c>
      <c r="C1108" s="2">
        <f>C594+'Budget Detail FY 2012-19'!N481</f>
        <v>14038</v>
      </c>
      <c r="D1108" s="2">
        <f>D594+'Budget Detail FY 2012-19'!O481</f>
        <v>20947</v>
      </c>
      <c r="E1108" s="2">
        <f>E594+'Budget Detail FY 2012-19'!P481</f>
        <v>50000</v>
      </c>
      <c r="F1108" s="2">
        <f>F594+'Budget Detail FY 2012-19'!Q481</f>
        <v>50000</v>
      </c>
      <c r="G1108" s="2">
        <f>G594+'Budget Detail FY 2012-19'!R481</f>
        <v>50000</v>
      </c>
      <c r="H1108" s="2">
        <f>H594+'Budget Detail FY 2012-19'!S481</f>
        <v>50000</v>
      </c>
      <c r="I1108" s="2">
        <f>I594+'Budget Detail FY 2012-19'!T481</f>
        <v>0</v>
      </c>
      <c r="J1108" s="2">
        <f>J594+'Budget Detail FY 2012-19'!U481</f>
        <v>0</v>
      </c>
      <c r="K1108" s="2">
        <f>K594+'Budget Detail FY 2012-19'!V481</f>
        <v>0</v>
      </c>
    </row>
    <row r="1109" spans="2:12" ht="20.100000000000001" customHeight="1">
      <c r="B1109" s="688" t="s">
        <v>926</v>
      </c>
      <c r="C1109" s="2">
        <f>C595+C646+'Budget Detail FY 2012-19'!N486</f>
        <v>208662</v>
      </c>
      <c r="D1109" s="2">
        <f>D595+D646+'Budget Detail FY 2012-19'!O486</f>
        <v>213335</v>
      </c>
      <c r="E1109" s="2">
        <f>E595+E646+'Budget Detail FY 2012-19'!P486</f>
        <v>223000</v>
      </c>
      <c r="F1109" s="2">
        <f>F595+F646+'Budget Detail FY 2012-19'!Q486</f>
        <v>180911</v>
      </c>
      <c r="G1109" s="2">
        <f>G595+G646+'Budget Detail FY 2012-19'!R486</f>
        <v>208000</v>
      </c>
      <c r="H1109" s="2">
        <f>H595+H646+'Budget Detail FY 2012-19'!S486</f>
        <v>208000</v>
      </c>
      <c r="I1109" s="2">
        <f>I595+I646+'Budget Detail FY 2012-19'!T486</f>
        <v>208000</v>
      </c>
      <c r="J1109" s="2">
        <f>J595+J646+'Budget Detail FY 2012-19'!U486</f>
        <v>217700</v>
      </c>
      <c r="K1109" s="2">
        <f>K595+K646+'Budget Detail FY 2012-19'!V486</f>
        <v>217700</v>
      </c>
    </row>
    <row r="1110" spans="2:12" ht="20.100000000000001" customHeight="1">
      <c r="B1110" s="688" t="s">
        <v>927</v>
      </c>
      <c r="C1110" s="2">
        <f t="shared" ref="C1110:K1110" si="196">C596+C647</f>
        <v>736710</v>
      </c>
      <c r="D1110" s="2">
        <f t="shared" si="196"/>
        <v>955886</v>
      </c>
      <c r="E1110" s="2">
        <f t="shared" si="196"/>
        <v>2322461</v>
      </c>
      <c r="F1110" s="2">
        <f t="shared" si="196"/>
        <v>2253344</v>
      </c>
      <c r="G1110" s="2">
        <f t="shared" si="196"/>
        <v>1277606</v>
      </c>
      <c r="H1110" s="2">
        <f t="shared" si="196"/>
        <v>1339594</v>
      </c>
      <c r="I1110" s="2">
        <f t="shared" si="196"/>
        <v>1401968</v>
      </c>
      <c r="J1110" s="2">
        <f t="shared" si="196"/>
        <v>1460826</v>
      </c>
      <c r="K1110" s="2">
        <f t="shared" si="196"/>
        <v>1531004</v>
      </c>
    </row>
    <row r="1111" spans="2:12" ht="20.100000000000001" customHeight="1" thickBot="1">
      <c r="B1111" s="172" t="s">
        <v>928</v>
      </c>
      <c r="C1111" s="169">
        <f>SUM(C1106:C1110)</f>
        <v>1848701</v>
      </c>
      <c r="D1111" s="169">
        <f t="shared" ref="D1111:K1111" si="197">SUM(D1106:D1110)</f>
        <v>1953458</v>
      </c>
      <c r="E1111" s="169">
        <f t="shared" si="197"/>
        <v>2899386</v>
      </c>
      <c r="F1111" s="169">
        <f t="shared" si="197"/>
        <v>2818797</v>
      </c>
      <c r="G1111" s="169">
        <f t="shared" si="197"/>
        <v>1928231</v>
      </c>
      <c r="H1111" s="169">
        <f t="shared" si="197"/>
        <v>1897563</v>
      </c>
      <c r="I1111" s="169">
        <f t="shared" si="197"/>
        <v>1892943</v>
      </c>
      <c r="J1111" s="169">
        <f t="shared" si="197"/>
        <v>1961501</v>
      </c>
      <c r="K1111" s="169">
        <f t="shared" si="197"/>
        <v>2031679</v>
      </c>
      <c r="L1111" s="173"/>
    </row>
    <row r="1112" spans="2:12" s="173" customFormat="1" ht="15" hidden="1">
      <c r="B1112" s="174"/>
      <c r="C1112" s="146">
        <f>'Budget Detail FY 2012-19'!N470+'Budget Detail FY 2012-19'!N477+'Budget Detail FY 2012-19'!N480+'Budget Detail FY 2012-19'!N481+'Budget Detail FY 2012-19'!N486+'Budget Detail FY 2012-19'!N805+'Budget Detail FY 2012-19'!N896</f>
        <v>1848701</v>
      </c>
      <c r="D1112" s="146">
        <f>'Budget Detail FY 2012-19'!O470+'Budget Detail FY 2012-19'!O477+'Budget Detail FY 2012-19'!O480+'Budget Detail FY 2012-19'!O481+'Budget Detail FY 2012-19'!O486+'Budget Detail FY 2012-19'!O805+'Budget Detail FY 2012-19'!O896</f>
        <v>1953458</v>
      </c>
      <c r="E1112" s="146">
        <f>'Budget Detail FY 2012-19'!P470+'Budget Detail FY 2012-19'!P477+'Budget Detail FY 2012-19'!P480+'Budget Detail FY 2012-19'!P481+'Budget Detail FY 2012-19'!P486+'Budget Detail FY 2012-19'!P805+'Budget Detail FY 2012-19'!P896</f>
        <v>2899386</v>
      </c>
      <c r="F1112" s="146">
        <f>'Budget Detail FY 2012-19'!Q470+'Budget Detail FY 2012-19'!Q477+'Budget Detail FY 2012-19'!Q480+'Budget Detail FY 2012-19'!Q481+'Budget Detail FY 2012-19'!Q486+'Budget Detail FY 2012-19'!Q805+'Budget Detail FY 2012-19'!Q896</f>
        <v>2818797</v>
      </c>
      <c r="G1112" s="146">
        <f>'Budget Detail FY 2012-19'!R470+'Budget Detail FY 2012-19'!R477+'Budget Detail FY 2012-19'!R480+'Budget Detail FY 2012-19'!R481+'Budget Detail FY 2012-19'!R486+'Budget Detail FY 2012-19'!R805+'Budget Detail FY 2012-19'!R896</f>
        <v>1928231</v>
      </c>
      <c r="H1112" s="146">
        <f>'Budget Detail FY 2012-19'!S470+'Budget Detail FY 2012-19'!S477+'Budget Detail FY 2012-19'!S480+'Budget Detail FY 2012-19'!S481+'Budget Detail FY 2012-19'!S486+'Budget Detail FY 2012-19'!S805+'Budget Detail FY 2012-19'!S896</f>
        <v>1897563</v>
      </c>
      <c r="I1112" s="146">
        <f>'Budget Detail FY 2012-19'!T470+'Budget Detail FY 2012-19'!T477+'Budget Detail FY 2012-19'!T480+'Budget Detail FY 2012-19'!T481+'Budget Detail FY 2012-19'!T486+'Budget Detail FY 2012-19'!T805+'Budget Detail FY 2012-19'!T896</f>
        <v>1892943</v>
      </c>
      <c r="J1112" s="146">
        <f>'Budget Detail FY 2012-19'!U470+'Budget Detail FY 2012-19'!U477+'Budget Detail FY 2012-19'!U480+'Budget Detail FY 2012-19'!U481+'Budget Detail FY 2012-19'!U486+'Budget Detail FY 2012-19'!U805+'Budget Detail FY 2012-19'!U896</f>
        <v>1961501</v>
      </c>
      <c r="K1112" s="146">
        <f>'Budget Detail FY 2012-19'!V470+'Budget Detail FY 2012-19'!V477+'Budget Detail FY 2012-19'!V480+'Budget Detail FY 2012-19'!V481+'Budget Detail FY 2012-19'!V486+'Budget Detail FY 2012-19'!V805+'Budget Detail FY 2012-19'!V896</f>
        <v>2031679</v>
      </c>
      <c r="L1112" s="586" t="s">
        <v>1299</v>
      </c>
    </row>
    <row r="1113" spans="2:12" s="175" customFormat="1" ht="15" hidden="1">
      <c r="B1113" s="176"/>
      <c r="C1113" s="182">
        <f>C1111-C1112</f>
        <v>0</v>
      </c>
      <c r="D1113" s="182">
        <f t="shared" ref="D1113:K1113" si="198">D1111-D1112</f>
        <v>0</v>
      </c>
      <c r="E1113" s="182">
        <f t="shared" si="198"/>
        <v>0</v>
      </c>
      <c r="F1113" s="182">
        <f t="shared" si="198"/>
        <v>0</v>
      </c>
      <c r="G1113" s="182">
        <f t="shared" si="198"/>
        <v>0</v>
      </c>
      <c r="H1113" s="182">
        <f t="shared" si="198"/>
        <v>0</v>
      </c>
      <c r="I1113" s="182">
        <f t="shared" si="198"/>
        <v>0</v>
      </c>
      <c r="J1113" s="182">
        <f t="shared" si="198"/>
        <v>0</v>
      </c>
      <c r="K1113" s="182">
        <f t="shared" si="198"/>
        <v>0</v>
      </c>
      <c r="L1113" s="587" t="s">
        <v>1300</v>
      </c>
    </row>
    <row r="1114" spans="2:12" ht="7.5" customHeight="1">
      <c r="B1114" s="1"/>
      <c r="C1114" s="2"/>
      <c r="D1114" s="2"/>
      <c r="E1114" s="2"/>
      <c r="F1114" s="2"/>
      <c r="G1114" s="2"/>
      <c r="H1114" s="2"/>
      <c r="I1114" s="2"/>
      <c r="J1114" s="2"/>
      <c r="K1114" s="2"/>
    </row>
    <row r="1115" spans="2:12" ht="15">
      <c r="B1115" s="177" t="s">
        <v>659</v>
      </c>
      <c r="C1115" s="2"/>
      <c r="D1115" s="2"/>
      <c r="E1115" s="2"/>
      <c r="F1115" s="2"/>
      <c r="G1115" s="2"/>
      <c r="H1115" s="2"/>
      <c r="I1115" s="2"/>
      <c r="J1115" s="2"/>
      <c r="K1115" s="2"/>
    </row>
    <row r="1116" spans="2:12" ht="20.100000000000001" customHeight="1">
      <c r="B1116" s="689" t="s">
        <v>929</v>
      </c>
      <c r="C1116" s="2">
        <f t="shared" ref="C1116:K1116" si="199">C602+C653</f>
        <v>853663</v>
      </c>
      <c r="D1116" s="2">
        <f t="shared" si="199"/>
        <v>840987</v>
      </c>
      <c r="E1116" s="2">
        <f t="shared" si="199"/>
        <v>791493</v>
      </c>
      <c r="F1116" s="2">
        <f t="shared" si="199"/>
        <v>790268</v>
      </c>
      <c r="G1116" s="2">
        <f t="shared" si="199"/>
        <v>840647</v>
      </c>
      <c r="H1116" s="2">
        <f t="shared" si="199"/>
        <v>862287</v>
      </c>
      <c r="I1116" s="2">
        <f t="shared" si="199"/>
        <v>888292</v>
      </c>
      <c r="J1116" s="2">
        <f t="shared" si="199"/>
        <v>915206</v>
      </c>
      <c r="K1116" s="2">
        <f t="shared" si="199"/>
        <v>943063</v>
      </c>
    </row>
    <row r="1117" spans="2:12" ht="20.100000000000001" customHeight="1">
      <c r="B1117" s="689" t="s">
        <v>930</v>
      </c>
      <c r="C1117" s="2">
        <f t="shared" ref="C1117:K1117" si="200">C603+C654</f>
        <v>132716</v>
      </c>
      <c r="D1117" s="2">
        <f t="shared" si="200"/>
        <v>307286</v>
      </c>
      <c r="E1117" s="2">
        <f t="shared" si="200"/>
        <v>351668</v>
      </c>
      <c r="F1117" s="2">
        <f t="shared" si="200"/>
        <v>353633</v>
      </c>
      <c r="G1117" s="2">
        <f t="shared" si="200"/>
        <v>397762</v>
      </c>
      <c r="H1117" s="2">
        <f t="shared" si="200"/>
        <v>427622</v>
      </c>
      <c r="I1117" s="2">
        <f t="shared" si="200"/>
        <v>459948</v>
      </c>
      <c r="J1117" s="2">
        <f t="shared" si="200"/>
        <v>494845</v>
      </c>
      <c r="K1117" s="2">
        <f t="shared" si="200"/>
        <v>532667</v>
      </c>
    </row>
    <row r="1118" spans="2:12" ht="20.100000000000001" customHeight="1">
      <c r="B1118" s="689" t="s">
        <v>931</v>
      </c>
      <c r="C1118" s="2">
        <f t="shared" ref="C1118:K1118" si="201">C604+C655</f>
        <v>540570</v>
      </c>
      <c r="D1118" s="2">
        <f t="shared" si="201"/>
        <v>520056</v>
      </c>
      <c r="E1118" s="2">
        <f t="shared" si="201"/>
        <v>341530</v>
      </c>
      <c r="F1118" s="2">
        <f t="shared" si="201"/>
        <v>435915</v>
      </c>
      <c r="G1118" s="2">
        <f t="shared" si="201"/>
        <v>374430</v>
      </c>
      <c r="H1118" s="2">
        <f t="shared" si="201"/>
        <v>253154</v>
      </c>
      <c r="I1118" s="2">
        <f t="shared" si="201"/>
        <v>237623</v>
      </c>
      <c r="J1118" s="2">
        <f t="shared" si="201"/>
        <v>239174</v>
      </c>
      <c r="K1118" s="2">
        <f t="shared" si="201"/>
        <v>240818</v>
      </c>
    </row>
    <row r="1119" spans="2:12" ht="20.100000000000001" customHeight="1">
      <c r="B1119" s="689" t="s">
        <v>932</v>
      </c>
      <c r="C1119" s="2">
        <f t="shared" ref="C1119:K1119" si="202">C605+C656</f>
        <v>283625</v>
      </c>
      <c r="D1119" s="2">
        <f t="shared" si="202"/>
        <v>321431</v>
      </c>
      <c r="E1119" s="2">
        <f t="shared" si="202"/>
        <v>307889</v>
      </c>
      <c r="F1119" s="2">
        <f t="shared" si="202"/>
        <v>286058</v>
      </c>
      <c r="G1119" s="2">
        <f t="shared" si="202"/>
        <v>298608</v>
      </c>
      <c r="H1119" s="2">
        <f t="shared" si="202"/>
        <v>295686</v>
      </c>
      <c r="I1119" s="2">
        <f t="shared" si="202"/>
        <v>297641</v>
      </c>
      <c r="J1119" s="2">
        <f t="shared" si="202"/>
        <v>299733</v>
      </c>
      <c r="K1119" s="2">
        <f t="shared" si="202"/>
        <v>301972</v>
      </c>
    </row>
    <row r="1120" spans="2:12" ht="20.100000000000001" customHeight="1">
      <c r="B1120" s="689" t="s">
        <v>933</v>
      </c>
      <c r="C1120" s="2">
        <f>C333</f>
        <v>0</v>
      </c>
      <c r="D1120" s="2">
        <f t="shared" ref="D1120:K1120" si="203">D333</f>
        <v>17284</v>
      </c>
      <c r="E1120" s="2">
        <f t="shared" si="203"/>
        <v>17000</v>
      </c>
      <c r="F1120" s="2">
        <f t="shared" si="203"/>
        <v>17000</v>
      </c>
      <c r="G1120" s="2">
        <f t="shared" si="203"/>
        <v>140000</v>
      </c>
      <c r="H1120" s="2">
        <f t="shared" si="203"/>
        <v>17500</v>
      </c>
      <c r="I1120" s="2">
        <f t="shared" si="203"/>
        <v>0</v>
      </c>
      <c r="J1120" s="2">
        <f t="shared" si="203"/>
        <v>0</v>
      </c>
      <c r="K1120" s="2">
        <f t="shared" si="203"/>
        <v>0</v>
      </c>
    </row>
    <row r="1121" spans="2:12" ht="20.100000000000001" customHeight="1">
      <c r="B1121" s="690" t="s">
        <v>852</v>
      </c>
      <c r="C1121" s="2">
        <f>C334</f>
        <v>0</v>
      </c>
      <c r="D1121" s="2">
        <f t="shared" ref="D1121:K1121" si="204">D334</f>
        <v>0</v>
      </c>
      <c r="E1121" s="2">
        <f t="shared" si="204"/>
        <v>2500</v>
      </c>
      <c r="F1121" s="2">
        <f t="shared" si="204"/>
        <v>2383</v>
      </c>
      <c r="G1121" s="2">
        <f t="shared" si="204"/>
        <v>2219</v>
      </c>
      <c r="H1121" s="2">
        <f t="shared" si="204"/>
        <v>2219</v>
      </c>
      <c r="I1121" s="2">
        <f t="shared" si="204"/>
        <v>2219</v>
      </c>
      <c r="J1121" s="2">
        <f t="shared" si="204"/>
        <v>2219</v>
      </c>
      <c r="K1121" s="2">
        <f t="shared" si="204"/>
        <v>2219</v>
      </c>
    </row>
    <row r="1122" spans="2:12" ht="20.100000000000001" customHeight="1">
      <c r="B1122" s="690" t="s">
        <v>935</v>
      </c>
      <c r="C1122" s="2">
        <f t="shared" ref="C1122:K1122" si="205">C335+C606</f>
        <v>3500</v>
      </c>
      <c r="D1122" s="2">
        <f t="shared" si="205"/>
        <v>2500</v>
      </c>
      <c r="E1122" s="2">
        <f t="shared" si="205"/>
        <v>606957</v>
      </c>
      <c r="F1122" s="2">
        <f t="shared" si="205"/>
        <v>537840</v>
      </c>
      <c r="G1122" s="2">
        <f t="shared" si="205"/>
        <v>50000</v>
      </c>
      <c r="H1122" s="2">
        <f t="shared" si="205"/>
        <v>50000</v>
      </c>
      <c r="I1122" s="2">
        <f t="shared" si="205"/>
        <v>0</v>
      </c>
      <c r="J1122" s="2">
        <f t="shared" si="205"/>
        <v>0</v>
      </c>
      <c r="K1122" s="2">
        <f t="shared" si="205"/>
        <v>0</v>
      </c>
    </row>
    <row r="1123" spans="2:12" ht="20.100000000000001" customHeight="1" thickBot="1">
      <c r="B1123" s="172" t="s">
        <v>936</v>
      </c>
      <c r="C1123" s="169">
        <f>SUM(C1116:C1122)</f>
        <v>1814074</v>
      </c>
      <c r="D1123" s="169">
        <f t="shared" ref="D1123:K1123" si="206">SUM(D1116:D1122)</f>
        <v>2009544</v>
      </c>
      <c r="E1123" s="169">
        <f t="shared" si="206"/>
        <v>2419037</v>
      </c>
      <c r="F1123" s="169">
        <f t="shared" si="206"/>
        <v>2423097</v>
      </c>
      <c r="G1123" s="169">
        <f t="shared" si="206"/>
        <v>2103666</v>
      </c>
      <c r="H1123" s="169">
        <f t="shared" si="206"/>
        <v>1908468</v>
      </c>
      <c r="I1123" s="169">
        <f t="shared" si="206"/>
        <v>1885723</v>
      </c>
      <c r="J1123" s="169">
        <f t="shared" si="206"/>
        <v>1951177</v>
      </c>
      <c r="K1123" s="169">
        <f t="shared" si="206"/>
        <v>2020739</v>
      </c>
      <c r="L1123" s="173"/>
    </row>
    <row r="1124" spans="2:12" s="173" customFormat="1" ht="15" hidden="1">
      <c r="B1124" s="174"/>
      <c r="C1124" s="146">
        <f>'Budget Detail FY 2012-19'!N522+'Budget Detail FY 2012-19'!N873+'Budget Detail FY 2012-19'!N926</f>
        <v>1814074</v>
      </c>
      <c r="D1124" s="146">
        <f>'Budget Detail FY 2012-19'!O522+'Budget Detail FY 2012-19'!O873+'Budget Detail FY 2012-19'!O926</f>
        <v>2009544</v>
      </c>
      <c r="E1124" s="146">
        <f>'Budget Detail FY 2012-19'!P522+'Budget Detail FY 2012-19'!P873+'Budget Detail FY 2012-19'!P926</f>
        <v>2419037</v>
      </c>
      <c r="F1124" s="146">
        <f>'Budget Detail FY 2012-19'!Q522+'Budget Detail FY 2012-19'!Q873+'Budget Detail FY 2012-19'!Q926</f>
        <v>2423097</v>
      </c>
      <c r="G1124" s="146">
        <f>'Budget Detail FY 2012-19'!R522+'Budget Detail FY 2012-19'!R873+'Budget Detail FY 2012-19'!R926</f>
        <v>2103666</v>
      </c>
      <c r="H1124" s="146">
        <f>'Budget Detail FY 2012-19'!S522+'Budget Detail FY 2012-19'!S873+'Budget Detail FY 2012-19'!S926</f>
        <v>1908468</v>
      </c>
      <c r="I1124" s="146">
        <f>'Budget Detail FY 2012-19'!T522+'Budget Detail FY 2012-19'!T873+'Budget Detail FY 2012-19'!T926</f>
        <v>1885723</v>
      </c>
      <c r="J1124" s="146">
        <f>'Budget Detail FY 2012-19'!U522+'Budget Detail FY 2012-19'!U873+'Budget Detail FY 2012-19'!U926</f>
        <v>1951177</v>
      </c>
      <c r="K1124" s="146">
        <f>'Budget Detail FY 2012-19'!V522+'Budget Detail FY 2012-19'!V873+'Budget Detail FY 2012-19'!V926</f>
        <v>2020739</v>
      </c>
      <c r="L1124" s="586" t="s">
        <v>1299</v>
      </c>
    </row>
    <row r="1125" spans="2:12" s="175" customFormat="1" ht="15" hidden="1">
      <c r="B1125" s="176"/>
      <c r="C1125" s="182">
        <f>C1123-C1124</f>
        <v>0</v>
      </c>
      <c r="D1125" s="182">
        <f t="shared" ref="D1125:K1125" si="207">D1123-D1124</f>
        <v>0</v>
      </c>
      <c r="E1125" s="182">
        <f t="shared" si="207"/>
        <v>0</v>
      </c>
      <c r="F1125" s="182">
        <f t="shared" si="207"/>
        <v>0</v>
      </c>
      <c r="G1125" s="182">
        <f t="shared" si="207"/>
        <v>0</v>
      </c>
      <c r="H1125" s="182">
        <f t="shared" si="207"/>
        <v>0</v>
      </c>
      <c r="I1125" s="182">
        <f t="shared" si="207"/>
        <v>0</v>
      </c>
      <c r="J1125" s="182">
        <f t="shared" si="207"/>
        <v>0</v>
      </c>
      <c r="K1125" s="182">
        <f t="shared" si="207"/>
        <v>0</v>
      </c>
      <c r="L1125" s="587" t="s">
        <v>1300</v>
      </c>
    </row>
    <row r="1126" spans="2:12" ht="7.5" customHeight="1">
      <c r="B1126" s="179"/>
      <c r="C1126" s="3"/>
      <c r="D1126" s="2"/>
      <c r="E1126" s="2"/>
      <c r="F1126" s="2"/>
      <c r="G1126" s="2"/>
      <c r="H1126" s="2"/>
      <c r="I1126" s="2"/>
      <c r="J1126" s="2"/>
      <c r="K1126" s="2"/>
    </row>
    <row r="1127" spans="2:12" ht="20.100000000000001" customHeight="1">
      <c r="B1127" s="691" t="s">
        <v>937</v>
      </c>
      <c r="C1127" s="3">
        <f t="shared" ref="C1127:K1127" si="208">+C1111-C1123</f>
        <v>34627</v>
      </c>
      <c r="D1127" s="3">
        <f t="shared" si="208"/>
        <v>-56086</v>
      </c>
      <c r="E1127" s="3">
        <f t="shared" si="208"/>
        <v>480349</v>
      </c>
      <c r="F1127" s="3">
        <f t="shared" si="208"/>
        <v>395700</v>
      </c>
      <c r="G1127" s="3">
        <f t="shared" si="208"/>
        <v>-175435</v>
      </c>
      <c r="H1127" s="3">
        <f t="shared" si="208"/>
        <v>-10905</v>
      </c>
      <c r="I1127" s="3">
        <f t="shared" si="208"/>
        <v>7220</v>
      </c>
      <c r="J1127" s="3">
        <f t="shared" si="208"/>
        <v>10324</v>
      </c>
      <c r="K1127" s="3">
        <f t="shared" si="208"/>
        <v>10940</v>
      </c>
      <c r="L1127" s="173"/>
    </row>
    <row r="1128" spans="2:12" s="173" customFormat="1" ht="15" hidden="1">
      <c r="B1128" s="180"/>
      <c r="C1128" s="146">
        <f>('Budget Detail FY 2012-19'!N470+'Budget Detail FY 2012-19'!N477+'Budget Detail FY 2012-19'!N480+'Budget Detail FY 2012-19'!N481+'Budget Detail FY 2012-19'!N486-'Budget Detail FY 2012-19'!N522)+'Budget Detail FY 2012-19'!N875+'Budget Detail FY 2012-19'!N928</f>
        <v>34627</v>
      </c>
      <c r="D1128" s="146">
        <f>('Budget Detail FY 2012-19'!O470+'Budget Detail FY 2012-19'!O477+'Budget Detail FY 2012-19'!O480+'Budget Detail FY 2012-19'!O481+'Budget Detail FY 2012-19'!O486-'Budget Detail FY 2012-19'!O522)+'Budget Detail FY 2012-19'!O875+'Budget Detail FY 2012-19'!O928</f>
        <v>-56086</v>
      </c>
      <c r="E1128" s="146">
        <f>('Budget Detail FY 2012-19'!P470+'Budget Detail FY 2012-19'!P477+'Budget Detail FY 2012-19'!P480+'Budget Detail FY 2012-19'!P481+'Budget Detail FY 2012-19'!P486-'Budget Detail FY 2012-19'!P522)+'Budget Detail FY 2012-19'!P875+'Budget Detail FY 2012-19'!P928</f>
        <v>480349</v>
      </c>
      <c r="F1128" s="146">
        <f>('Budget Detail FY 2012-19'!Q470+'Budget Detail FY 2012-19'!Q477+'Budget Detail FY 2012-19'!Q480+'Budget Detail FY 2012-19'!Q481+'Budget Detail FY 2012-19'!Q486-'Budget Detail FY 2012-19'!Q522)+'Budget Detail FY 2012-19'!Q875+'Budget Detail FY 2012-19'!Q928</f>
        <v>395700</v>
      </c>
      <c r="G1128" s="146">
        <f>('Budget Detail FY 2012-19'!R470+'Budget Detail FY 2012-19'!R477+'Budget Detail FY 2012-19'!R480+'Budget Detail FY 2012-19'!R481+'Budget Detail FY 2012-19'!R486-'Budget Detail FY 2012-19'!R522)+'Budget Detail FY 2012-19'!R875+'Budget Detail FY 2012-19'!R928</f>
        <v>-175435</v>
      </c>
      <c r="H1128" s="146">
        <f>('Budget Detail FY 2012-19'!S470+'Budget Detail FY 2012-19'!S477+'Budget Detail FY 2012-19'!S480+'Budget Detail FY 2012-19'!S481+'Budget Detail FY 2012-19'!S486-'Budget Detail FY 2012-19'!S522)+'Budget Detail FY 2012-19'!S875+'Budget Detail FY 2012-19'!S928</f>
        <v>-10905</v>
      </c>
      <c r="I1128" s="146">
        <f>('Budget Detail FY 2012-19'!T470+'Budget Detail FY 2012-19'!T477+'Budget Detail FY 2012-19'!T480+'Budget Detail FY 2012-19'!T481+'Budget Detail FY 2012-19'!T486-'Budget Detail FY 2012-19'!T522)+'Budget Detail FY 2012-19'!T875+'Budget Detail FY 2012-19'!T928</f>
        <v>7220</v>
      </c>
      <c r="J1128" s="146">
        <f>('Budget Detail FY 2012-19'!U470+'Budget Detail FY 2012-19'!U477+'Budget Detail FY 2012-19'!U480+'Budget Detail FY 2012-19'!U481+'Budget Detail FY 2012-19'!U486-'Budget Detail FY 2012-19'!U522)+'Budget Detail FY 2012-19'!U875+'Budget Detail FY 2012-19'!U928</f>
        <v>10324</v>
      </c>
      <c r="K1128" s="146">
        <f>('Budget Detail FY 2012-19'!V470+'Budget Detail FY 2012-19'!V477+'Budget Detail FY 2012-19'!V480+'Budget Detail FY 2012-19'!V481+'Budget Detail FY 2012-19'!V486-'Budget Detail FY 2012-19'!V522)+'Budget Detail FY 2012-19'!V875+'Budget Detail FY 2012-19'!V928</f>
        <v>10940</v>
      </c>
      <c r="L1128" s="586" t="s">
        <v>1299</v>
      </c>
    </row>
    <row r="1129" spans="2:12" s="175" customFormat="1" ht="15" hidden="1">
      <c r="B1129" s="181"/>
      <c r="C1129" s="190">
        <f>C1127-C1128</f>
        <v>0</v>
      </c>
      <c r="D1129" s="190">
        <f t="shared" ref="D1129:K1129" si="209">D1127-D1128</f>
        <v>0</v>
      </c>
      <c r="E1129" s="190">
        <f t="shared" si="209"/>
        <v>0</v>
      </c>
      <c r="F1129" s="190">
        <f t="shared" si="209"/>
        <v>0</v>
      </c>
      <c r="G1129" s="190">
        <f t="shared" si="209"/>
        <v>0</v>
      </c>
      <c r="H1129" s="190">
        <f t="shared" si="209"/>
        <v>0</v>
      </c>
      <c r="I1129" s="190">
        <f t="shared" si="209"/>
        <v>0</v>
      </c>
      <c r="J1129" s="190">
        <f t="shared" si="209"/>
        <v>0</v>
      </c>
      <c r="K1129" s="190">
        <f t="shared" si="209"/>
        <v>0</v>
      </c>
      <c r="L1129" s="587" t="s">
        <v>1300</v>
      </c>
    </row>
    <row r="1130" spans="2:12" ht="7.5" customHeight="1">
      <c r="B1130" s="183"/>
      <c r="C1130" s="3"/>
      <c r="D1130" s="2"/>
      <c r="E1130" s="2"/>
      <c r="F1130" s="2"/>
      <c r="G1130" s="2"/>
      <c r="H1130" s="2"/>
      <c r="I1130" s="2"/>
      <c r="J1130" s="2"/>
      <c r="K1130" s="2"/>
    </row>
    <row r="1131" spans="2:12" ht="20.100000000000001" customHeight="1" thickBot="1">
      <c r="B1131" s="171" t="s">
        <v>938</v>
      </c>
      <c r="C1131" s="91">
        <v>122537</v>
      </c>
      <c r="D1131" s="91">
        <v>66452</v>
      </c>
      <c r="E1131" s="91">
        <v>396622</v>
      </c>
      <c r="F1131" s="91">
        <f>D1131+F1127</f>
        <v>462152</v>
      </c>
      <c r="G1131" s="91">
        <f>F1131+G1127</f>
        <v>286717</v>
      </c>
      <c r="H1131" s="91">
        <f>G1131+H1127</f>
        <v>275812</v>
      </c>
      <c r="I1131" s="91">
        <f>H1131+I1127</f>
        <v>283032</v>
      </c>
      <c r="J1131" s="91">
        <f>I1131+J1127</f>
        <v>293356</v>
      </c>
      <c r="K1131" s="91">
        <f>J1131+K1127</f>
        <v>304296</v>
      </c>
      <c r="L1131" s="173"/>
    </row>
    <row r="1132" spans="2:12" s="173" customFormat="1" ht="15.75" hidden="1" thickTop="1">
      <c r="B1132" s="174"/>
      <c r="C1132" s="146">
        <f>'Budget Detail FY 2012-19'!N1178</f>
        <v>122537</v>
      </c>
      <c r="D1132" s="146">
        <f>'Budget Detail FY 2012-19'!O1178</f>
        <v>66452</v>
      </c>
      <c r="E1132" s="146">
        <f>'Budget Detail FY 2012-19'!P1178</f>
        <v>396622</v>
      </c>
      <c r="F1132" s="146">
        <f>'Budget Detail FY 2012-19'!Q1178</f>
        <v>462152</v>
      </c>
      <c r="G1132" s="146">
        <f>'Budget Detail FY 2012-19'!R1178</f>
        <v>286717</v>
      </c>
      <c r="H1132" s="146">
        <f>'Budget Detail FY 2012-19'!S1178</f>
        <v>275812</v>
      </c>
      <c r="I1132" s="146">
        <f>'Budget Detail FY 2012-19'!T1178</f>
        <v>283032</v>
      </c>
      <c r="J1132" s="146">
        <f>'Budget Detail FY 2012-19'!U1178</f>
        <v>293356</v>
      </c>
      <c r="K1132" s="146">
        <f>'Budget Detail FY 2012-19'!V1178</f>
        <v>304296</v>
      </c>
      <c r="L1132" s="586" t="s">
        <v>1299</v>
      </c>
    </row>
    <row r="1133" spans="2:12" s="175" customFormat="1" ht="15" hidden="1">
      <c r="B1133" s="176"/>
      <c r="C1133" s="182">
        <f>C1131-('Budget Detail FY 2012-19'!N532+'Budget Detail FY 2012-19'!N877+'Budget Detail FY 2012-19'!N930)</f>
        <v>0</v>
      </c>
      <c r="D1133" s="182">
        <f>D1131-('Budget Detail FY 2012-19'!O532+'Budget Detail FY 2012-19'!O877+'Budget Detail FY 2012-19'!O930)</f>
        <v>0</v>
      </c>
      <c r="E1133" s="182">
        <f>E1131-('Budget Detail FY 2012-19'!P532+'Budget Detail FY 2012-19'!P877+'Budget Detail FY 2012-19'!P930)</f>
        <v>0</v>
      </c>
      <c r="F1133" s="182">
        <f>F1131-('Budget Detail FY 2012-19'!Q532+'Budget Detail FY 2012-19'!Q877+'Budget Detail FY 2012-19'!Q930)</f>
        <v>0</v>
      </c>
      <c r="G1133" s="182">
        <f>G1131-('Budget Detail FY 2012-19'!R532+'Budget Detail FY 2012-19'!R877+'Budget Detail FY 2012-19'!R930)</f>
        <v>0</v>
      </c>
      <c r="H1133" s="182">
        <f>H1131-('Budget Detail FY 2012-19'!S532+'Budget Detail FY 2012-19'!S877+'Budget Detail FY 2012-19'!S930)</f>
        <v>0</v>
      </c>
      <c r="I1133" s="182">
        <f>I1131-('Budget Detail FY 2012-19'!T532+'Budget Detail FY 2012-19'!T877+'Budget Detail FY 2012-19'!T930)</f>
        <v>0</v>
      </c>
      <c r="J1133" s="182">
        <f>J1131-('Budget Detail FY 2012-19'!U532+'Budget Detail FY 2012-19'!U877+'Budget Detail FY 2012-19'!U930)</f>
        <v>0</v>
      </c>
      <c r="K1133" s="182">
        <f>K1131-('Budget Detail FY 2012-19'!V532+'Budget Detail FY 2012-19'!V877+'Budget Detail FY 2012-19'!V930)</f>
        <v>0</v>
      </c>
      <c r="L1133" s="587" t="s">
        <v>1300</v>
      </c>
    </row>
    <row r="1134" spans="2:12" s="175" customFormat="1" ht="15" hidden="1">
      <c r="B1134" s="176"/>
      <c r="C1134" s="182">
        <f t="shared" ref="C1134:K1134" si="210">C1131-C1132</f>
        <v>0</v>
      </c>
      <c r="D1134" s="182">
        <f t="shared" si="210"/>
        <v>0</v>
      </c>
      <c r="E1134" s="182">
        <f t="shared" si="210"/>
        <v>0</v>
      </c>
      <c r="F1134" s="182">
        <f t="shared" si="210"/>
        <v>0</v>
      </c>
      <c r="G1134" s="182">
        <f t="shared" si="210"/>
        <v>0</v>
      </c>
      <c r="H1134" s="182">
        <f t="shared" si="210"/>
        <v>0</v>
      </c>
      <c r="I1134" s="182">
        <f t="shared" si="210"/>
        <v>0</v>
      </c>
      <c r="J1134" s="182">
        <f t="shared" si="210"/>
        <v>0</v>
      </c>
      <c r="K1134" s="182">
        <f t="shared" si="210"/>
        <v>0</v>
      </c>
      <c r="L1134" s="587" t="s">
        <v>1418</v>
      </c>
    </row>
    <row r="1135" spans="2:12" ht="15.75" thickTop="1">
      <c r="B1135" s="184"/>
      <c r="C1135" s="192">
        <f>+C1131/C1123</f>
        <v>6.7547961108532506E-2</v>
      </c>
      <c r="D1135" s="192">
        <f t="shared" ref="D1135:K1135" si="211">+D1131/D1123</f>
        <v>3.3068198556488439E-2</v>
      </c>
      <c r="E1135" s="192">
        <f t="shared" si="211"/>
        <v>0.1639586331254958</v>
      </c>
      <c r="F1135" s="192">
        <f t="shared" si="211"/>
        <v>0.1907278165092029</v>
      </c>
      <c r="G1135" s="192">
        <f t="shared" si="211"/>
        <v>0.13629397442369653</v>
      </c>
      <c r="H1135" s="192">
        <f t="shared" si="211"/>
        <v>0.14452010722736772</v>
      </c>
      <c r="I1135" s="192">
        <f t="shared" si="211"/>
        <v>0.150092033665602</v>
      </c>
      <c r="J1135" s="192">
        <f t="shared" si="211"/>
        <v>0.15034822571196771</v>
      </c>
      <c r="K1135" s="192">
        <f t="shared" si="211"/>
        <v>0.1505864933571332</v>
      </c>
    </row>
    <row r="1136" spans="2:12" ht="15">
      <c r="B1136" s="184"/>
      <c r="C1136" s="192"/>
      <c r="D1136" s="192"/>
      <c r="E1136" s="192"/>
      <c r="F1136" s="192"/>
      <c r="G1136" s="192"/>
      <c r="H1136" s="192"/>
      <c r="I1136" s="192"/>
      <c r="J1136" s="192"/>
      <c r="K1136" s="192"/>
    </row>
    <row r="1137" spans="2:11" ht="7.5" customHeight="1">
      <c r="B1137" s="184"/>
      <c r="C1137" s="2"/>
      <c r="D1137" s="2"/>
      <c r="E1137" s="2"/>
      <c r="F1137" s="2"/>
      <c r="G1137" s="2"/>
      <c r="H1137" s="2"/>
      <c r="I1137" s="2"/>
      <c r="J1137" s="2"/>
      <c r="K1137" s="2"/>
    </row>
    <row r="1138" spans="2:11" ht="15">
      <c r="B1138" s="1"/>
      <c r="C1138" s="2"/>
      <c r="D1138" s="2"/>
      <c r="E1138" s="2"/>
      <c r="F1138" s="2"/>
      <c r="G1138" s="2"/>
      <c r="H1138" s="2"/>
      <c r="I1138" s="2"/>
      <c r="J1138" s="2"/>
      <c r="K1138" s="2"/>
    </row>
    <row r="1139" spans="2:11" ht="15">
      <c r="B1139" s="1"/>
      <c r="C1139" s="2"/>
      <c r="D1139" s="2"/>
      <c r="E1139" s="2"/>
      <c r="F1139" s="2"/>
      <c r="G1139" s="2"/>
      <c r="H1139" s="2"/>
      <c r="I1139" s="2"/>
      <c r="J1139" s="2"/>
      <c r="K1139" s="2"/>
    </row>
    <row r="1140" spans="2:11" ht="15">
      <c r="B1140" s="1"/>
      <c r="C1140" s="2"/>
      <c r="D1140" s="2"/>
      <c r="E1140" s="2"/>
      <c r="F1140" s="2"/>
      <c r="G1140" s="2"/>
      <c r="H1140" s="2"/>
      <c r="I1140" s="2"/>
      <c r="J1140" s="2"/>
      <c r="K1140" s="2"/>
    </row>
    <row r="1141" spans="2:11" ht="15">
      <c r="B1141" s="1"/>
      <c r="C1141" s="2"/>
      <c r="D1141" s="2"/>
      <c r="E1141" s="2"/>
      <c r="F1141" s="2"/>
      <c r="G1141" s="2"/>
      <c r="H1141" s="2"/>
      <c r="I1141" s="2"/>
      <c r="J1141" s="2"/>
      <c r="K1141" s="2"/>
    </row>
    <row r="1142" spans="2:11" ht="15">
      <c r="B1142" s="1"/>
      <c r="C1142" s="2"/>
      <c r="D1142" s="2"/>
      <c r="E1142" s="2"/>
      <c r="F1142" s="2"/>
      <c r="G1142" s="2"/>
      <c r="H1142" s="2"/>
      <c r="I1142" s="2"/>
      <c r="J1142" s="2"/>
      <c r="K1142" s="2"/>
    </row>
    <row r="1143" spans="2:11" ht="15">
      <c r="B1143" s="1"/>
      <c r="C1143" s="2"/>
      <c r="D1143" s="2"/>
      <c r="E1143" s="2"/>
      <c r="F1143" s="2"/>
      <c r="G1143" s="2"/>
      <c r="H1143" s="2"/>
      <c r="I1143" s="2"/>
      <c r="J1143" s="2"/>
      <c r="K1143" s="2"/>
    </row>
    <row r="1144" spans="2:11" ht="15">
      <c r="B1144" s="1"/>
      <c r="C1144" s="2"/>
      <c r="D1144" s="2"/>
      <c r="E1144" s="2"/>
      <c r="F1144" s="2"/>
      <c r="G1144" s="2"/>
      <c r="H1144" s="2"/>
      <c r="I1144" s="2"/>
      <c r="J1144" s="2"/>
      <c r="K1144" s="2"/>
    </row>
    <row r="1145" spans="2:11" ht="15">
      <c r="B1145" s="1"/>
      <c r="C1145" s="2"/>
      <c r="D1145" s="2"/>
      <c r="E1145" s="2"/>
      <c r="F1145" s="2"/>
      <c r="G1145" s="2"/>
      <c r="H1145" s="2"/>
      <c r="I1145" s="2"/>
      <c r="J1145" s="2"/>
      <c r="K1145" s="2"/>
    </row>
    <row r="1146" spans="2:11" ht="15">
      <c r="B1146" s="1"/>
      <c r="C1146" s="2"/>
      <c r="D1146" s="2"/>
      <c r="E1146" s="2"/>
      <c r="F1146" s="2"/>
      <c r="G1146" s="2"/>
      <c r="H1146" s="2"/>
      <c r="I1146" s="2"/>
      <c r="J1146" s="2"/>
      <c r="K1146" s="2"/>
    </row>
    <row r="1147" spans="2:11" ht="15">
      <c r="B1147" s="1"/>
      <c r="C1147" s="2"/>
      <c r="D1147" s="2"/>
      <c r="E1147" s="2"/>
      <c r="F1147" s="2"/>
      <c r="G1147" s="2"/>
      <c r="H1147" s="2"/>
      <c r="I1147" s="2"/>
      <c r="J1147" s="2"/>
      <c r="K1147" s="2"/>
    </row>
    <row r="1148" spans="2:11" ht="15">
      <c r="B1148" s="1"/>
      <c r="C1148" s="2"/>
      <c r="D1148" s="2"/>
      <c r="E1148" s="2"/>
      <c r="F1148" s="2"/>
      <c r="G1148" s="2"/>
      <c r="H1148" s="2"/>
      <c r="I1148" s="2"/>
      <c r="J1148" s="2"/>
      <c r="K1148" s="2"/>
    </row>
  </sheetData>
  <mergeCells count="44">
    <mergeCell ref="B930:K930"/>
    <mergeCell ref="B685:K685"/>
    <mergeCell ref="B687:K689"/>
    <mergeCell ref="B742:K742"/>
    <mergeCell ref="B744:K745"/>
    <mergeCell ref="B788:K788"/>
    <mergeCell ref="B790:K791"/>
    <mergeCell ref="B837:K837"/>
    <mergeCell ref="B839:K840"/>
    <mergeCell ref="B583:K586"/>
    <mergeCell ref="B634:K634"/>
    <mergeCell ref="B883:K883"/>
    <mergeCell ref="B885:K886"/>
    <mergeCell ref="B928:K928"/>
    <mergeCell ref="B636:K638"/>
    <mergeCell ref="B191:K192"/>
    <mergeCell ref="B294:K297"/>
    <mergeCell ref="B535:K537"/>
    <mergeCell ref="B581:K581"/>
    <mergeCell ref="B421:K421"/>
    <mergeCell ref="B423:K424"/>
    <mergeCell ref="B476:K476"/>
    <mergeCell ref="B478:K479"/>
    <mergeCell ref="B234:K235"/>
    <mergeCell ref="B376:K376"/>
    <mergeCell ref="B378:K379"/>
    <mergeCell ref="B533:K533"/>
    <mergeCell ref="B232:K232"/>
    <mergeCell ref="B292:K292"/>
    <mergeCell ref="B143:K143"/>
    <mergeCell ref="B145:K146"/>
    <mergeCell ref="B189:K189"/>
    <mergeCell ref="B102:K103"/>
    <mergeCell ref="B1:K1"/>
    <mergeCell ref="B3:K4"/>
    <mergeCell ref="B56:K56"/>
    <mergeCell ref="B58:K59"/>
    <mergeCell ref="B100:K100"/>
    <mergeCell ref="B1095:K1095"/>
    <mergeCell ref="B1097:K1100"/>
    <mergeCell ref="B972:K972"/>
    <mergeCell ref="B1035:K1035"/>
    <mergeCell ref="B1037:K1039"/>
    <mergeCell ref="B974:K977"/>
  </mergeCells>
  <printOptions horizontalCentered="1"/>
  <pageMargins left="0" right="0" top="0.5" bottom="0" header="0" footer="0"/>
  <pageSetup scale="75" orientation="landscape" r:id="rId1"/>
  <rowBreaks count="21" manualBreakCount="21">
    <brk id="54" max="16383" man="1"/>
    <brk id="98" max="16383" man="1"/>
    <brk id="141" max="16383" man="1"/>
    <brk id="187" max="10" man="1"/>
    <brk id="230" max="16383" man="1"/>
    <brk id="290" max="16383" man="1"/>
    <brk id="374" max="16383" man="1"/>
    <brk id="420" max="10" man="1"/>
    <brk id="475" max="10" man="1"/>
    <brk id="531" max="10" man="1"/>
    <brk id="579" max="16383" man="1"/>
    <brk id="632" max="16383" man="1"/>
    <brk id="683" max="10" man="1"/>
    <brk id="740" max="10" man="1"/>
    <brk id="786" max="16383" man="1"/>
    <brk id="835" max="16383" man="1"/>
    <brk id="881" max="16383" man="1"/>
    <brk id="926" max="16383" man="1"/>
    <brk id="971" max="10" man="1"/>
    <brk id="1034" max="10" man="1"/>
    <brk id="1094" max="10" man="1"/>
  </rowBreaks>
  <drawing r:id="rId2"/>
</worksheet>
</file>

<file path=xl/worksheets/sheet8.xml><?xml version="1.0" encoding="utf-8"?>
<worksheet xmlns="http://schemas.openxmlformats.org/spreadsheetml/2006/main" xmlns:r="http://schemas.openxmlformats.org/officeDocument/2006/relationships">
  <sheetPr>
    <outlinePr summaryBelow="0" summaryRight="0"/>
    <pageSetUpPr autoPageBreaks="0"/>
  </sheetPr>
  <dimension ref="A1:BH1500"/>
  <sheetViews>
    <sheetView tabSelected="1" showOutlineSymbols="0" zoomScale="75" zoomScaleNormal="75" zoomScaleSheetLayoutView="70" workbookViewId="0">
      <pane ySplit="5" topLeftCell="A6" activePane="bottomLeft" state="frozen"/>
      <selection pane="bottomLeft" activeCell="S4" sqref="S4"/>
    </sheetView>
  </sheetViews>
  <sheetFormatPr defaultColWidth="6.85546875" defaultRowHeight="12.75" customHeight="1"/>
  <cols>
    <col min="1" max="1" width="20" style="326" customWidth="1"/>
    <col min="2" max="3" width="1.28515625" style="326" customWidth="1"/>
    <col min="4" max="4" width="6" style="326" customWidth="1"/>
    <col min="5" max="5" width="1.42578125" style="326" customWidth="1"/>
    <col min="6" max="6" width="7.42578125" style="326" customWidth="1"/>
    <col min="7" max="7" width="2.5703125" style="326" customWidth="1"/>
    <col min="8" max="8" width="1.140625" style="326" customWidth="1"/>
    <col min="9" max="9" width="3" style="326" customWidth="1"/>
    <col min="10" max="10" width="4" style="326" customWidth="1"/>
    <col min="11" max="11" width="21" style="326" customWidth="1"/>
    <col min="12" max="12" width="12.85546875" style="201" hidden="1" customWidth="1"/>
    <col min="13" max="13" width="12.28515625" style="201" hidden="1" customWidth="1"/>
    <col min="14" max="15" width="15.7109375" style="326" customWidth="1"/>
    <col min="16" max="17" width="15.7109375" style="202" customWidth="1"/>
    <col min="18" max="22" width="15.7109375" style="326" customWidth="1"/>
    <col min="23" max="23" width="4" style="324" customWidth="1"/>
    <col min="24" max="25" width="12.7109375" style="326" customWidth="1"/>
    <col min="26" max="26" width="14.5703125" style="326" customWidth="1"/>
    <col min="27" max="27" width="14.28515625" style="326" customWidth="1"/>
    <col min="28" max="29" width="12.7109375" style="326" customWidth="1"/>
    <col min="30" max="30" width="14" style="326" customWidth="1"/>
    <col min="31" max="31" width="12" style="326" customWidth="1"/>
    <col min="32" max="47" width="10.7109375" style="326" customWidth="1"/>
    <col min="48" max="16384" width="6.85546875" style="326"/>
  </cols>
  <sheetData>
    <row r="1" spans="1:32" ht="24" customHeight="1">
      <c r="X1" s="694"/>
      <c r="Y1" s="694"/>
      <c r="Z1" s="694"/>
      <c r="AA1" s="701"/>
      <c r="AB1" s="204"/>
    </row>
    <row r="2" spans="1:32" ht="24" customHeight="1">
      <c r="X2" s="694"/>
      <c r="Y2" s="694"/>
      <c r="Z2" s="694"/>
    </row>
    <row r="3" spans="1:32" ht="24" customHeight="1">
      <c r="L3" s="738" t="s">
        <v>1193</v>
      </c>
      <c r="M3" s="738"/>
      <c r="V3" s="324"/>
      <c r="X3" s="343"/>
      <c r="Y3" s="694"/>
      <c r="Z3" s="694"/>
    </row>
    <row r="4" spans="1:32" ht="24" customHeight="1">
      <c r="A4" s="328"/>
      <c r="B4" s="328"/>
      <c r="C4" s="328"/>
      <c r="D4" s="328"/>
      <c r="E4" s="328"/>
      <c r="F4" s="328"/>
      <c r="G4" s="328"/>
      <c r="H4" s="328"/>
      <c r="I4" s="328"/>
      <c r="J4" s="328"/>
      <c r="K4" s="328"/>
      <c r="L4" s="329" t="s">
        <v>1176</v>
      </c>
      <c r="M4" s="329" t="s">
        <v>1175</v>
      </c>
      <c r="N4" s="330" t="s">
        <v>229</v>
      </c>
      <c r="O4" s="330" t="s">
        <v>282</v>
      </c>
      <c r="P4" s="331" t="s">
        <v>283</v>
      </c>
      <c r="Q4" s="331" t="s">
        <v>283</v>
      </c>
      <c r="R4" s="330" t="s">
        <v>298</v>
      </c>
      <c r="S4" s="330" t="s">
        <v>299</v>
      </c>
      <c r="T4" s="330" t="s">
        <v>300</v>
      </c>
      <c r="U4" s="330" t="s">
        <v>1087</v>
      </c>
      <c r="V4" s="330" t="s">
        <v>1224</v>
      </c>
      <c r="X4" s="709"/>
      <c r="Y4" s="500"/>
      <c r="Z4" s="500"/>
    </row>
    <row r="5" spans="1:32" ht="24" customHeight="1">
      <c r="A5" s="332" t="s">
        <v>1167</v>
      </c>
      <c r="B5" s="328"/>
      <c r="C5" s="328"/>
      <c r="D5" s="743" t="s">
        <v>0</v>
      </c>
      <c r="E5" s="743"/>
      <c r="F5" s="743"/>
      <c r="G5" s="328"/>
      <c r="H5" s="328"/>
      <c r="I5" s="328"/>
      <c r="J5" s="328"/>
      <c r="K5" s="328"/>
      <c r="L5" s="333" t="s">
        <v>1</v>
      </c>
      <c r="M5" s="333" t="s">
        <v>1</v>
      </c>
      <c r="N5" s="334" t="s">
        <v>1</v>
      </c>
      <c r="O5" s="334" t="s">
        <v>1</v>
      </c>
      <c r="P5" s="335" t="s">
        <v>871</v>
      </c>
      <c r="Q5" s="335" t="s">
        <v>20</v>
      </c>
      <c r="R5" s="483" t="s">
        <v>917</v>
      </c>
      <c r="S5" s="334" t="s">
        <v>20</v>
      </c>
      <c r="T5" s="334" t="s">
        <v>20</v>
      </c>
      <c r="U5" s="334" t="s">
        <v>20</v>
      </c>
      <c r="V5" s="334" t="s">
        <v>20</v>
      </c>
    </row>
    <row r="6" spans="1:32" ht="15" customHeight="1">
      <c r="A6" s="327"/>
      <c r="D6" s="327"/>
      <c r="E6" s="327"/>
      <c r="F6" s="327"/>
      <c r="M6" s="205"/>
      <c r="N6" s="206"/>
      <c r="O6" s="206"/>
      <c r="P6" s="207"/>
      <c r="Q6" s="207"/>
      <c r="R6" s="206"/>
      <c r="S6" s="206"/>
      <c r="T6" s="206"/>
      <c r="U6" s="206"/>
      <c r="V6" s="206"/>
    </row>
    <row r="7" spans="1:32" ht="24" customHeight="1">
      <c r="A7" s="742" t="s">
        <v>674</v>
      </c>
      <c r="B7" s="742"/>
      <c r="C7" s="742"/>
      <c r="D7" s="742"/>
      <c r="E7" s="742"/>
      <c r="F7" s="742"/>
      <c r="G7" s="742"/>
      <c r="H7" s="742"/>
      <c r="I7" s="742"/>
      <c r="J7" s="742"/>
      <c r="K7" s="742"/>
      <c r="L7" s="208"/>
    </row>
    <row r="8" spans="1:32" ht="15" customHeight="1">
      <c r="A8" s="395"/>
      <c r="B8" s="395"/>
      <c r="C8" s="395"/>
      <c r="D8" s="395"/>
      <c r="E8" s="395"/>
      <c r="F8" s="395"/>
      <c r="G8" s="395"/>
      <c r="H8" s="395"/>
      <c r="I8" s="395"/>
      <c r="J8" s="395"/>
      <c r="K8" s="395"/>
      <c r="L8" s="208"/>
    </row>
    <row r="9" spans="1:32" ht="24" customHeight="1">
      <c r="A9" s="328" t="s">
        <v>21</v>
      </c>
      <c r="B9" s="328"/>
      <c r="C9" s="328"/>
      <c r="D9" s="543" t="s">
        <v>223</v>
      </c>
      <c r="E9" s="543"/>
      <c r="F9" s="543"/>
      <c r="G9" s="543"/>
      <c r="H9" s="543"/>
      <c r="I9" s="543"/>
      <c r="J9" s="543"/>
      <c r="K9" s="543"/>
      <c r="L9" s="209">
        <v>1804657</v>
      </c>
      <c r="M9" s="210">
        <v>2084192</v>
      </c>
      <c r="N9" s="337">
        <v>2282246</v>
      </c>
      <c r="O9" s="337">
        <v>2276807</v>
      </c>
      <c r="P9" s="212">
        <v>2288154</v>
      </c>
      <c r="Q9" s="212">
        <v>2201759</v>
      </c>
      <c r="R9" s="211">
        <f>3283009-R10-334814</f>
        <v>2334190</v>
      </c>
      <c r="S9" s="211">
        <f>ROUND(R9*1.01,0)</f>
        <v>2357532</v>
      </c>
      <c r="T9" s="211">
        <f t="shared" ref="T9:V9" si="0">ROUND(S9*1.01,0)</f>
        <v>2381107</v>
      </c>
      <c r="U9" s="211">
        <f t="shared" si="0"/>
        <v>2404918</v>
      </c>
      <c r="V9" s="211">
        <f t="shared" si="0"/>
        <v>2428967</v>
      </c>
      <c r="X9" s="656"/>
      <c r="Y9" s="656"/>
    </row>
    <row r="10" spans="1:32" ht="24" customHeight="1">
      <c r="A10" s="328" t="s">
        <v>225</v>
      </c>
      <c r="B10" s="328"/>
      <c r="C10" s="328"/>
      <c r="D10" s="328" t="s">
        <v>224</v>
      </c>
      <c r="E10" s="328"/>
      <c r="F10" s="328"/>
      <c r="G10" s="328"/>
      <c r="H10" s="328"/>
      <c r="I10" s="328"/>
      <c r="J10" s="328"/>
      <c r="K10" s="328"/>
      <c r="L10" s="209">
        <v>297327</v>
      </c>
      <c r="M10" s="214">
        <v>323291</v>
      </c>
      <c r="N10" s="339">
        <v>360356</v>
      </c>
      <c r="O10" s="339">
        <v>438711</v>
      </c>
      <c r="P10" s="216">
        <v>562000</v>
      </c>
      <c r="Q10" s="216">
        <v>524120</v>
      </c>
      <c r="R10" s="215">
        <v>614005</v>
      </c>
      <c r="S10" s="215">
        <f>R10+25000</f>
        <v>639005</v>
      </c>
      <c r="T10" s="215">
        <f>S10+25000</f>
        <v>664005</v>
      </c>
      <c r="U10" s="215">
        <f>T10+25000</f>
        <v>689005</v>
      </c>
      <c r="V10" s="215">
        <f>U10+25000</f>
        <v>714005</v>
      </c>
      <c r="X10" s="656"/>
      <c r="Y10" s="656"/>
    </row>
    <row r="11" spans="1:32" ht="24" customHeight="1">
      <c r="A11" s="328" t="s">
        <v>1338</v>
      </c>
      <c r="B11" s="328"/>
      <c r="C11" s="328"/>
      <c r="D11" s="328" t="s">
        <v>291</v>
      </c>
      <c r="E11" s="328"/>
      <c r="F11" s="328"/>
      <c r="G11" s="328"/>
      <c r="H11" s="328"/>
      <c r="I11" s="328"/>
      <c r="J11" s="328"/>
      <c r="K11" s="328"/>
      <c r="L11" s="209"/>
      <c r="M11" s="214">
        <v>0</v>
      </c>
      <c r="N11" s="339">
        <v>67334</v>
      </c>
      <c r="O11" s="339">
        <v>0</v>
      </c>
      <c r="P11" s="216">
        <v>0</v>
      </c>
      <c r="Q11" s="216">
        <v>0</v>
      </c>
      <c r="R11" s="215">
        <v>0</v>
      </c>
      <c r="S11" s="215">
        <v>0</v>
      </c>
      <c r="T11" s="215">
        <v>0</v>
      </c>
      <c r="U11" s="215">
        <v>0</v>
      </c>
      <c r="V11" s="215">
        <v>0</v>
      </c>
    </row>
    <row r="12" spans="1:32" ht="24" customHeight="1">
      <c r="A12" s="396" t="s">
        <v>23</v>
      </c>
      <c r="B12" s="328"/>
      <c r="C12" s="328"/>
      <c r="D12" s="599" t="s">
        <v>22</v>
      </c>
      <c r="E12" s="599"/>
      <c r="F12" s="599"/>
      <c r="G12" s="599"/>
      <c r="H12" s="599"/>
      <c r="I12" s="599"/>
      <c r="J12" s="599"/>
      <c r="K12" s="599"/>
      <c r="L12" s="209">
        <v>2500285</v>
      </c>
      <c r="M12" s="214">
        <v>2446099</v>
      </c>
      <c r="N12" s="339">
        <v>2552483</v>
      </c>
      <c r="O12" s="339">
        <v>2490503</v>
      </c>
      <c r="P12" s="216">
        <v>2449250</v>
      </c>
      <c r="Q12" s="216">
        <v>2600000</v>
      </c>
      <c r="R12" s="215">
        <f>ROUND(Q12*1.01,0)</f>
        <v>2626000</v>
      </c>
      <c r="S12" s="215">
        <f>ROUND(R12*1.01,0)</f>
        <v>2652260</v>
      </c>
      <c r="T12" s="215">
        <f t="shared" ref="T12:V13" si="1">ROUND(S12*1.01,0)</f>
        <v>2678783</v>
      </c>
      <c r="U12" s="215">
        <f t="shared" si="1"/>
        <v>2705571</v>
      </c>
      <c r="V12" s="215">
        <f t="shared" si="1"/>
        <v>2732627</v>
      </c>
      <c r="X12" s="213"/>
    </row>
    <row r="13" spans="1:32" ht="24" customHeight="1">
      <c r="A13" s="396" t="s">
        <v>303</v>
      </c>
      <c r="B13" s="328"/>
      <c r="C13" s="328"/>
      <c r="D13" s="599" t="s">
        <v>749</v>
      </c>
      <c r="E13" s="599"/>
      <c r="F13" s="599"/>
      <c r="G13" s="599"/>
      <c r="H13" s="599"/>
      <c r="I13" s="599"/>
      <c r="J13" s="599"/>
      <c r="K13" s="599"/>
      <c r="L13" s="209">
        <v>0</v>
      </c>
      <c r="M13" s="214">
        <v>0</v>
      </c>
      <c r="N13" s="339">
        <v>410327</v>
      </c>
      <c r="O13" s="339">
        <v>1919423</v>
      </c>
      <c r="P13" s="216">
        <v>1800000</v>
      </c>
      <c r="Q13" s="216">
        <v>2000000</v>
      </c>
      <c r="R13" s="215">
        <f>ROUND(Q13*1.01,0)</f>
        <v>2020000</v>
      </c>
      <c r="S13" s="215">
        <f>ROUND(R13*1.01,0)</f>
        <v>2040200</v>
      </c>
      <c r="T13" s="215">
        <f t="shared" si="1"/>
        <v>2060602</v>
      </c>
      <c r="U13" s="215">
        <f t="shared" si="1"/>
        <v>2081208</v>
      </c>
      <c r="V13" s="215">
        <f t="shared" si="1"/>
        <v>2102020</v>
      </c>
      <c r="X13" s="213"/>
    </row>
    <row r="14" spans="1:32" ht="24" customHeight="1">
      <c r="A14" s="396" t="s">
        <v>24</v>
      </c>
      <c r="B14" s="328"/>
      <c r="C14" s="328"/>
      <c r="D14" s="396" t="s">
        <v>2</v>
      </c>
      <c r="E14" s="397"/>
      <c r="F14" s="397"/>
      <c r="G14" s="397"/>
      <c r="H14" s="397"/>
      <c r="I14" s="397"/>
      <c r="J14" s="397"/>
      <c r="K14" s="397"/>
      <c r="L14" s="218">
        <v>572959</v>
      </c>
      <c r="M14" s="214">
        <v>548774</v>
      </c>
      <c r="N14" s="339">
        <v>603015</v>
      </c>
      <c r="O14" s="339">
        <v>600182</v>
      </c>
      <c r="P14" s="216">
        <v>605000</v>
      </c>
      <c r="Q14" s="216">
        <v>605000</v>
      </c>
      <c r="R14" s="215">
        <v>605000</v>
      </c>
      <c r="S14" s="215">
        <v>605000</v>
      </c>
      <c r="T14" s="215">
        <v>610000</v>
      </c>
      <c r="U14" s="215">
        <v>610000</v>
      </c>
      <c r="V14" s="215">
        <v>615000</v>
      </c>
      <c r="X14" s="213"/>
    </row>
    <row r="15" spans="1:32" ht="24" customHeight="1">
      <c r="A15" s="396" t="s">
        <v>25</v>
      </c>
      <c r="B15" s="328"/>
      <c r="C15" s="328"/>
      <c r="D15" s="396" t="s">
        <v>37</v>
      </c>
      <c r="E15" s="328"/>
      <c r="F15" s="328"/>
      <c r="G15" s="328"/>
      <c r="H15" s="328"/>
      <c r="I15" s="328"/>
      <c r="J15" s="328"/>
      <c r="K15" s="328"/>
      <c r="L15" s="209">
        <v>349136</v>
      </c>
      <c r="M15" s="214">
        <v>284895</v>
      </c>
      <c r="N15" s="339">
        <v>225411</v>
      </c>
      <c r="O15" s="339">
        <v>235790</v>
      </c>
      <c r="P15" s="216">
        <v>275000</v>
      </c>
      <c r="Q15" s="216">
        <v>245000</v>
      </c>
      <c r="R15" s="215">
        <v>255000</v>
      </c>
      <c r="S15" s="215">
        <v>260000</v>
      </c>
      <c r="T15" s="215">
        <v>270000</v>
      </c>
      <c r="U15" s="215">
        <v>280000</v>
      </c>
      <c r="V15" s="215">
        <v>280000</v>
      </c>
      <c r="X15" s="213"/>
      <c r="Y15" s="213"/>
      <c r="Z15" s="213"/>
      <c r="AA15" s="213"/>
      <c r="AB15" s="213"/>
      <c r="AC15" s="213"/>
      <c r="AD15" s="213"/>
      <c r="AF15" s="213"/>
    </row>
    <row r="16" spans="1:32" ht="24" customHeight="1">
      <c r="A16" s="396" t="s">
        <v>32</v>
      </c>
      <c r="B16" s="328"/>
      <c r="C16" s="328"/>
      <c r="D16" s="396" t="s">
        <v>1097</v>
      </c>
      <c r="E16" s="328"/>
      <c r="F16" s="328"/>
      <c r="G16" s="328"/>
      <c r="H16" s="328"/>
      <c r="I16" s="328"/>
      <c r="J16" s="328"/>
      <c r="K16" s="328"/>
      <c r="L16" s="209">
        <v>519669</v>
      </c>
      <c r="M16" s="214">
        <v>494707</v>
      </c>
      <c r="N16" s="339">
        <v>500415</v>
      </c>
      <c r="O16" s="339">
        <v>484365</v>
      </c>
      <c r="P16" s="216">
        <v>500000</v>
      </c>
      <c r="Q16" s="216">
        <v>475000</v>
      </c>
      <c r="R16" s="215">
        <v>490000</v>
      </c>
      <c r="S16" s="215">
        <v>490000</v>
      </c>
      <c r="T16" s="215">
        <v>490000</v>
      </c>
      <c r="U16" s="215">
        <v>490000</v>
      </c>
      <c r="V16" s="215">
        <v>490000</v>
      </c>
      <c r="X16" s="213"/>
    </row>
    <row r="17" spans="1:25" ht="24" customHeight="1">
      <c r="A17" s="396" t="s">
        <v>802</v>
      </c>
      <c r="B17" s="328"/>
      <c r="C17" s="328"/>
      <c r="D17" s="396" t="s">
        <v>36</v>
      </c>
      <c r="E17" s="328"/>
      <c r="F17" s="328"/>
      <c r="G17" s="328"/>
      <c r="H17" s="328"/>
      <c r="I17" s="328"/>
      <c r="J17" s="328"/>
      <c r="K17" s="328"/>
      <c r="L17" s="209"/>
      <c r="M17" s="214">
        <v>23738</v>
      </c>
      <c r="N17" s="339">
        <v>18393</v>
      </c>
      <c r="O17" s="339">
        <v>15265</v>
      </c>
      <c r="P17" s="216">
        <v>20200</v>
      </c>
      <c r="Q17" s="216">
        <v>15000</v>
      </c>
      <c r="R17" s="215">
        <v>15000</v>
      </c>
      <c r="S17" s="215">
        <v>15000</v>
      </c>
      <c r="T17" s="215">
        <v>15000</v>
      </c>
      <c r="U17" s="215">
        <v>15000</v>
      </c>
      <c r="V17" s="215">
        <v>15000</v>
      </c>
      <c r="W17" s="326"/>
      <c r="X17" s="213"/>
    </row>
    <row r="18" spans="1:25" ht="24" customHeight="1">
      <c r="A18" s="396" t="s">
        <v>31</v>
      </c>
      <c r="B18" s="328"/>
      <c r="C18" s="328"/>
      <c r="D18" s="396" t="s">
        <v>4</v>
      </c>
      <c r="E18" s="328"/>
      <c r="F18" s="328"/>
      <c r="G18" s="328"/>
      <c r="H18" s="328"/>
      <c r="I18" s="328"/>
      <c r="J18" s="328"/>
      <c r="K18" s="328"/>
      <c r="L18" s="209">
        <v>189131</v>
      </c>
      <c r="M18" s="214">
        <v>188282</v>
      </c>
      <c r="N18" s="339">
        <v>221465</v>
      </c>
      <c r="O18" s="339">
        <v>218091</v>
      </c>
      <c r="P18" s="216">
        <v>230000</v>
      </c>
      <c r="Q18" s="216">
        <v>220000</v>
      </c>
      <c r="R18" s="215">
        <v>225000</v>
      </c>
      <c r="S18" s="215">
        <v>225000</v>
      </c>
      <c r="T18" s="215">
        <v>225000</v>
      </c>
      <c r="U18" s="215">
        <v>225000</v>
      </c>
      <c r="V18" s="215">
        <v>225000</v>
      </c>
      <c r="W18" s="326"/>
      <c r="X18" s="213"/>
    </row>
    <row r="19" spans="1:25" ht="24" customHeight="1">
      <c r="A19" s="396" t="s">
        <v>30</v>
      </c>
      <c r="B19" s="328"/>
      <c r="C19" s="328"/>
      <c r="D19" s="396" t="s">
        <v>3</v>
      </c>
      <c r="E19" s="328"/>
      <c r="F19" s="328"/>
      <c r="G19" s="328"/>
      <c r="H19" s="328"/>
      <c r="I19" s="328"/>
      <c r="J19" s="328"/>
      <c r="K19" s="328"/>
      <c r="L19" s="209">
        <v>19652</v>
      </c>
      <c r="M19" s="214">
        <v>17262</v>
      </c>
      <c r="N19" s="339">
        <v>51029</v>
      </c>
      <c r="O19" s="339">
        <v>53859</v>
      </c>
      <c r="P19" s="216">
        <v>50000</v>
      </c>
      <c r="Q19" s="216">
        <v>60000</v>
      </c>
      <c r="R19" s="215">
        <v>60000</v>
      </c>
      <c r="S19" s="215">
        <v>60000</v>
      </c>
      <c r="T19" s="215">
        <v>60000</v>
      </c>
      <c r="U19" s="215">
        <v>65000</v>
      </c>
      <c r="V19" s="215">
        <v>65000</v>
      </c>
      <c r="W19" s="326"/>
      <c r="X19" s="213"/>
    </row>
    <row r="20" spans="1:25" ht="24" customHeight="1">
      <c r="A20" s="396" t="s">
        <v>29</v>
      </c>
      <c r="B20" s="328"/>
      <c r="C20" s="328"/>
      <c r="D20" s="178" t="s">
        <v>35</v>
      </c>
      <c r="E20" s="328"/>
      <c r="F20" s="328"/>
      <c r="G20" s="328"/>
      <c r="H20" s="328"/>
      <c r="I20" s="328"/>
      <c r="J20" s="328"/>
      <c r="K20" s="328"/>
      <c r="L20" s="209">
        <v>111083</v>
      </c>
      <c r="M20" s="214">
        <v>112964</v>
      </c>
      <c r="N20" s="339">
        <v>127737</v>
      </c>
      <c r="O20" s="339">
        <v>140856</v>
      </c>
      <c r="P20" s="216">
        <v>165000</v>
      </c>
      <c r="Q20" s="216">
        <v>165000</v>
      </c>
      <c r="R20" s="215">
        <f>145000+50000</f>
        <v>195000</v>
      </c>
      <c r="S20" s="215">
        <f>145000+50000</f>
        <v>195000</v>
      </c>
      <c r="T20" s="215">
        <f>150000+50000</f>
        <v>200000</v>
      </c>
      <c r="U20" s="215">
        <f>150000+50000</f>
        <v>200000</v>
      </c>
      <c r="V20" s="215">
        <f>150000+50000</f>
        <v>200000</v>
      </c>
      <c r="X20" s="656"/>
      <c r="Y20" s="657"/>
    </row>
    <row r="21" spans="1:25" ht="24" customHeight="1">
      <c r="A21" s="396" t="s">
        <v>28</v>
      </c>
      <c r="B21" s="328"/>
      <c r="C21" s="328"/>
      <c r="D21" s="178" t="s">
        <v>34</v>
      </c>
      <c r="E21" s="328"/>
      <c r="F21" s="328"/>
      <c r="G21" s="328"/>
      <c r="H21" s="328"/>
      <c r="I21" s="328"/>
      <c r="J21" s="328"/>
      <c r="K21" s="328"/>
      <c r="L21" s="209">
        <v>0</v>
      </c>
      <c r="M21" s="214">
        <v>0</v>
      </c>
      <c r="N21" s="339">
        <v>190627</v>
      </c>
      <c r="O21" s="339">
        <v>119199</v>
      </c>
      <c r="P21" s="216">
        <v>104500</v>
      </c>
      <c r="Q21" s="216">
        <v>103720</v>
      </c>
      <c r="R21" s="215">
        <v>105000</v>
      </c>
      <c r="S21" s="215">
        <v>105000</v>
      </c>
      <c r="T21" s="215">
        <v>105000</v>
      </c>
      <c r="U21" s="215">
        <v>105000</v>
      </c>
      <c r="V21" s="215">
        <v>105000</v>
      </c>
      <c r="X21" s="219"/>
      <c r="Y21" s="213"/>
    </row>
    <row r="22" spans="1:25" ht="24" customHeight="1">
      <c r="A22" s="396" t="s">
        <v>27</v>
      </c>
      <c r="B22" s="328"/>
      <c r="C22" s="328"/>
      <c r="D22" s="398" t="s">
        <v>1422</v>
      </c>
      <c r="E22" s="328"/>
      <c r="F22" s="328"/>
      <c r="G22" s="328"/>
      <c r="H22" s="328"/>
      <c r="I22" s="328"/>
      <c r="J22" s="328"/>
      <c r="K22" s="328"/>
      <c r="L22" s="209">
        <v>226122</v>
      </c>
      <c r="M22" s="214">
        <v>263363</v>
      </c>
      <c r="N22" s="339">
        <v>305908</v>
      </c>
      <c r="O22" s="339">
        <v>314385</v>
      </c>
      <c r="P22" s="216">
        <v>300000</v>
      </c>
      <c r="Q22" s="216">
        <v>315000</v>
      </c>
      <c r="R22" s="215">
        <f>ROUND(O22*1.01,0)</f>
        <v>317529</v>
      </c>
      <c r="S22" s="215">
        <f>ROUND(R22*1.01,0)</f>
        <v>320704</v>
      </c>
      <c r="T22" s="215">
        <f>ROUND(S22*1.01,0)</f>
        <v>323911</v>
      </c>
      <c r="U22" s="215">
        <f>ROUND(T22*1.01,0)</f>
        <v>327150</v>
      </c>
      <c r="V22" s="215">
        <f>ROUND(U22*1.01,0)</f>
        <v>330422</v>
      </c>
      <c r="X22" s="213"/>
    </row>
    <row r="23" spans="1:25" ht="24" customHeight="1">
      <c r="A23" s="396" t="s">
        <v>26</v>
      </c>
      <c r="B23" s="328"/>
      <c r="C23" s="328"/>
      <c r="D23" s="396" t="s">
        <v>33</v>
      </c>
      <c r="E23" s="328"/>
      <c r="F23" s="328"/>
      <c r="G23" s="328"/>
      <c r="H23" s="328"/>
      <c r="I23" s="328"/>
      <c r="J23" s="328"/>
      <c r="K23" s="328"/>
      <c r="L23" s="209">
        <v>4137</v>
      </c>
      <c r="M23" s="214">
        <v>6973</v>
      </c>
      <c r="N23" s="339">
        <v>9549</v>
      </c>
      <c r="O23" s="339">
        <v>9633</v>
      </c>
      <c r="P23" s="216">
        <v>10000</v>
      </c>
      <c r="Q23" s="216">
        <v>10000</v>
      </c>
      <c r="R23" s="215">
        <v>10000</v>
      </c>
      <c r="S23" s="215">
        <v>10000</v>
      </c>
      <c r="T23" s="215">
        <v>10000</v>
      </c>
      <c r="U23" s="215">
        <v>10000</v>
      </c>
      <c r="V23" s="215">
        <v>10000</v>
      </c>
    </row>
    <row r="24" spans="1:25" ht="24" customHeight="1">
      <c r="A24" s="396" t="s">
        <v>275</v>
      </c>
      <c r="B24" s="328"/>
      <c r="C24" s="328"/>
      <c r="D24" s="396" t="s">
        <v>276</v>
      </c>
      <c r="E24" s="328"/>
      <c r="F24" s="328"/>
      <c r="G24" s="328"/>
      <c r="H24" s="328"/>
      <c r="I24" s="328"/>
      <c r="J24" s="328"/>
      <c r="K24" s="328"/>
      <c r="L24" s="209">
        <v>0</v>
      </c>
      <c r="M24" s="220">
        <v>0</v>
      </c>
      <c r="N24" s="339">
        <v>16680</v>
      </c>
      <c r="O24" s="339">
        <v>314</v>
      </c>
      <c r="P24" s="216">
        <v>0</v>
      </c>
      <c r="Q24" s="216">
        <v>0</v>
      </c>
      <c r="R24" s="215">
        <v>0</v>
      </c>
      <c r="S24" s="215">
        <v>0</v>
      </c>
      <c r="T24" s="215">
        <v>0</v>
      </c>
      <c r="U24" s="215">
        <v>0</v>
      </c>
      <c r="V24" s="215">
        <v>0</v>
      </c>
    </row>
    <row r="25" spans="1:25" ht="24" customHeight="1">
      <c r="A25" s="396" t="s">
        <v>43</v>
      </c>
      <c r="B25" s="328"/>
      <c r="C25" s="328"/>
      <c r="D25" s="178" t="s">
        <v>46</v>
      </c>
      <c r="E25" s="328"/>
      <c r="F25" s="328"/>
      <c r="G25" s="328"/>
      <c r="H25" s="328"/>
      <c r="I25" s="328"/>
      <c r="J25" s="328"/>
      <c r="K25" s="328"/>
      <c r="L25" s="209">
        <v>1004980</v>
      </c>
      <c r="M25" s="214">
        <v>1277889</v>
      </c>
      <c r="N25" s="339">
        <v>1444426</v>
      </c>
      <c r="O25" s="339">
        <v>1587324</v>
      </c>
      <c r="P25" s="216">
        <v>1550000</v>
      </c>
      <c r="Q25" s="216">
        <v>1650000</v>
      </c>
      <c r="R25" s="215">
        <v>1650000</v>
      </c>
      <c r="S25" s="215">
        <v>1650000</v>
      </c>
      <c r="T25" s="215">
        <v>1650000</v>
      </c>
      <c r="U25" s="215">
        <v>1650000</v>
      </c>
      <c r="V25" s="215">
        <v>1650000</v>
      </c>
      <c r="X25" s="213"/>
    </row>
    <row r="26" spans="1:25" ht="24" customHeight="1">
      <c r="A26" s="396" t="s">
        <v>42</v>
      </c>
      <c r="B26" s="328"/>
      <c r="C26" s="328"/>
      <c r="D26" s="178" t="s">
        <v>254</v>
      </c>
      <c r="E26" s="328"/>
      <c r="F26" s="328"/>
      <c r="G26" s="328"/>
      <c r="H26" s="328"/>
      <c r="I26" s="328"/>
      <c r="J26" s="328"/>
      <c r="K26" s="328"/>
      <c r="L26" s="209">
        <v>165054</v>
      </c>
      <c r="M26" s="214">
        <v>201681</v>
      </c>
      <c r="N26" s="339">
        <v>246963</v>
      </c>
      <c r="O26" s="339">
        <v>268285</v>
      </c>
      <c r="P26" s="216">
        <v>250000</v>
      </c>
      <c r="Q26" s="216">
        <v>280000</v>
      </c>
      <c r="R26" s="215">
        <v>280000</v>
      </c>
      <c r="S26" s="215">
        <v>280000</v>
      </c>
      <c r="T26" s="215">
        <v>290000</v>
      </c>
      <c r="U26" s="215">
        <v>290000</v>
      </c>
      <c r="V26" s="215">
        <v>300000</v>
      </c>
      <c r="X26" s="213"/>
    </row>
    <row r="27" spans="1:25" ht="24" customHeight="1">
      <c r="A27" s="396" t="s">
        <v>41</v>
      </c>
      <c r="B27" s="328"/>
      <c r="C27" s="328"/>
      <c r="D27" s="178" t="s">
        <v>222</v>
      </c>
      <c r="E27" s="328"/>
      <c r="F27" s="328"/>
      <c r="G27" s="328"/>
      <c r="H27" s="328"/>
      <c r="I27" s="328"/>
      <c r="J27" s="328"/>
      <c r="K27" s="328"/>
      <c r="L27" s="209">
        <v>143506</v>
      </c>
      <c r="M27" s="214">
        <v>151196</v>
      </c>
      <c r="N27" s="339">
        <v>166896</v>
      </c>
      <c r="O27" s="339">
        <v>168477</v>
      </c>
      <c r="P27" s="216">
        <v>170000</v>
      </c>
      <c r="Q27" s="216">
        <v>170000</v>
      </c>
      <c r="R27" s="215">
        <v>175000</v>
      </c>
      <c r="S27" s="215">
        <v>175000</v>
      </c>
      <c r="T27" s="215">
        <v>175000</v>
      </c>
      <c r="U27" s="215">
        <v>180000</v>
      </c>
      <c r="V27" s="215">
        <v>180000</v>
      </c>
    </row>
    <row r="28" spans="1:25" ht="24" customHeight="1">
      <c r="A28" s="396" t="s">
        <v>1346</v>
      </c>
      <c r="B28" s="486"/>
      <c r="C28" s="486"/>
      <c r="D28" s="178" t="s">
        <v>1347</v>
      </c>
      <c r="E28" s="486"/>
      <c r="F28" s="486"/>
      <c r="G28" s="486"/>
      <c r="H28" s="486"/>
      <c r="I28" s="486"/>
      <c r="J28" s="486"/>
      <c r="K28" s="486"/>
      <c r="L28" s="209"/>
      <c r="M28" s="214"/>
      <c r="N28" s="339">
        <v>0</v>
      </c>
      <c r="O28" s="339">
        <v>2300</v>
      </c>
      <c r="P28" s="216">
        <v>0</v>
      </c>
      <c r="Q28" s="216">
        <v>20000</v>
      </c>
      <c r="R28" s="215">
        <v>20000</v>
      </c>
      <c r="S28" s="215">
        <v>20000</v>
      </c>
      <c r="T28" s="215">
        <v>20000</v>
      </c>
      <c r="U28" s="215">
        <v>20000</v>
      </c>
      <c r="V28" s="215">
        <v>20000</v>
      </c>
    </row>
    <row r="29" spans="1:25" ht="24" customHeight="1">
      <c r="A29" s="396" t="s">
        <v>40</v>
      </c>
      <c r="B29" s="328"/>
      <c r="C29" s="328"/>
      <c r="D29" s="396" t="s">
        <v>45</v>
      </c>
      <c r="E29" s="328"/>
      <c r="F29" s="328"/>
      <c r="G29" s="328"/>
      <c r="H29" s="328"/>
      <c r="I29" s="328"/>
      <c r="J29" s="328"/>
      <c r="K29" s="328"/>
      <c r="L29" s="209">
        <v>17960</v>
      </c>
      <c r="M29" s="214">
        <v>13409</v>
      </c>
      <c r="N29" s="339">
        <v>15030</v>
      </c>
      <c r="O29" s="339">
        <v>15908</v>
      </c>
      <c r="P29" s="216">
        <v>15000</v>
      </c>
      <c r="Q29" s="216">
        <v>16000</v>
      </c>
      <c r="R29" s="215">
        <v>16000</v>
      </c>
      <c r="S29" s="215">
        <v>16000</v>
      </c>
      <c r="T29" s="215">
        <v>16000</v>
      </c>
      <c r="U29" s="215">
        <v>16000</v>
      </c>
      <c r="V29" s="215">
        <v>16000</v>
      </c>
    </row>
    <row r="30" spans="1:25" ht="24" customHeight="1">
      <c r="A30" s="396" t="s">
        <v>39</v>
      </c>
      <c r="B30" s="328"/>
      <c r="C30" s="328"/>
      <c r="D30" s="178" t="s">
        <v>5</v>
      </c>
      <c r="E30" s="328"/>
      <c r="F30" s="328"/>
      <c r="G30" s="328"/>
      <c r="H30" s="328"/>
      <c r="I30" s="328"/>
      <c r="J30" s="328"/>
      <c r="K30" s="328"/>
      <c r="L30" s="209">
        <v>0</v>
      </c>
      <c r="M30" s="214">
        <v>1502</v>
      </c>
      <c r="N30" s="339">
        <v>12521</v>
      </c>
      <c r="O30" s="339">
        <v>17131</v>
      </c>
      <c r="P30" s="216">
        <v>12000</v>
      </c>
      <c r="Q30" s="216">
        <v>15000</v>
      </c>
      <c r="R30" s="215">
        <v>15000</v>
      </c>
      <c r="S30" s="215">
        <v>15000</v>
      </c>
      <c r="T30" s="215">
        <v>15000</v>
      </c>
      <c r="U30" s="215">
        <v>15000</v>
      </c>
      <c r="V30" s="215">
        <v>15000</v>
      </c>
      <c r="X30" s="219"/>
    </row>
    <row r="31" spans="1:25" ht="24" customHeight="1">
      <c r="A31" s="396" t="s">
        <v>1420</v>
      </c>
      <c r="B31" s="585"/>
      <c r="C31" s="585"/>
      <c r="D31" s="396" t="s">
        <v>1210</v>
      </c>
      <c r="E31" s="585"/>
      <c r="F31" s="585"/>
      <c r="G31" s="585"/>
      <c r="H31" s="585"/>
      <c r="I31" s="585"/>
      <c r="J31" s="585"/>
      <c r="K31" s="585"/>
      <c r="L31" s="209">
        <v>18289</v>
      </c>
      <c r="M31" s="214">
        <v>14925</v>
      </c>
      <c r="N31" s="339">
        <v>28582</v>
      </c>
      <c r="O31" s="339">
        <v>20019</v>
      </c>
      <c r="P31" s="216">
        <v>20000</v>
      </c>
      <c r="Q31" s="216">
        <v>19284</v>
      </c>
      <c r="R31" s="215">
        <v>20000</v>
      </c>
      <c r="S31" s="215">
        <v>20000</v>
      </c>
      <c r="T31" s="215">
        <v>20000</v>
      </c>
      <c r="U31" s="215">
        <v>20000</v>
      </c>
      <c r="V31" s="215">
        <v>20000</v>
      </c>
      <c r="X31" s="219"/>
    </row>
    <row r="32" spans="1:25" ht="24" customHeight="1">
      <c r="A32" s="396" t="s">
        <v>38</v>
      </c>
      <c r="B32" s="328"/>
      <c r="C32" s="328"/>
      <c r="D32" s="178" t="s">
        <v>44</v>
      </c>
      <c r="E32" s="328"/>
      <c r="F32" s="328"/>
      <c r="G32" s="328"/>
      <c r="H32" s="328"/>
      <c r="I32" s="328"/>
      <c r="J32" s="328"/>
      <c r="K32" s="328"/>
      <c r="L32" s="209">
        <v>-1758</v>
      </c>
      <c r="M32" s="214">
        <v>1870</v>
      </c>
      <c r="N32" s="339">
        <v>2123</v>
      </c>
      <c r="O32" s="339">
        <v>0</v>
      </c>
      <c r="P32" s="216">
        <v>0</v>
      </c>
      <c r="Q32" s="216">
        <v>266</v>
      </c>
      <c r="R32" s="215">
        <v>0</v>
      </c>
      <c r="S32" s="215">
        <v>0</v>
      </c>
      <c r="T32" s="215">
        <v>0</v>
      </c>
      <c r="U32" s="215">
        <v>0</v>
      </c>
      <c r="V32" s="215">
        <v>0</v>
      </c>
      <c r="X32" s="219"/>
    </row>
    <row r="33" spans="1:30" ht="24" customHeight="1">
      <c r="A33" s="396" t="s">
        <v>257</v>
      </c>
      <c r="B33" s="328"/>
      <c r="C33" s="328"/>
      <c r="D33" s="178" t="s">
        <v>258</v>
      </c>
      <c r="E33" s="328"/>
      <c r="F33" s="328"/>
      <c r="G33" s="328"/>
      <c r="H33" s="328"/>
      <c r="I33" s="328"/>
      <c r="J33" s="328"/>
      <c r="K33" s="328"/>
      <c r="L33" s="209"/>
      <c r="M33" s="222">
        <v>4838</v>
      </c>
      <c r="N33" s="341">
        <v>1077</v>
      </c>
      <c r="O33" s="341">
        <v>1313</v>
      </c>
      <c r="P33" s="224">
        <v>1200</v>
      </c>
      <c r="Q33" s="224">
        <v>1200</v>
      </c>
      <c r="R33" s="223">
        <v>1200</v>
      </c>
      <c r="S33" s="223">
        <v>1200</v>
      </c>
      <c r="T33" s="223">
        <v>1200</v>
      </c>
      <c r="U33" s="223">
        <v>1200</v>
      </c>
      <c r="V33" s="223">
        <v>1200</v>
      </c>
      <c r="X33" s="219"/>
    </row>
    <row r="34" spans="1:30" ht="24" customHeight="1">
      <c r="A34" s="396" t="s">
        <v>49</v>
      </c>
      <c r="B34" s="328"/>
      <c r="C34" s="328"/>
      <c r="D34" s="396" t="s">
        <v>52</v>
      </c>
      <c r="E34" s="328"/>
      <c r="F34" s="328"/>
      <c r="G34" s="328"/>
      <c r="H34" s="328"/>
      <c r="I34" s="328"/>
      <c r="J34" s="328"/>
      <c r="K34" s="328"/>
      <c r="L34" s="209">
        <v>50008</v>
      </c>
      <c r="M34" s="214">
        <v>43545</v>
      </c>
      <c r="N34" s="339">
        <v>43265</v>
      </c>
      <c r="O34" s="339">
        <v>39895</v>
      </c>
      <c r="P34" s="216">
        <v>40000</v>
      </c>
      <c r="Q34" s="216">
        <v>40000</v>
      </c>
      <c r="R34" s="215">
        <v>40000</v>
      </c>
      <c r="S34" s="215">
        <v>40000</v>
      </c>
      <c r="T34" s="215">
        <v>40000</v>
      </c>
      <c r="U34" s="215">
        <v>40000</v>
      </c>
      <c r="V34" s="215">
        <v>40000</v>
      </c>
    </row>
    <row r="35" spans="1:30" ht="24" customHeight="1">
      <c r="A35" s="396" t="s">
        <v>48</v>
      </c>
      <c r="B35" s="328"/>
      <c r="C35" s="328"/>
      <c r="D35" s="396" t="s">
        <v>793</v>
      </c>
      <c r="E35" s="328"/>
      <c r="F35" s="328"/>
      <c r="G35" s="328"/>
      <c r="H35" s="328"/>
      <c r="I35" s="328"/>
      <c r="J35" s="328"/>
      <c r="K35" s="328"/>
      <c r="L35" s="209">
        <v>4964</v>
      </c>
      <c r="M35" s="214">
        <v>3786</v>
      </c>
      <c r="N35" s="339">
        <v>6256</v>
      </c>
      <c r="O35" s="339">
        <v>2336</v>
      </c>
      <c r="P35" s="216">
        <v>3000</v>
      </c>
      <c r="Q35" s="216">
        <v>2500</v>
      </c>
      <c r="R35" s="215">
        <v>3000</v>
      </c>
      <c r="S35" s="215">
        <v>3000</v>
      </c>
      <c r="T35" s="215">
        <v>3000</v>
      </c>
      <c r="U35" s="215">
        <v>3000</v>
      </c>
      <c r="V35" s="215">
        <v>3000</v>
      </c>
    </row>
    <row r="36" spans="1:30" ht="24" customHeight="1">
      <c r="A36" s="396" t="s">
        <v>47</v>
      </c>
      <c r="B36" s="328"/>
      <c r="C36" s="328"/>
      <c r="D36" s="396" t="s">
        <v>51</v>
      </c>
      <c r="E36" s="328"/>
      <c r="F36" s="328"/>
      <c r="G36" s="328"/>
      <c r="H36" s="328"/>
      <c r="I36" s="328"/>
      <c r="J36" s="328"/>
      <c r="K36" s="328"/>
      <c r="L36" s="209">
        <v>322160</v>
      </c>
      <c r="M36" s="214">
        <v>190579</v>
      </c>
      <c r="N36" s="339">
        <v>122400</v>
      </c>
      <c r="O36" s="339">
        <v>126600</v>
      </c>
      <c r="P36" s="216">
        <v>150000</v>
      </c>
      <c r="Q36" s="216">
        <v>130000</v>
      </c>
      <c r="R36" s="215">
        <v>150000</v>
      </c>
      <c r="S36" s="215">
        <v>150000</v>
      </c>
      <c r="T36" s="215">
        <v>200000</v>
      </c>
      <c r="U36" s="215">
        <v>200000</v>
      </c>
      <c r="V36" s="215">
        <v>200000</v>
      </c>
      <c r="X36" s="213"/>
    </row>
    <row r="37" spans="1:30" ht="24" customHeight="1">
      <c r="A37" s="396" t="s">
        <v>55</v>
      </c>
      <c r="B37" s="397"/>
      <c r="C37" s="397"/>
      <c r="D37" s="396" t="s">
        <v>1088</v>
      </c>
      <c r="E37" s="397"/>
      <c r="F37" s="397"/>
      <c r="G37" s="397"/>
      <c r="H37" s="397"/>
      <c r="I37" s="397"/>
      <c r="J37" s="397"/>
      <c r="K37" s="397"/>
      <c r="L37" s="218">
        <v>130344</v>
      </c>
      <c r="M37" s="214">
        <v>129075</v>
      </c>
      <c r="N37" s="339">
        <v>66028</v>
      </c>
      <c r="O37" s="339">
        <v>59121</v>
      </c>
      <c r="P37" s="216">
        <v>70000</v>
      </c>
      <c r="Q37" s="216">
        <v>55000</v>
      </c>
      <c r="R37" s="215">
        <v>60000</v>
      </c>
      <c r="S37" s="215">
        <v>60000</v>
      </c>
      <c r="T37" s="215">
        <v>60000</v>
      </c>
      <c r="U37" s="215">
        <v>60000</v>
      </c>
      <c r="V37" s="215">
        <v>60000</v>
      </c>
      <c r="X37" s="217"/>
      <c r="Y37" s="325"/>
      <c r="Z37" s="325"/>
      <c r="AA37" s="325"/>
      <c r="AB37" s="325"/>
      <c r="AC37" s="325"/>
      <c r="AD37" s="325"/>
    </row>
    <row r="38" spans="1:30" ht="24" customHeight="1">
      <c r="A38" s="396" t="s">
        <v>54</v>
      </c>
      <c r="B38" s="328"/>
      <c r="C38" s="328"/>
      <c r="D38" s="396" t="s">
        <v>261</v>
      </c>
      <c r="E38" s="328"/>
      <c r="F38" s="328"/>
      <c r="G38" s="328"/>
      <c r="H38" s="328"/>
      <c r="I38" s="328"/>
      <c r="J38" s="328"/>
      <c r="K38" s="328"/>
      <c r="L38" s="209">
        <v>22390</v>
      </c>
      <c r="M38" s="214">
        <v>44565</v>
      </c>
      <c r="N38" s="339">
        <v>24206</v>
      </c>
      <c r="O38" s="339">
        <v>36328</v>
      </c>
      <c r="P38" s="216">
        <v>30000</v>
      </c>
      <c r="Q38" s="216">
        <v>36500</v>
      </c>
      <c r="R38" s="215">
        <v>35000</v>
      </c>
      <c r="S38" s="215">
        <v>35000</v>
      </c>
      <c r="T38" s="215">
        <v>35000</v>
      </c>
      <c r="U38" s="215">
        <v>35000</v>
      </c>
      <c r="V38" s="215">
        <v>35000</v>
      </c>
      <c r="W38" s="515"/>
      <c r="X38" s="213"/>
    </row>
    <row r="39" spans="1:30" ht="24" customHeight="1">
      <c r="A39" s="396" t="s">
        <v>1244</v>
      </c>
      <c r="B39" s="328"/>
      <c r="C39" s="328"/>
      <c r="D39" s="396" t="s">
        <v>894</v>
      </c>
      <c r="E39" s="328"/>
      <c r="F39" s="328"/>
      <c r="G39" s="328"/>
      <c r="H39" s="328"/>
      <c r="I39" s="328"/>
      <c r="J39" s="328"/>
      <c r="K39" s="328"/>
      <c r="L39" s="209">
        <v>0</v>
      </c>
      <c r="M39" s="226">
        <v>0</v>
      </c>
      <c r="N39" s="343">
        <v>175</v>
      </c>
      <c r="O39" s="343">
        <v>320</v>
      </c>
      <c r="P39" s="228">
        <v>200</v>
      </c>
      <c r="Q39" s="228">
        <v>250</v>
      </c>
      <c r="R39" s="227">
        <v>250</v>
      </c>
      <c r="S39" s="227">
        <v>250</v>
      </c>
      <c r="T39" s="227">
        <v>250</v>
      </c>
      <c r="U39" s="227">
        <v>250</v>
      </c>
      <c r="V39" s="227">
        <v>250</v>
      </c>
    </row>
    <row r="40" spans="1:30" ht="24" customHeight="1">
      <c r="A40" s="396" t="s">
        <v>53</v>
      </c>
      <c r="B40" s="397"/>
      <c r="C40" s="397"/>
      <c r="D40" s="396" t="s">
        <v>56</v>
      </c>
      <c r="E40" s="397"/>
      <c r="F40" s="397"/>
      <c r="G40" s="397"/>
      <c r="H40" s="397"/>
      <c r="I40" s="397"/>
      <c r="J40" s="397"/>
      <c r="K40" s="397"/>
      <c r="L40" s="218">
        <v>0</v>
      </c>
      <c r="M40" s="214">
        <v>25500</v>
      </c>
      <c r="N40" s="339">
        <v>84750</v>
      </c>
      <c r="O40" s="339">
        <v>73375</v>
      </c>
      <c r="P40" s="216">
        <v>80000</v>
      </c>
      <c r="Q40" s="216">
        <v>90000</v>
      </c>
      <c r="R40" s="215">
        <v>80000</v>
      </c>
      <c r="S40" s="215">
        <v>80000</v>
      </c>
      <c r="T40" s="215">
        <v>80000</v>
      </c>
      <c r="U40" s="215">
        <v>80000</v>
      </c>
      <c r="V40" s="215">
        <v>80000</v>
      </c>
    </row>
    <row r="41" spans="1:30" ht="24" customHeight="1">
      <c r="A41" s="396" t="s">
        <v>58</v>
      </c>
      <c r="B41" s="397"/>
      <c r="C41" s="397"/>
      <c r="D41" s="396" t="s">
        <v>61</v>
      </c>
      <c r="E41" s="397"/>
      <c r="F41" s="397"/>
      <c r="G41" s="397"/>
      <c r="H41" s="397"/>
      <c r="I41" s="397"/>
      <c r="J41" s="397"/>
      <c r="K41" s="397"/>
      <c r="L41" s="218">
        <v>1081313</v>
      </c>
      <c r="M41" s="214">
        <v>1132478</v>
      </c>
      <c r="N41" s="339">
        <v>1231681</v>
      </c>
      <c r="O41" s="339">
        <v>1028304</v>
      </c>
      <c r="P41" s="216">
        <v>1023500</v>
      </c>
      <c r="Q41" s="216">
        <v>1001651</v>
      </c>
      <c r="R41" s="215">
        <f>ROUND(Q41*1.03,0)</f>
        <v>1031701</v>
      </c>
      <c r="S41" s="215">
        <f>ROUND(R41*1.03,0)</f>
        <v>1062652</v>
      </c>
      <c r="T41" s="215">
        <f t="shared" ref="T41:V41" si="2">ROUND(S41*1.03,0)</f>
        <v>1094532</v>
      </c>
      <c r="U41" s="215">
        <f t="shared" si="2"/>
        <v>1127368</v>
      </c>
      <c r="V41" s="215">
        <f t="shared" si="2"/>
        <v>1161189</v>
      </c>
      <c r="X41" s="213"/>
    </row>
    <row r="42" spans="1:30" ht="24" customHeight="1">
      <c r="A42" s="396" t="s">
        <v>57</v>
      </c>
      <c r="B42" s="328"/>
      <c r="C42" s="328"/>
      <c r="D42" s="396" t="s">
        <v>60</v>
      </c>
      <c r="E42" s="328"/>
      <c r="F42" s="328"/>
      <c r="G42" s="328"/>
      <c r="H42" s="328"/>
      <c r="I42" s="328"/>
      <c r="J42" s="328"/>
      <c r="K42" s="328"/>
      <c r="L42" s="209">
        <v>66075</v>
      </c>
      <c r="M42" s="214">
        <v>119121</v>
      </c>
      <c r="N42" s="339">
        <v>134531</v>
      </c>
      <c r="O42" s="339">
        <v>150423</v>
      </c>
      <c r="P42" s="216">
        <v>137235</v>
      </c>
      <c r="Q42" s="216">
        <v>150000</v>
      </c>
      <c r="R42" s="215">
        <v>150000</v>
      </c>
      <c r="S42" s="215">
        <v>150000</v>
      </c>
      <c r="T42" s="215">
        <v>150000</v>
      </c>
      <c r="U42" s="215">
        <v>150000</v>
      </c>
      <c r="V42" s="215">
        <v>150000</v>
      </c>
      <c r="X42" s="213"/>
    </row>
    <row r="43" spans="1:30" ht="24" customHeight="1">
      <c r="A43" s="396" t="s">
        <v>1242</v>
      </c>
      <c r="B43" s="397"/>
      <c r="C43" s="397"/>
      <c r="D43" s="396" t="s">
        <v>1188</v>
      </c>
      <c r="E43" s="397"/>
      <c r="F43" s="397"/>
      <c r="G43" s="397"/>
      <c r="H43" s="397"/>
      <c r="I43" s="397"/>
      <c r="J43" s="397"/>
      <c r="K43" s="397"/>
      <c r="L43" s="218">
        <v>0</v>
      </c>
      <c r="M43" s="214">
        <v>0</v>
      </c>
      <c r="N43" s="339">
        <v>0</v>
      </c>
      <c r="O43" s="339">
        <v>21081</v>
      </c>
      <c r="P43" s="216">
        <v>20000</v>
      </c>
      <c r="Q43" s="216">
        <v>21063</v>
      </c>
      <c r="R43" s="215">
        <v>21000</v>
      </c>
      <c r="S43" s="215">
        <v>21000</v>
      </c>
      <c r="T43" s="215">
        <v>21000</v>
      </c>
      <c r="U43" s="215">
        <v>21000</v>
      </c>
      <c r="V43" s="215">
        <v>21000</v>
      </c>
    </row>
    <row r="44" spans="1:30" ht="24" customHeight="1">
      <c r="A44" s="396" t="s">
        <v>1110</v>
      </c>
      <c r="B44" s="328"/>
      <c r="C44" s="328"/>
      <c r="D44" s="396" t="s">
        <v>1116</v>
      </c>
      <c r="E44" s="328"/>
      <c r="F44" s="328"/>
      <c r="G44" s="328"/>
      <c r="H44" s="328"/>
      <c r="I44" s="328"/>
      <c r="J44" s="328"/>
      <c r="K44" s="328"/>
      <c r="L44" s="209">
        <v>450000</v>
      </c>
      <c r="M44" s="229">
        <v>75569</v>
      </c>
      <c r="N44" s="339">
        <v>91863</v>
      </c>
      <c r="O44" s="339">
        <v>0</v>
      </c>
      <c r="P44" s="216">
        <v>0</v>
      </c>
      <c r="Q44" s="216">
        <v>0</v>
      </c>
      <c r="R44" s="215">
        <v>0</v>
      </c>
      <c r="S44" s="215">
        <v>0</v>
      </c>
      <c r="T44" s="215">
        <v>0</v>
      </c>
      <c r="U44" s="215">
        <v>0</v>
      </c>
      <c r="V44" s="215">
        <v>0</v>
      </c>
      <c r="X44" s="320"/>
    </row>
    <row r="45" spans="1:30" ht="24" customHeight="1">
      <c r="A45" s="396" t="s">
        <v>1111</v>
      </c>
      <c r="B45" s="397"/>
      <c r="C45" s="397"/>
      <c r="D45" s="396" t="s">
        <v>1117</v>
      </c>
      <c r="E45" s="397"/>
      <c r="F45" s="397"/>
      <c r="G45" s="397"/>
      <c r="H45" s="397"/>
      <c r="I45" s="397"/>
      <c r="J45" s="397"/>
      <c r="K45" s="397"/>
      <c r="L45" s="218">
        <v>220000</v>
      </c>
      <c r="M45" s="229">
        <v>58640</v>
      </c>
      <c r="N45" s="341">
        <v>83045</v>
      </c>
      <c r="O45" s="341">
        <v>0</v>
      </c>
      <c r="P45" s="224">
        <v>0</v>
      </c>
      <c r="Q45" s="224">
        <v>0</v>
      </c>
      <c r="R45" s="223">
        <v>0</v>
      </c>
      <c r="S45" s="223">
        <v>0</v>
      </c>
      <c r="T45" s="223">
        <v>0</v>
      </c>
      <c r="U45" s="223">
        <v>0</v>
      </c>
      <c r="V45" s="223">
        <v>0</v>
      </c>
      <c r="X45" s="213"/>
    </row>
    <row r="46" spans="1:30" ht="24" customHeight="1">
      <c r="A46" s="396" t="s">
        <v>1115</v>
      </c>
      <c r="B46" s="397"/>
      <c r="C46" s="397"/>
      <c r="D46" s="396" t="s">
        <v>1118</v>
      </c>
      <c r="E46" s="397"/>
      <c r="F46" s="397"/>
      <c r="G46" s="397"/>
      <c r="H46" s="397"/>
      <c r="I46" s="397"/>
      <c r="J46" s="397"/>
      <c r="K46" s="397"/>
      <c r="L46" s="218">
        <v>181000</v>
      </c>
      <c r="M46" s="229">
        <v>60449</v>
      </c>
      <c r="N46" s="340">
        <v>20084</v>
      </c>
      <c r="O46" s="340">
        <v>0</v>
      </c>
      <c r="P46" s="225">
        <v>0</v>
      </c>
      <c r="Q46" s="225">
        <v>0</v>
      </c>
      <c r="R46" s="221">
        <v>0</v>
      </c>
      <c r="S46" s="221">
        <v>0</v>
      </c>
      <c r="T46" s="221">
        <v>0</v>
      </c>
      <c r="U46" s="221">
        <v>0</v>
      </c>
      <c r="V46" s="221">
        <v>0</v>
      </c>
      <c r="X46" s="213"/>
    </row>
    <row r="47" spans="1:30" ht="24" customHeight="1">
      <c r="A47" s="396" t="s">
        <v>277</v>
      </c>
      <c r="B47" s="328"/>
      <c r="C47" s="328"/>
      <c r="D47" s="396" t="s">
        <v>278</v>
      </c>
      <c r="E47" s="328"/>
      <c r="F47" s="328"/>
      <c r="G47" s="328"/>
      <c r="H47" s="328"/>
      <c r="I47" s="328"/>
      <c r="J47" s="328"/>
      <c r="K47" s="328"/>
      <c r="L47" s="209"/>
      <c r="M47" s="226">
        <v>0</v>
      </c>
      <c r="N47" s="343">
        <v>350</v>
      </c>
      <c r="O47" s="343">
        <v>100</v>
      </c>
      <c r="P47" s="228">
        <v>500</v>
      </c>
      <c r="Q47" s="228">
        <v>500</v>
      </c>
      <c r="R47" s="227">
        <v>500</v>
      </c>
      <c r="S47" s="227">
        <v>500</v>
      </c>
      <c r="T47" s="227">
        <v>500</v>
      </c>
      <c r="U47" s="227">
        <v>500</v>
      </c>
      <c r="V47" s="227">
        <v>500</v>
      </c>
      <c r="X47" s="217"/>
    </row>
    <row r="48" spans="1:30" ht="24" customHeight="1">
      <c r="A48" s="396" t="s">
        <v>62</v>
      </c>
      <c r="B48" s="397"/>
      <c r="C48" s="397"/>
      <c r="D48" s="735" t="s">
        <v>6</v>
      </c>
      <c r="E48" s="735"/>
      <c r="F48" s="735"/>
      <c r="G48" s="735"/>
      <c r="H48" s="735"/>
      <c r="I48" s="735"/>
      <c r="J48" s="735"/>
      <c r="K48" s="735"/>
      <c r="L48" s="218">
        <v>18629</v>
      </c>
      <c r="M48" s="214">
        <v>62043</v>
      </c>
      <c r="N48" s="339">
        <v>5102</v>
      </c>
      <c r="O48" s="339">
        <v>7287</v>
      </c>
      <c r="P48" s="216">
        <v>6500</v>
      </c>
      <c r="Q48" s="216">
        <v>8300</v>
      </c>
      <c r="R48" s="215">
        <v>8000</v>
      </c>
      <c r="S48" s="215">
        <v>6000</v>
      </c>
      <c r="T48" s="215">
        <v>5000</v>
      </c>
      <c r="U48" s="215">
        <v>3000</v>
      </c>
      <c r="V48" s="215">
        <v>2000</v>
      </c>
    </row>
    <row r="49" spans="1:28" ht="24" customHeight="1">
      <c r="A49" s="396" t="s">
        <v>66</v>
      </c>
      <c r="B49" s="397"/>
      <c r="C49" s="397"/>
      <c r="D49" s="396" t="s">
        <v>68</v>
      </c>
      <c r="E49" s="397"/>
      <c r="F49" s="397"/>
      <c r="G49" s="397"/>
      <c r="H49" s="397"/>
      <c r="I49" s="397"/>
      <c r="J49" s="397"/>
      <c r="K49" s="397"/>
      <c r="L49" s="218"/>
      <c r="M49" s="226">
        <v>27848</v>
      </c>
      <c r="N49" s="343">
        <v>28738</v>
      </c>
      <c r="O49" s="343">
        <v>12492</v>
      </c>
      <c r="P49" s="228">
        <v>0</v>
      </c>
      <c r="Q49" s="228">
        <v>0</v>
      </c>
      <c r="R49" s="227">
        <v>0</v>
      </c>
      <c r="S49" s="227">
        <v>0</v>
      </c>
      <c r="T49" s="227">
        <v>0</v>
      </c>
      <c r="U49" s="227">
        <v>0</v>
      </c>
      <c r="V49" s="227">
        <v>0</v>
      </c>
    </row>
    <row r="50" spans="1:28" ht="24" customHeight="1">
      <c r="A50" s="396" t="s">
        <v>858</v>
      </c>
      <c r="B50" s="397"/>
      <c r="C50" s="397"/>
      <c r="D50" s="396" t="s">
        <v>859</v>
      </c>
      <c r="E50" s="397"/>
      <c r="F50" s="397"/>
      <c r="G50" s="397"/>
      <c r="H50" s="397"/>
      <c r="I50" s="397"/>
      <c r="J50" s="397"/>
      <c r="K50" s="397"/>
      <c r="L50" s="218"/>
      <c r="M50" s="226">
        <v>0</v>
      </c>
      <c r="N50" s="343">
        <v>25697</v>
      </c>
      <c r="O50" s="343">
        <v>30004</v>
      </c>
      <c r="P50" s="228">
        <v>0</v>
      </c>
      <c r="Q50" s="228">
        <v>50000</v>
      </c>
      <c r="R50" s="227">
        <v>50000</v>
      </c>
      <c r="S50" s="227">
        <v>50000</v>
      </c>
      <c r="T50" s="227">
        <v>50000</v>
      </c>
      <c r="U50" s="227">
        <v>50000</v>
      </c>
      <c r="V50" s="227">
        <v>50000</v>
      </c>
    </row>
    <row r="51" spans="1:28" ht="24" customHeight="1">
      <c r="A51" s="396" t="s">
        <v>288</v>
      </c>
      <c r="B51" s="328"/>
      <c r="C51" s="328"/>
      <c r="D51" s="396" t="s">
        <v>295</v>
      </c>
      <c r="E51" s="328"/>
      <c r="F51" s="328"/>
      <c r="G51" s="328"/>
      <c r="H51" s="328"/>
      <c r="I51" s="328"/>
      <c r="J51" s="328"/>
      <c r="K51" s="328"/>
      <c r="L51" s="209"/>
      <c r="M51" s="214">
        <v>0</v>
      </c>
      <c r="N51" s="340">
        <v>23220</v>
      </c>
      <c r="O51" s="340">
        <v>0</v>
      </c>
      <c r="P51" s="225">
        <v>0</v>
      </c>
      <c r="Q51" s="225">
        <v>0</v>
      </c>
      <c r="R51" s="221">
        <v>0</v>
      </c>
      <c r="S51" s="221">
        <v>0</v>
      </c>
      <c r="T51" s="221">
        <v>0</v>
      </c>
      <c r="U51" s="221">
        <v>0</v>
      </c>
      <c r="V51" s="221">
        <v>0</v>
      </c>
      <c r="X51" s="213"/>
    </row>
    <row r="52" spans="1:28" ht="24" customHeight="1">
      <c r="A52" s="396" t="s">
        <v>289</v>
      </c>
      <c r="B52" s="328"/>
      <c r="C52" s="328"/>
      <c r="D52" s="396" t="s">
        <v>296</v>
      </c>
      <c r="E52" s="328"/>
      <c r="F52" s="328"/>
      <c r="G52" s="328"/>
      <c r="H52" s="328"/>
      <c r="I52" s="328"/>
      <c r="J52" s="328"/>
      <c r="K52" s="328"/>
      <c r="L52" s="209"/>
      <c r="M52" s="214">
        <v>0</v>
      </c>
      <c r="N52" s="340">
        <v>48447</v>
      </c>
      <c r="O52" s="340">
        <v>57824</v>
      </c>
      <c r="P52" s="225">
        <v>0</v>
      </c>
      <c r="Q52" s="225">
        <v>0</v>
      </c>
      <c r="R52" s="221">
        <v>0</v>
      </c>
      <c r="S52" s="221">
        <v>0</v>
      </c>
      <c r="T52" s="221">
        <v>0</v>
      </c>
      <c r="U52" s="221">
        <v>0</v>
      </c>
      <c r="V52" s="221">
        <v>0</v>
      </c>
      <c r="X52" s="213"/>
    </row>
    <row r="53" spans="1:28" ht="24" customHeight="1">
      <c r="A53" s="396" t="s">
        <v>65</v>
      </c>
      <c r="B53" s="397"/>
      <c r="C53" s="397"/>
      <c r="D53" s="396" t="s">
        <v>292</v>
      </c>
      <c r="E53" s="397"/>
      <c r="F53" s="397"/>
      <c r="G53" s="397"/>
      <c r="H53" s="397"/>
      <c r="I53" s="397"/>
      <c r="J53" s="397"/>
      <c r="K53" s="397"/>
      <c r="L53" s="218">
        <v>100223</v>
      </c>
      <c r="M53" s="214">
        <v>227600</v>
      </c>
      <c r="N53" s="340">
        <v>91536</v>
      </c>
      <c r="O53" s="340">
        <v>67166</v>
      </c>
      <c r="P53" s="228">
        <v>0</v>
      </c>
      <c r="Q53" s="228">
        <v>0</v>
      </c>
      <c r="R53" s="227">
        <v>0</v>
      </c>
      <c r="S53" s="227">
        <v>0</v>
      </c>
      <c r="T53" s="227">
        <v>0</v>
      </c>
      <c r="U53" s="227">
        <v>0</v>
      </c>
      <c r="V53" s="227">
        <v>0</v>
      </c>
      <c r="W53" s="516"/>
      <c r="X53" s="213"/>
    </row>
    <row r="54" spans="1:28" ht="24" customHeight="1">
      <c r="A54" s="396" t="s">
        <v>286</v>
      </c>
      <c r="B54" s="397"/>
      <c r="C54" s="397"/>
      <c r="D54" s="396" t="s">
        <v>287</v>
      </c>
      <c r="E54" s="397"/>
      <c r="F54" s="397"/>
      <c r="G54" s="397"/>
      <c r="H54" s="397"/>
      <c r="I54" s="397"/>
      <c r="J54" s="397"/>
      <c r="K54" s="397"/>
      <c r="L54" s="218"/>
      <c r="M54" s="214">
        <v>0</v>
      </c>
      <c r="N54" s="340">
        <v>3363</v>
      </c>
      <c r="O54" s="340">
        <v>2229</v>
      </c>
      <c r="P54" s="228">
        <v>0</v>
      </c>
      <c r="Q54" s="228">
        <v>0</v>
      </c>
      <c r="R54" s="227">
        <v>0</v>
      </c>
      <c r="S54" s="227">
        <v>0</v>
      </c>
      <c r="T54" s="227">
        <v>0</v>
      </c>
      <c r="U54" s="227">
        <v>0</v>
      </c>
      <c r="V54" s="227">
        <v>0</v>
      </c>
      <c r="X54" s="213"/>
    </row>
    <row r="55" spans="1:28" ht="24" customHeight="1">
      <c r="A55" s="396" t="s">
        <v>727</v>
      </c>
      <c r="B55" s="397"/>
      <c r="C55" s="397"/>
      <c r="D55" s="396" t="s">
        <v>728</v>
      </c>
      <c r="E55" s="397"/>
      <c r="F55" s="397"/>
      <c r="G55" s="397"/>
      <c r="H55" s="397"/>
      <c r="I55" s="397"/>
      <c r="J55" s="397"/>
      <c r="K55" s="397"/>
      <c r="L55" s="218">
        <v>4646</v>
      </c>
      <c r="M55" s="214">
        <v>0</v>
      </c>
      <c r="N55" s="340">
        <v>93842</v>
      </c>
      <c r="O55" s="340">
        <v>0</v>
      </c>
      <c r="P55" s="228">
        <v>0</v>
      </c>
      <c r="Q55" s="228">
        <v>0</v>
      </c>
      <c r="R55" s="227">
        <v>0</v>
      </c>
      <c r="S55" s="227">
        <v>0</v>
      </c>
      <c r="T55" s="227">
        <v>0</v>
      </c>
      <c r="U55" s="227">
        <v>0</v>
      </c>
      <c r="V55" s="227">
        <v>0</v>
      </c>
      <c r="X55" s="213"/>
    </row>
    <row r="56" spans="1:28" ht="24" customHeight="1">
      <c r="A56" s="396" t="s">
        <v>64</v>
      </c>
      <c r="B56" s="328"/>
      <c r="C56" s="328"/>
      <c r="D56" s="396" t="s">
        <v>262</v>
      </c>
      <c r="E56" s="328"/>
      <c r="F56" s="328"/>
      <c r="G56" s="328"/>
      <c r="H56" s="328"/>
      <c r="I56" s="328"/>
      <c r="J56" s="328"/>
      <c r="K56" s="328"/>
      <c r="L56" s="209"/>
      <c r="M56" s="226">
        <v>29776</v>
      </c>
      <c r="N56" s="343">
        <v>3417</v>
      </c>
      <c r="O56" s="343">
        <v>27670</v>
      </c>
      <c r="P56" s="228">
        <v>5000</v>
      </c>
      <c r="Q56" s="228">
        <v>5000</v>
      </c>
      <c r="R56" s="227">
        <v>5000</v>
      </c>
      <c r="S56" s="227">
        <v>5000</v>
      </c>
      <c r="T56" s="227">
        <v>5000</v>
      </c>
      <c r="U56" s="227">
        <v>5000</v>
      </c>
      <c r="V56" s="227">
        <v>5000</v>
      </c>
      <c r="X56" s="230"/>
    </row>
    <row r="57" spans="1:28" ht="24" customHeight="1">
      <c r="A57" s="396" t="s">
        <v>284</v>
      </c>
      <c r="B57" s="328"/>
      <c r="C57" s="328"/>
      <c r="D57" s="396" t="s">
        <v>285</v>
      </c>
      <c r="E57" s="328"/>
      <c r="F57" s="328"/>
      <c r="G57" s="328"/>
      <c r="H57" s="328"/>
      <c r="I57" s="328"/>
      <c r="J57" s="328"/>
      <c r="K57" s="328"/>
      <c r="L57" s="209"/>
      <c r="M57" s="226">
        <v>0</v>
      </c>
      <c r="N57" s="343">
        <v>25557</v>
      </c>
      <c r="O57" s="343">
        <v>15098</v>
      </c>
      <c r="P57" s="228">
        <v>0</v>
      </c>
      <c r="Q57" s="228">
        <v>0</v>
      </c>
      <c r="R57" s="227">
        <v>0</v>
      </c>
      <c r="S57" s="227">
        <v>0</v>
      </c>
      <c r="T57" s="227">
        <v>0</v>
      </c>
      <c r="U57" s="227">
        <v>0</v>
      </c>
      <c r="V57" s="227">
        <v>0</v>
      </c>
    </row>
    <row r="58" spans="1:28" ht="24" customHeight="1">
      <c r="A58" s="396" t="s">
        <v>249</v>
      </c>
      <c r="B58" s="328"/>
      <c r="C58" s="328"/>
      <c r="D58" s="396" t="s">
        <v>250</v>
      </c>
      <c r="E58" s="328"/>
      <c r="F58" s="328"/>
      <c r="G58" s="328"/>
      <c r="H58" s="328"/>
      <c r="I58" s="328"/>
      <c r="J58" s="328"/>
      <c r="K58" s="328"/>
      <c r="L58" s="209">
        <v>98499</v>
      </c>
      <c r="M58" s="226">
        <v>36185</v>
      </c>
      <c r="N58" s="343">
        <v>37167</v>
      </c>
      <c r="O58" s="343">
        <v>17243</v>
      </c>
      <c r="P58" s="228">
        <v>40000</v>
      </c>
      <c r="Q58" s="228">
        <v>20000</v>
      </c>
      <c r="R58" s="227">
        <v>20000</v>
      </c>
      <c r="S58" s="227">
        <v>20000</v>
      </c>
      <c r="T58" s="227">
        <v>20000</v>
      </c>
      <c r="U58" s="227">
        <v>20000</v>
      </c>
      <c r="V58" s="227">
        <v>20000</v>
      </c>
    </row>
    <row r="59" spans="1:28" ht="24" customHeight="1">
      <c r="A59" s="396" t="s">
        <v>63</v>
      </c>
      <c r="B59" s="397"/>
      <c r="C59" s="397"/>
      <c r="D59" s="396" t="s">
        <v>67</v>
      </c>
      <c r="E59" s="397"/>
      <c r="F59" s="397"/>
      <c r="G59" s="397"/>
      <c r="H59" s="397"/>
      <c r="I59" s="397"/>
      <c r="J59" s="397"/>
      <c r="K59" s="397"/>
      <c r="L59" s="218">
        <v>173728</v>
      </c>
      <c r="M59" s="226">
        <v>88370</v>
      </c>
      <c r="N59" s="343">
        <v>10337</v>
      </c>
      <c r="O59" s="343">
        <v>8809</v>
      </c>
      <c r="P59" s="228">
        <v>10000</v>
      </c>
      <c r="Q59" s="228">
        <v>5000</v>
      </c>
      <c r="R59" s="227">
        <v>5000</v>
      </c>
      <c r="S59" s="227">
        <v>5000</v>
      </c>
      <c r="T59" s="227">
        <v>5000</v>
      </c>
      <c r="U59" s="227">
        <v>5000</v>
      </c>
      <c r="V59" s="227">
        <v>5000</v>
      </c>
      <c r="X59" s="217"/>
      <c r="AB59" s="217"/>
    </row>
    <row r="60" spans="1:28" ht="24" customHeight="1">
      <c r="A60" s="396" t="s">
        <v>263</v>
      </c>
      <c r="B60" s="399"/>
      <c r="C60" s="399"/>
      <c r="D60" s="397" t="s">
        <v>264</v>
      </c>
      <c r="E60" s="399"/>
      <c r="F60" s="399"/>
      <c r="G60" s="399"/>
      <c r="H60" s="399"/>
      <c r="I60" s="399"/>
      <c r="J60" s="399"/>
      <c r="K60" s="399"/>
      <c r="L60" s="218">
        <v>13730</v>
      </c>
      <c r="M60" s="226">
        <v>13155</v>
      </c>
      <c r="N60" s="343">
        <v>8460</v>
      </c>
      <c r="O60" s="343">
        <v>7615</v>
      </c>
      <c r="P60" s="228">
        <v>8000</v>
      </c>
      <c r="Q60" s="228">
        <v>8000</v>
      </c>
      <c r="R60" s="227">
        <v>8000</v>
      </c>
      <c r="S60" s="227">
        <v>8000</v>
      </c>
      <c r="T60" s="227">
        <v>8000</v>
      </c>
      <c r="U60" s="227">
        <v>8000</v>
      </c>
      <c r="V60" s="227">
        <v>8000</v>
      </c>
      <c r="X60" s="231"/>
    </row>
    <row r="61" spans="1:28" ht="24" customHeight="1">
      <c r="A61" s="396" t="s">
        <v>255</v>
      </c>
      <c r="B61" s="328"/>
      <c r="C61" s="328"/>
      <c r="D61" s="396" t="s">
        <v>256</v>
      </c>
      <c r="E61" s="328"/>
      <c r="F61" s="328"/>
      <c r="G61" s="328"/>
      <c r="H61" s="328"/>
      <c r="I61" s="328"/>
      <c r="J61" s="328"/>
      <c r="K61" s="328"/>
      <c r="L61" s="209">
        <v>2820</v>
      </c>
      <c r="M61" s="226"/>
      <c r="N61" s="343">
        <v>50</v>
      </c>
      <c r="O61" s="343">
        <v>0</v>
      </c>
      <c r="P61" s="228">
        <v>0</v>
      </c>
      <c r="Q61" s="228">
        <v>0</v>
      </c>
      <c r="R61" s="227">
        <v>2000</v>
      </c>
      <c r="S61" s="227">
        <v>2000</v>
      </c>
      <c r="T61" s="227">
        <v>2000</v>
      </c>
      <c r="U61" s="227">
        <v>2000</v>
      </c>
      <c r="V61" s="227">
        <v>2000</v>
      </c>
      <c r="X61" s="213"/>
      <c r="AB61" s="213"/>
    </row>
    <row r="62" spans="1:28" ht="24" customHeight="1">
      <c r="A62" s="396" t="s">
        <v>69</v>
      </c>
      <c r="B62" s="328"/>
      <c r="C62" s="328"/>
      <c r="D62" s="396" t="s">
        <v>7</v>
      </c>
      <c r="E62" s="328"/>
      <c r="F62" s="328"/>
      <c r="G62" s="328"/>
      <c r="H62" s="328"/>
      <c r="I62" s="328"/>
      <c r="J62" s="328"/>
      <c r="K62" s="328"/>
      <c r="L62" s="209">
        <v>25409</v>
      </c>
      <c r="M62" s="214">
        <f>1589+250</f>
        <v>1839</v>
      </c>
      <c r="N62" s="339">
        <v>5192</v>
      </c>
      <c r="O62" s="339">
        <v>125350</v>
      </c>
      <c r="P62" s="216">
        <v>3000</v>
      </c>
      <c r="Q62" s="216">
        <v>1500</v>
      </c>
      <c r="R62" s="215">
        <v>3000</v>
      </c>
      <c r="S62" s="215">
        <v>3000</v>
      </c>
      <c r="T62" s="215">
        <v>3000</v>
      </c>
      <c r="U62" s="215">
        <v>3000</v>
      </c>
      <c r="V62" s="215">
        <v>3000</v>
      </c>
      <c r="X62" s="230"/>
    </row>
    <row r="63" spans="1:28" ht="24" customHeight="1">
      <c r="A63" s="396" t="s">
        <v>1243</v>
      </c>
      <c r="B63" s="328"/>
      <c r="C63" s="328"/>
      <c r="D63" s="664" t="s">
        <v>1489</v>
      </c>
      <c r="E63" s="328"/>
      <c r="F63" s="328"/>
      <c r="G63" s="328"/>
      <c r="H63" s="328"/>
      <c r="I63" s="328"/>
      <c r="J63" s="328"/>
      <c r="K63" s="328"/>
      <c r="L63" s="209"/>
      <c r="M63" s="220"/>
      <c r="N63" s="340">
        <v>0</v>
      </c>
      <c r="O63" s="340">
        <v>0</v>
      </c>
      <c r="P63" s="225">
        <v>5250</v>
      </c>
      <c r="Q63" s="225">
        <f t="shared" ref="Q63:U63" si="3">Q424</f>
        <v>5250</v>
      </c>
      <c r="R63" s="221">
        <f t="shared" si="3"/>
        <v>5250</v>
      </c>
      <c r="S63" s="221">
        <f t="shared" si="3"/>
        <v>5250</v>
      </c>
      <c r="T63" s="221">
        <f t="shared" si="3"/>
        <v>5250</v>
      </c>
      <c r="U63" s="221">
        <f t="shared" si="3"/>
        <v>5250</v>
      </c>
      <c r="V63" s="221">
        <f>V424</f>
        <v>5250</v>
      </c>
      <c r="X63" s="213"/>
    </row>
    <row r="64" spans="1:28" ht="24" customHeight="1">
      <c r="A64" s="396" t="s">
        <v>738</v>
      </c>
      <c r="B64" s="397"/>
      <c r="C64" s="397"/>
      <c r="D64" s="397" t="s">
        <v>1103</v>
      </c>
      <c r="E64" s="397"/>
      <c r="F64" s="328"/>
      <c r="G64" s="397"/>
      <c r="H64" s="397"/>
      <c r="I64" s="397"/>
      <c r="J64" s="397"/>
      <c r="K64" s="397"/>
      <c r="L64" s="218"/>
      <c r="M64" s="232"/>
      <c r="N64" s="345">
        <v>332500</v>
      </c>
      <c r="O64" s="345">
        <v>0</v>
      </c>
      <c r="P64" s="235">
        <v>0</v>
      </c>
      <c r="Q64" s="235">
        <v>0</v>
      </c>
      <c r="R64" s="234">
        <v>0</v>
      </c>
      <c r="S64" s="234">
        <v>0</v>
      </c>
      <c r="T64" s="234">
        <v>0</v>
      </c>
      <c r="U64" s="234">
        <v>0</v>
      </c>
      <c r="V64" s="234">
        <v>0</v>
      </c>
    </row>
    <row r="65" spans="1:60" ht="15" customHeight="1">
      <c r="A65" s="328"/>
      <c r="B65" s="328"/>
      <c r="C65" s="328"/>
      <c r="D65" s="399"/>
      <c r="E65" s="399"/>
      <c r="F65" s="399"/>
      <c r="G65" s="399"/>
      <c r="H65" s="399"/>
      <c r="I65" s="399"/>
      <c r="J65" s="399"/>
      <c r="K65" s="399"/>
      <c r="L65" s="236"/>
      <c r="N65" s="346"/>
      <c r="O65" s="346"/>
      <c r="P65" s="238"/>
      <c r="Q65" s="238"/>
      <c r="R65" s="237"/>
      <c r="S65" s="237"/>
      <c r="T65" s="237"/>
      <c r="U65" s="237"/>
      <c r="V65" s="237"/>
    </row>
    <row r="66" spans="1:60" s="328" customFormat="1" ht="24" customHeight="1">
      <c r="K66" s="400" t="s">
        <v>656</v>
      </c>
      <c r="L66" s="422"/>
      <c r="M66" s="423"/>
      <c r="N66" s="348">
        <f t="shared" ref="N66" si="4">SUM(N9:N65)</f>
        <v>12511852</v>
      </c>
      <c r="O66" s="348">
        <f t="shared" ref="O66:V66" si="5">SUM(O9:O65)</f>
        <v>13314810</v>
      </c>
      <c r="P66" s="349">
        <f>SUM(P9:P65)</f>
        <v>13009489</v>
      </c>
      <c r="Q66" s="349">
        <f t="shared" si="5"/>
        <v>13341863</v>
      </c>
      <c r="R66" s="348">
        <f t="shared" ref="R66:U66" si="6">SUM(R9:R65)</f>
        <v>13726625</v>
      </c>
      <c r="S66" s="348">
        <f t="shared" si="6"/>
        <v>13858553</v>
      </c>
      <c r="T66" s="348">
        <f t="shared" si="6"/>
        <v>14068140</v>
      </c>
      <c r="U66" s="348">
        <f t="shared" si="6"/>
        <v>14218420</v>
      </c>
      <c r="V66" s="348">
        <f t="shared" si="5"/>
        <v>14366430</v>
      </c>
      <c r="W66" s="640"/>
    </row>
    <row r="67" spans="1:60" ht="15" customHeight="1">
      <c r="A67" s="328"/>
      <c r="B67" s="328"/>
      <c r="C67" s="328"/>
      <c r="D67" s="328"/>
      <c r="E67" s="328"/>
      <c r="F67" s="328"/>
      <c r="G67" s="328"/>
      <c r="H67" s="328"/>
      <c r="I67" s="328"/>
      <c r="J67" s="328"/>
      <c r="K67" s="328"/>
      <c r="L67" s="209"/>
      <c r="N67" s="346"/>
      <c r="O67" s="346"/>
      <c r="P67" s="238"/>
      <c r="Q67" s="238"/>
      <c r="R67" s="237"/>
      <c r="S67" s="237"/>
      <c r="T67" s="237"/>
      <c r="U67" s="237"/>
      <c r="V67" s="237"/>
    </row>
    <row r="68" spans="1:60" ht="24" customHeight="1">
      <c r="A68" s="400" t="s">
        <v>670</v>
      </c>
      <c r="B68" s="328"/>
      <c r="C68" s="328"/>
      <c r="D68" s="328"/>
      <c r="E68" s="328"/>
      <c r="F68" s="328"/>
      <c r="G68" s="328"/>
      <c r="H68" s="328"/>
      <c r="I68" s="328"/>
      <c r="J68" s="328"/>
      <c r="K68" s="328"/>
      <c r="L68" s="209"/>
      <c r="N68" s="346"/>
      <c r="O68" s="346"/>
      <c r="P68" s="238"/>
      <c r="Q68" s="238"/>
      <c r="R68" s="237"/>
      <c r="S68" s="237"/>
      <c r="T68" s="237"/>
      <c r="U68" s="237"/>
      <c r="V68" s="237"/>
      <c r="Z68" s="696"/>
      <c r="AA68" s="697"/>
    </row>
    <row r="69" spans="1:60" ht="24" customHeight="1">
      <c r="A69" s="396" t="s">
        <v>75</v>
      </c>
      <c r="B69" s="328"/>
      <c r="C69" s="328"/>
      <c r="D69" s="396" t="s">
        <v>82</v>
      </c>
      <c r="E69" s="328"/>
      <c r="F69" s="328"/>
      <c r="G69" s="328"/>
      <c r="H69" s="328"/>
      <c r="I69" s="328"/>
      <c r="J69" s="328"/>
      <c r="K69" s="328"/>
      <c r="L69" s="209"/>
      <c r="M69" s="226"/>
      <c r="N69" s="343">
        <v>10105</v>
      </c>
      <c r="O69" s="343">
        <v>9605</v>
      </c>
      <c r="P69" s="228">
        <v>11000</v>
      </c>
      <c r="Q69" s="228">
        <v>11000</v>
      </c>
      <c r="R69" s="227">
        <v>11000</v>
      </c>
      <c r="S69" s="227">
        <v>11000</v>
      </c>
      <c r="T69" s="227">
        <v>11000</v>
      </c>
      <c r="U69" s="227">
        <v>11000</v>
      </c>
      <c r="V69" s="227">
        <v>11000</v>
      </c>
      <c r="X69" s="656"/>
      <c r="Y69" s="657"/>
      <c r="Z69" s="698"/>
      <c r="AA69" s="699"/>
    </row>
    <row r="70" spans="1:60" ht="24" customHeight="1">
      <c r="A70" s="396" t="s">
        <v>74</v>
      </c>
      <c r="B70" s="328"/>
      <c r="C70" s="328"/>
      <c r="D70" s="396" t="s">
        <v>81</v>
      </c>
      <c r="E70" s="328"/>
      <c r="F70" s="328"/>
      <c r="G70" s="328"/>
      <c r="H70" s="328"/>
      <c r="I70" s="328"/>
      <c r="J70" s="328"/>
      <c r="K70" s="328"/>
      <c r="L70" s="209"/>
      <c r="M70" s="226"/>
      <c r="N70" s="343">
        <v>1000</v>
      </c>
      <c r="O70" s="343">
        <v>1000</v>
      </c>
      <c r="P70" s="228">
        <v>1000</v>
      </c>
      <c r="Q70" s="228">
        <v>1000</v>
      </c>
      <c r="R70" s="227">
        <v>1000</v>
      </c>
      <c r="S70" s="227">
        <v>1000</v>
      </c>
      <c r="T70" s="227">
        <v>1000</v>
      </c>
      <c r="U70" s="227">
        <v>1000</v>
      </c>
      <c r="V70" s="227">
        <v>1000</v>
      </c>
      <c r="X70" s="656"/>
      <c r="Y70" s="657"/>
      <c r="Z70" s="698"/>
      <c r="AA70" s="699"/>
    </row>
    <row r="71" spans="1:60" ht="24" customHeight="1">
      <c r="A71" s="396" t="s">
        <v>73</v>
      </c>
      <c r="B71" s="328"/>
      <c r="C71" s="328"/>
      <c r="D71" s="396" t="s">
        <v>80</v>
      </c>
      <c r="E71" s="328"/>
      <c r="F71" s="328"/>
      <c r="G71" s="328"/>
      <c r="H71" s="328"/>
      <c r="I71" s="328"/>
      <c r="J71" s="328"/>
      <c r="K71" s="328"/>
      <c r="L71" s="209"/>
      <c r="M71" s="226"/>
      <c r="N71" s="343">
        <v>8535</v>
      </c>
      <c r="O71" s="343">
        <v>10137</v>
      </c>
      <c r="P71" s="228">
        <v>11000</v>
      </c>
      <c r="Q71" s="228">
        <v>11000</v>
      </c>
      <c r="R71" s="227">
        <v>11000</v>
      </c>
      <c r="S71" s="227">
        <v>11000</v>
      </c>
      <c r="T71" s="227">
        <v>11000</v>
      </c>
      <c r="U71" s="227">
        <v>11000</v>
      </c>
      <c r="V71" s="227">
        <v>11000</v>
      </c>
      <c r="X71" s="656"/>
      <c r="Y71" s="657"/>
      <c r="Z71" s="698"/>
      <c r="AA71" s="699"/>
    </row>
    <row r="72" spans="1:60" ht="24" customHeight="1">
      <c r="A72" s="396" t="s">
        <v>72</v>
      </c>
      <c r="B72" s="328"/>
      <c r="C72" s="328"/>
      <c r="D72" s="396" t="s">
        <v>79</v>
      </c>
      <c r="E72" s="328"/>
      <c r="F72" s="328"/>
      <c r="G72" s="328"/>
      <c r="H72" s="328"/>
      <c r="I72" s="328"/>
      <c r="J72" s="328"/>
      <c r="K72" s="328"/>
      <c r="L72" s="209"/>
      <c r="M72" s="226"/>
      <c r="N72" s="343">
        <v>5800</v>
      </c>
      <c r="O72" s="343">
        <v>4267</v>
      </c>
      <c r="P72" s="228">
        <v>6500</v>
      </c>
      <c r="Q72" s="228">
        <v>1000</v>
      </c>
      <c r="R72" s="227">
        <v>6500</v>
      </c>
      <c r="S72" s="227">
        <v>6500</v>
      </c>
      <c r="T72" s="227">
        <v>6500</v>
      </c>
      <c r="U72" s="227">
        <v>6500</v>
      </c>
      <c r="V72" s="227">
        <v>6500</v>
      </c>
      <c r="X72" s="656"/>
      <c r="Y72" s="657"/>
      <c r="Z72" s="698"/>
      <c r="AA72" s="699"/>
    </row>
    <row r="73" spans="1:60" ht="24" customHeight="1">
      <c r="A73" s="396" t="s">
        <v>71</v>
      </c>
      <c r="B73" s="328"/>
      <c r="C73" s="328"/>
      <c r="D73" s="396" t="s">
        <v>78</v>
      </c>
      <c r="E73" s="328"/>
      <c r="F73" s="328"/>
      <c r="G73" s="328"/>
      <c r="H73" s="328"/>
      <c r="I73" s="328"/>
      <c r="J73" s="328"/>
      <c r="K73" s="328"/>
      <c r="L73" s="209"/>
      <c r="M73" s="226"/>
      <c r="N73" s="343">
        <v>48270</v>
      </c>
      <c r="O73" s="343">
        <v>47205</v>
      </c>
      <c r="P73" s="228">
        <v>52000</v>
      </c>
      <c r="Q73" s="228">
        <v>52000</v>
      </c>
      <c r="R73" s="227">
        <v>52000</v>
      </c>
      <c r="S73" s="227">
        <v>52000</v>
      </c>
      <c r="T73" s="227">
        <v>52000</v>
      </c>
      <c r="U73" s="227">
        <v>52000</v>
      </c>
      <c r="V73" s="227">
        <v>52000</v>
      </c>
      <c r="X73" s="656"/>
      <c r="Y73" s="657"/>
      <c r="Z73" s="657"/>
      <c r="AA73" s="657"/>
    </row>
    <row r="74" spans="1:60" ht="24" customHeight="1">
      <c r="A74" s="396" t="s">
        <v>1343</v>
      </c>
      <c r="B74" s="328"/>
      <c r="C74" s="328"/>
      <c r="D74" s="396" t="s">
        <v>77</v>
      </c>
      <c r="E74" s="328"/>
      <c r="F74" s="328"/>
      <c r="G74" s="328"/>
      <c r="H74" s="328"/>
      <c r="I74" s="328"/>
      <c r="J74" s="328"/>
      <c r="K74" s="328"/>
      <c r="L74" s="209"/>
      <c r="M74" s="226"/>
      <c r="N74" s="343">
        <v>232228</v>
      </c>
      <c r="O74" s="343">
        <v>268329</v>
      </c>
      <c r="P74" s="228">
        <v>264599</v>
      </c>
      <c r="Q74" s="228">
        <v>264599</v>
      </c>
      <c r="R74" s="227">
        <v>351153</v>
      </c>
      <c r="S74" s="227">
        <v>361688</v>
      </c>
      <c r="T74" s="227">
        <v>374347</v>
      </c>
      <c r="U74" s="227">
        <v>387449</v>
      </c>
      <c r="V74" s="227">
        <v>401010</v>
      </c>
      <c r="X74" s="656"/>
      <c r="Y74" s="657"/>
      <c r="Z74" s="739"/>
      <c r="AA74" s="739"/>
      <c r="AD74" s="244"/>
    </row>
    <row r="75" spans="1:60" s="203" customFormat="1" ht="24" customHeight="1">
      <c r="A75" s="396" t="s">
        <v>1096</v>
      </c>
      <c r="B75" s="328"/>
      <c r="C75" s="328"/>
      <c r="D75" s="396" t="s">
        <v>76</v>
      </c>
      <c r="E75" s="328"/>
      <c r="F75" s="328"/>
      <c r="G75" s="328"/>
      <c r="H75" s="328"/>
      <c r="I75" s="328"/>
      <c r="J75" s="328"/>
      <c r="K75" s="328"/>
      <c r="L75" s="209"/>
      <c r="M75" s="226"/>
      <c r="N75" s="343">
        <v>0</v>
      </c>
      <c r="O75" s="343">
        <v>0</v>
      </c>
      <c r="P75" s="228">
        <v>22000</v>
      </c>
      <c r="Q75" s="228">
        <v>22000</v>
      </c>
      <c r="R75" s="227">
        <v>0</v>
      </c>
      <c r="S75" s="227">
        <v>0</v>
      </c>
      <c r="T75" s="227">
        <v>0</v>
      </c>
      <c r="U75" s="227">
        <v>0</v>
      </c>
      <c r="V75" s="227">
        <v>0</v>
      </c>
      <c r="W75" s="324"/>
      <c r="X75" s="656"/>
      <c r="Y75" s="657"/>
      <c r="Z75" s="698"/>
      <c r="AA75" s="700"/>
      <c r="AB75" s="326"/>
      <c r="AC75" s="326"/>
      <c r="AD75" s="326"/>
      <c r="AE75" s="326"/>
      <c r="AF75" s="326"/>
      <c r="AG75" s="326"/>
      <c r="AH75" s="326"/>
      <c r="AI75" s="326"/>
      <c r="AJ75" s="326"/>
      <c r="AK75" s="326"/>
      <c r="AL75" s="326"/>
      <c r="AM75" s="326"/>
      <c r="AN75" s="326"/>
      <c r="AO75" s="326"/>
      <c r="AP75" s="326"/>
      <c r="AQ75" s="326"/>
      <c r="AR75" s="326"/>
      <c r="AS75" s="326"/>
      <c r="AT75" s="326"/>
      <c r="AU75" s="326"/>
      <c r="AV75" s="326"/>
      <c r="AW75" s="326"/>
      <c r="AX75" s="326"/>
      <c r="AY75" s="326"/>
      <c r="AZ75" s="326"/>
      <c r="BA75" s="326"/>
      <c r="BB75" s="326"/>
      <c r="BC75" s="326"/>
      <c r="BD75" s="326"/>
      <c r="BE75" s="326"/>
      <c r="BF75" s="326"/>
      <c r="BG75" s="326"/>
      <c r="BH75" s="326"/>
    </row>
    <row r="76" spans="1:60" ht="24" customHeight="1">
      <c r="A76" s="396" t="s">
        <v>70</v>
      </c>
      <c r="B76" s="328"/>
      <c r="C76" s="328"/>
      <c r="D76" s="396" t="s">
        <v>15</v>
      </c>
      <c r="E76" s="328"/>
      <c r="F76" s="328"/>
      <c r="G76" s="328"/>
      <c r="H76" s="328"/>
      <c r="I76" s="328"/>
      <c r="J76" s="328"/>
      <c r="K76" s="328"/>
      <c r="L76" s="209"/>
      <c r="M76" s="214"/>
      <c r="N76" s="339">
        <v>1140</v>
      </c>
      <c r="O76" s="339">
        <v>0</v>
      </c>
      <c r="P76" s="216">
        <v>500</v>
      </c>
      <c r="Q76" s="216">
        <v>500</v>
      </c>
      <c r="R76" s="215">
        <v>500</v>
      </c>
      <c r="S76" s="215">
        <v>500</v>
      </c>
      <c r="T76" s="215">
        <v>500</v>
      </c>
      <c r="U76" s="215">
        <v>500</v>
      </c>
      <c r="V76" s="215">
        <v>500</v>
      </c>
      <c r="X76" s="656"/>
      <c r="Y76" s="657"/>
      <c r="Z76" s="698"/>
      <c r="AA76" s="700"/>
    </row>
    <row r="77" spans="1:60" ht="24" customHeight="1">
      <c r="A77" s="396" t="s">
        <v>84</v>
      </c>
      <c r="B77" s="328"/>
      <c r="C77" s="328"/>
      <c r="D77" s="396" t="s">
        <v>8</v>
      </c>
      <c r="E77" s="328"/>
      <c r="F77" s="328"/>
      <c r="G77" s="328"/>
      <c r="H77" s="328"/>
      <c r="I77" s="328"/>
      <c r="J77" s="328"/>
      <c r="K77" s="328"/>
      <c r="L77" s="209"/>
      <c r="M77" s="210"/>
      <c r="N77" s="339">
        <v>27723</v>
      </c>
      <c r="O77" s="339">
        <v>32561</v>
      </c>
      <c r="P77" s="216">
        <v>38125</v>
      </c>
      <c r="Q77" s="216">
        <v>38125</v>
      </c>
      <c r="R77" s="215">
        <v>47482</v>
      </c>
      <c r="S77" s="215">
        <v>56728</v>
      </c>
      <c r="T77" s="215">
        <v>61858</v>
      </c>
      <c r="U77" s="215">
        <v>67435</v>
      </c>
      <c r="V77" s="215">
        <v>73583</v>
      </c>
      <c r="X77" s="656"/>
      <c r="Y77" s="657"/>
      <c r="Z77" s="698"/>
      <c r="AA77" s="700"/>
    </row>
    <row r="78" spans="1:60" ht="24" customHeight="1">
      <c r="A78" s="396" t="s">
        <v>83</v>
      </c>
      <c r="B78" s="328"/>
      <c r="C78" s="328"/>
      <c r="D78" s="396" t="s">
        <v>9</v>
      </c>
      <c r="E78" s="328"/>
      <c r="F78" s="328"/>
      <c r="G78" s="328"/>
      <c r="H78" s="328"/>
      <c r="I78" s="328"/>
      <c r="J78" s="328"/>
      <c r="K78" s="328"/>
      <c r="L78" s="209"/>
      <c r="M78" s="214"/>
      <c r="N78" s="339">
        <v>21347</v>
      </c>
      <c r="O78" s="339">
        <v>23994</v>
      </c>
      <c r="P78" s="216">
        <v>27087</v>
      </c>
      <c r="Q78" s="216">
        <v>27087</v>
      </c>
      <c r="R78" s="215">
        <v>31887</v>
      </c>
      <c r="S78" s="227">
        <v>32844</v>
      </c>
      <c r="T78" s="227">
        <v>33994</v>
      </c>
      <c r="U78" s="227">
        <v>35184</v>
      </c>
      <c r="V78" s="227">
        <v>36415</v>
      </c>
      <c r="X78" s="656"/>
      <c r="Y78" s="657"/>
      <c r="Z78" s="698"/>
      <c r="AA78" s="700"/>
    </row>
    <row r="79" spans="1:60" ht="24" customHeight="1">
      <c r="A79" s="396" t="s">
        <v>688</v>
      </c>
      <c r="B79" s="328"/>
      <c r="C79" s="328"/>
      <c r="D79" s="396" t="s">
        <v>13</v>
      </c>
      <c r="E79" s="328"/>
      <c r="F79" s="328"/>
      <c r="G79" s="328"/>
      <c r="H79" s="328"/>
      <c r="I79" s="328"/>
      <c r="J79" s="328"/>
      <c r="K79" s="328"/>
      <c r="L79" s="209"/>
      <c r="M79" s="229"/>
      <c r="N79" s="341">
        <v>0</v>
      </c>
      <c r="O79" s="341">
        <v>69719</v>
      </c>
      <c r="P79" s="224">
        <v>78075</v>
      </c>
      <c r="Q79" s="224">
        <v>78075</v>
      </c>
      <c r="R79" s="223">
        <v>114769</v>
      </c>
      <c r="S79" s="223">
        <f>ROUND(R79*1.08,0)</f>
        <v>123951</v>
      </c>
      <c r="T79" s="223">
        <f t="shared" ref="T79:V79" si="7">ROUND(S79*1.08,0)</f>
        <v>133867</v>
      </c>
      <c r="U79" s="223">
        <f t="shared" si="7"/>
        <v>144576</v>
      </c>
      <c r="V79" s="223">
        <f t="shared" si="7"/>
        <v>156142</v>
      </c>
      <c r="X79" s="656"/>
      <c r="Y79" s="657"/>
      <c r="Z79" s="656"/>
      <c r="AA79" s="657"/>
      <c r="AB79" s="213"/>
      <c r="AC79" s="213"/>
      <c r="AD79" s="244"/>
    </row>
    <row r="80" spans="1:60" ht="24" customHeight="1">
      <c r="A80" s="396" t="s">
        <v>689</v>
      </c>
      <c r="B80" s="328"/>
      <c r="C80" s="328"/>
      <c r="D80" s="396" t="s">
        <v>207</v>
      </c>
      <c r="E80" s="328"/>
      <c r="F80" s="328"/>
      <c r="G80" s="328"/>
      <c r="H80" s="328"/>
      <c r="I80" s="328"/>
      <c r="J80" s="328"/>
      <c r="K80" s="328"/>
      <c r="L80" s="209"/>
      <c r="M80" s="229"/>
      <c r="N80" s="341">
        <v>0</v>
      </c>
      <c r="O80" s="341">
        <v>580</v>
      </c>
      <c r="P80" s="224">
        <v>476</v>
      </c>
      <c r="Q80" s="224">
        <v>400</v>
      </c>
      <c r="R80" s="223">
        <v>559</v>
      </c>
      <c r="S80" s="223">
        <f>ROUND(R80*1.01,0)</f>
        <v>565</v>
      </c>
      <c r="T80" s="223">
        <f t="shared" ref="T80:V80" si="8">ROUND(S80*1.01,0)</f>
        <v>571</v>
      </c>
      <c r="U80" s="223">
        <f t="shared" si="8"/>
        <v>577</v>
      </c>
      <c r="V80" s="223">
        <f t="shared" si="8"/>
        <v>583</v>
      </c>
      <c r="X80" s="656"/>
      <c r="Y80" s="657"/>
      <c r="Z80" s="656"/>
      <c r="AA80" s="657"/>
      <c r="AB80" s="213"/>
      <c r="AC80" s="213"/>
      <c r="AD80" s="244"/>
    </row>
    <row r="81" spans="1:30" ht="24" customHeight="1">
      <c r="A81" s="396" t="s">
        <v>690</v>
      </c>
      <c r="B81" s="328"/>
      <c r="C81" s="328"/>
      <c r="D81" s="396" t="s">
        <v>714</v>
      </c>
      <c r="E81" s="328"/>
      <c r="F81" s="328"/>
      <c r="G81" s="328"/>
      <c r="H81" s="328"/>
      <c r="I81" s="328"/>
      <c r="J81" s="328"/>
      <c r="K81" s="328"/>
      <c r="L81" s="209"/>
      <c r="M81" s="229"/>
      <c r="N81" s="341">
        <v>0</v>
      </c>
      <c r="O81" s="341">
        <v>5202</v>
      </c>
      <c r="P81" s="224">
        <v>5628</v>
      </c>
      <c r="Q81" s="224">
        <v>4500</v>
      </c>
      <c r="R81" s="223">
        <v>6376</v>
      </c>
      <c r="S81" s="223">
        <f>ROUND(R81*1.05,0)</f>
        <v>6695</v>
      </c>
      <c r="T81" s="223">
        <f t="shared" ref="T81:V81" si="9">ROUND(S81*1.05,0)</f>
        <v>7030</v>
      </c>
      <c r="U81" s="223">
        <f t="shared" si="9"/>
        <v>7382</v>
      </c>
      <c r="V81" s="223">
        <f t="shared" si="9"/>
        <v>7751</v>
      </c>
      <c r="X81" s="656"/>
      <c r="Y81" s="657"/>
      <c r="Z81" s="656"/>
      <c r="AA81" s="657"/>
      <c r="AB81" s="213"/>
      <c r="AC81" s="213"/>
      <c r="AD81" s="244"/>
    </row>
    <row r="82" spans="1:30" ht="24" customHeight="1">
      <c r="A82" s="396" t="s">
        <v>715</v>
      </c>
      <c r="B82" s="328"/>
      <c r="C82" s="328"/>
      <c r="D82" s="396" t="s">
        <v>716</v>
      </c>
      <c r="E82" s="328"/>
      <c r="F82" s="328"/>
      <c r="G82" s="328"/>
      <c r="H82" s="328"/>
      <c r="I82" s="328"/>
      <c r="J82" s="328"/>
      <c r="K82" s="328"/>
      <c r="L82" s="209"/>
      <c r="M82" s="229"/>
      <c r="N82" s="341">
        <v>0</v>
      </c>
      <c r="O82" s="341">
        <v>562</v>
      </c>
      <c r="P82" s="224">
        <v>590</v>
      </c>
      <c r="Q82" s="224">
        <v>570</v>
      </c>
      <c r="R82" s="223">
        <v>775</v>
      </c>
      <c r="S82" s="223">
        <f>ROUND(R82*1.03,0)</f>
        <v>798</v>
      </c>
      <c r="T82" s="223">
        <f t="shared" ref="T82:V82" si="10">ROUND(S82*1.03,0)</f>
        <v>822</v>
      </c>
      <c r="U82" s="223">
        <f t="shared" si="10"/>
        <v>847</v>
      </c>
      <c r="V82" s="223">
        <f t="shared" si="10"/>
        <v>872</v>
      </c>
      <c r="X82" s="656"/>
      <c r="Y82" s="657"/>
      <c r="Z82" s="656"/>
      <c r="AA82" s="657"/>
      <c r="AB82" s="213"/>
      <c r="AC82" s="213"/>
      <c r="AD82" s="244"/>
    </row>
    <row r="83" spans="1:30" ht="24" customHeight="1">
      <c r="A83" s="396" t="s">
        <v>881</v>
      </c>
      <c r="B83" s="328"/>
      <c r="C83" s="328"/>
      <c r="D83" s="744" t="s">
        <v>895</v>
      </c>
      <c r="E83" s="744"/>
      <c r="F83" s="744"/>
      <c r="G83" s="744"/>
      <c r="H83" s="744"/>
      <c r="I83" s="744"/>
      <c r="J83" s="744"/>
      <c r="K83" s="744"/>
      <c r="L83" s="245"/>
      <c r="M83" s="229"/>
      <c r="N83" s="340">
        <v>0</v>
      </c>
      <c r="O83" s="340">
        <v>96881</v>
      </c>
      <c r="P83" s="224">
        <v>94874</v>
      </c>
      <c r="Q83" s="224">
        <v>85000</v>
      </c>
      <c r="R83" s="223">
        <v>81548</v>
      </c>
      <c r="S83" s="223">
        <f>ROUND(R83*1.08,0)</f>
        <v>88072</v>
      </c>
      <c r="T83" s="223">
        <f t="shared" ref="T83:V83" si="11">ROUND(S83*1.08,0)</f>
        <v>95118</v>
      </c>
      <c r="U83" s="223">
        <f t="shared" si="11"/>
        <v>102727</v>
      </c>
      <c r="V83" s="223">
        <f t="shared" si="11"/>
        <v>110945</v>
      </c>
      <c r="X83" s="656"/>
      <c r="Y83" s="657"/>
      <c r="Z83" s="656"/>
      <c r="AA83" s="657"/>
      <c r="AB83" s="213"/>
      <c r="AC83" s="213"/>
    </row>
    <row r="84" spans="1:30" ht="24" customHeight="1">
      <c r="A84" s="396" t="s">
        <v>882</v>
      </c>
      <c r="B84" s="328"/>
      <c r="C84" s="328"/>
      <c r="D84" s="744" t="s">
        <v>896</v>
      </c>
      <c r="E84" s="744"/>
      <c r="F84" s="744"/>
      <c r="G84" s="744"/>
      <c r="H84" s="744"/>
      <c r="I84" s="744"/>
      <c r="J84" s="744"/>
      <c r="K84" s="744"/>
      <c r="L84" s="245"/>
      <c r="M84" s="229"/>
      <c r="N84" s="340">
        <v>0</v>
      </c>
      <c r="O84" s="340">
        <v>682</v>
      </c>
      <c r="P84" s="224">
        <v>682</v>
      </c>
      <c r="Q84" s="224">
        <v>650</v>
      </c>
      <c r="R84" s="223">
        <v>644</v>
      </c>
      <c r="S84" s="223">
        <f>ROUND(R84*1.01,0)</f>
        <v>650</v>
      </c>
      <c r="T84" s="223">
        <f t="shared" ref="T84:V84" si="12">ROUND(S84*1.01,0)</f>
        <v>657</v>
      </c>
      <c r="U84" s="223">
        <f t="shared" si="12"/>
        <v>664</v>
      </c>
      <c r="V84" s="223">
        <f t="shared" si="12"/>
        <v>671</v>
      </c>
      <c r="X84" s="656"/>
      <c r="Y84" s="657"/>
      <c r="Z84" s="656"/>
      <c r="AA84" s="657"/>
      <c r="AB84" s="213"/>
      <c r="AC84" s="213"/>
    </row>
    <row r="85" spans="1:30" ht="24" customHeight="1">
      <c r="A85" s="396" t="s">
        <v>883</v>
      </c>
      <c r="B85" s="328"/>
      <c r="C85" s="328"/>
      <c r="D85" s="744" t="s">
        <v>897</v>
      </c>
      <c r="E85" s="744"/>
      <c r="F85" s="744"/>
      <c r="G85" s="744"/>
      <c r="H85" s="744"/>
      <c r="I85" s="744"/>
      <c r="J85" s="744"/>
      <c r="K85" s="744"/>
      <c r="L85" s="245"/>
      <c r="M85" s="229"/>
      <c r="N85" s="340">
        <v>0</v>
      </c>
      <c r="O85" s="340">
        <v>7202</v>
      </c>
      <c r="P85" s="224">
        <v>6765</v>
      </c>
      <c r="Q85" s="224">
        <v>4750</v>
      </c>
      <c r="R85" s="223">
        <v>4593</v>
      </c>
      <c r="S85" s="223">
        <f>ROUND(R85*1.05,0)</f>
        <v>4823</v>
      </c>
      <c r="T85" s="223">
        <f t="shared" ref="T85:V85" si="13">ROUND(S85*1.05,0)</f>
        <v>5064</v>
      </c>
      <c r="U85" s="223">
        <f t="shared" si="13"/>
        <v>5317</v>
      </c>
      <c r="V85" s="223">
        <f t="shared" si="13"/>
        <v>5583</v>
      </c>
      <c r="X85" s="656"/>
      <c r="Y85" s="657"/>
      <c r="Z85" s="656"/>
      <c r="AA85" s="657"/>
      <c r="AB85" s="213"/>
      <c r="AC85" s="213"/>
    </row>
    <row r="86" spans="1:30" ht="24" customHeight="1">
      <c r="A86" s="396" t="s">
        <v>884</v>
      </c>
      <c r="B86" s="328"/>
      <c r="C86" s="328"/>
      <c r="D86" s="744" t="s">
        <v>898</v>
      </c>
      <c r="E86" s="744"/>
      <c r="F86" s="744"/>
      <c r="G86" s="744"/>
      <c r="H86" s="744"/>
      <c r="I86" s="744"/>
      <c r="J86" s="744"/>
      <c r="K86" s="744"/>
      <c r="L86" s="245"/>
      <c r="M86" s="229"/>
      <c r="N86" s="340">
        <v>0</v>
      </c>
      <c r="O86" s="340">
        <v>797</v>
      </c>
      <c r="P86" s="224">
        <v>703</v>
      </c>
      <c r="Q86" s="224">
        <v>575</v>
      </c>
      <c r="R86" s="223">
        <v>557</v>
      </c>
      <c r="S86" s="223">
        <f>ROUND(R86*1.03,0)</f>
        <v>574</v>
      </c>
      <c r="T86" s="223">
        <f t="shared" ref="T86:V86" si="14">ROUND(S86*1.03,0)</f>
        <v>591</v>
      </c>
      <c r="U86" s="223">
        <f t="shared" si="14"/>
        <v>609</v>
      </c>
      <c r="V86" s="223">
        <f t="shared" si="14"/>
        <v>627</v>
      </c>
      <c r="X86" s="656"/>
      <c r="Y86" s="657"/>
      <c r="Z86" s="656"/>
      <c r="AA86" s="657"/>
      <c r="AB86" s="213"/>
      <c r="AC86" s="213"/>
    </row>
    <row r="87" spans="1:30" ht="24" customHeight="1">
      <c r="A87" s="396" t="s">
        <v>93</v>
      </c>
      <c r="B87" s="328"/>
      <c r="C87" s="328"/>
      <c r="D87" s="396" t="s">
        <v>99</v>
      </c>
      <c r="E87" s="328"/>
      <c r="F87" s="328"/>
      <c r="G87" s="328"/>
      <c r="H87" s="328"/>
      <c r="I87" s="328"/>
      <c r="J87" s="328"/>
      <c r="K87" s="328"/>
      <c r="L87" s="209"/>
      <c r="M87" s="229"/>
      <c r="N87" s="343">
        <v>1925</v>
      </c>
      <c r="O87" s="343">
        <v>3510</v>
      </c>
      <c r="P87" s="228">
        <v>3000</v>
      </c>
      <c r="Q87" s="228">
        <v>3000</v>
      </c>
      <c r="R87" s="227">
        <f>4000+1100</f>
        <v>5100</v>
      </c>
      <c r="S87" s="227">
        <f t="shared" ref="S87:V87" si="15">4000+1100</f>
        <v>5100</v>
      </c>
      <c r="T87" s="227">
        <f t="shared" si="15"/>
        <v>5100</v>
      </c>
      <c r="U87" s="227">
        <f t="shared" si="15"/>
        <v>5100</v>
      </c>
      <c r="V87" s="227">
        <f t="shared" si="15"/>
        <v>5100</v>
      </c>
    </row>
    <row r="88" spans="1:30" ht="24" customHeight="1">
      <c r="A88" s="396" t="s">
        <v>92</v>
      </c>
      <c r="B88" s="328"/>
      <c r="C88" s="328"/>
      <c r="D88" s="396" t="s">
        <v>1319</v>
      </c>
      <c r="E88" s="328"/>
      <c r="F88" s="328"/>
      <c r="G88" s="328"/>
      <c r="H88" s="328"/>
      <c r="I88" s="328"/>
      <c r="J88" s="328"/>
      <c r="K88" s="328"/>
      <c r="L88" s="209"/>
      <c r="M88" s="226"/>
      <c r="N88" s="343">
        <v>1565</v>
      </c>
      <c r="O88" s="343">
        <v>6310</v>
      </c>
      <c r="P88" s="228">
        <v>8000</v>
      </c>
      <c r="Q88" s="228">
        <v>8000</v>
      </c>
      <c r="R88" s="227">
        <f>9000+2000</f>
        <v>11000</v>
      </c>
      <c r="S88" s="227">
        <f t="shared" ref="S88:V88" si="16">9000+2000</f>
        <v>11000</v>
      </c>
      <c r="T88" s="227">
        <f t="shared" si="16"/>
        <v>11000</v>
      </c>
      <c r="U88" s="227">
        <f t="shared" si="16"/>
        <v>11000</v>
      </c>
      <c r="V88" s="227">
        <f t="shared" si="16"/>
        <v>11000</v>
      </c>
    </row>
    <row r="89" spans="1:30" ht="24" customHeight="1">
      <c r="A89" s="396" t="s">
        <v>91</v>
      </c>
      <c r="B89" s="328"/>
      <c r="C89" s="328"/>
      <c r="D89" s="396" t="s">
        <v>98</v>
      </c>
      <c r="E89" s="328"/>
      <c r="F89" s="328"/>
      <c r="G89" s="328"/>
      <c r="H89" s="328"/>
      <c r="I89" s="328"/>
      <c r="J89" s="328"/>
      <c r="K89" s="328"/>
      <c r="L89" s="209"/>
      <c r="M89" s="226"/>
      <c r="N89" s="343">
        <f>774+333</f>
        <v>1107</v>
      </c>
      <c r="O89" s="343">
        <v>716</v>
      </c>
      <c r="P89" s="228">
        <v>1000</v>
      </c>
      <c r="Q89" s="228">
        <v>1000</v>
      </c>
      <c r="R89" s="227">
        <v>1000</v>
      </c>
      <c r="S89" s="227">
        <v>1000</v>
      </c>
      <c r="T89" s="227">
        <v>1000</v>
      </c>
      <c r="U89" s="227">
        <v>1000</v>
      </c>
      <c r="V89" s="227">
        <v>1000</v>
      </c>
    </row>
    <row r="90" spans="1:30" ht="24" customHeight="1">
      <c r="A90" s="396" t="s">
        <v>90</v>
      </c>
      <c r="B90" s="328"/>
      <c r="C90" s="328"/>
      <c r="D90" s="396" t="s">
        <v>1320</v>
      </c>
      <c r="E90" s="328"/>
      <c r="F90" s="328"/>
      <c r="G90" s="328"/>
      <c r="H90" s="328"/>
      <c r="I90" s="328"/>
      <c r="J90" s="328"/>
      <c r="K90" s="328"/>
      <c r="L90" s="209"/>
      <c r="M90" s="226"/>
      <c r="N90" s="343">
        <v>5972</v>
      </c>
      <c r="O90" s="343">
        <v>5356</v>
      </c>
      <c r="P90" s="228">
        <v>5250</v>
      </c>
      <c r="Q90" s="228">
        <v>5250</v>
      </c>
      <c r="R90" s="227">
        <v>5500</v>
      </c>
      <c r="S90" s="227">
        <v>5500</v>
      </c>
      <c r="T90" s="227">
        <v>5500</v>
      </c>
      <c r="U90" s="227">
        <v>5500</v>
      </c>
      <c r="V90" s="227">
        <v>5500</v>
      </c>
    </row>
    <row r="91" spans="1:30" ht="24" customHeight="1">
      <c r="A91" s="396" t="s">
        <v>1425</v>
      </c>
      <c r="B91" s="595"/>
      <c r="C91" s="595"/>
      <c r="D91" s="396" t="s">
        <v>1426</v>
      </c>
      <c r="E91" s="595"/>
      <c r="F91" s="595"/>
      <c r="G91" s="595"/>
      <c r="H91" s="595"/>
      <c r="I91" s="595"/>
      <c r="J91" s="595"/>
      <c r="K91" s="595"/>
      <c r="L91" s="209"/>
      <c r="M91" s="226"/>
      <c r="N91" s="343">
        <v>0</v>
      </c>
      <c r="O91" s="343">
        <v>0</v>
      </c>
      <c r="P91" s="228">
        <v>11033</v>
      </c>
      <c r="Q91" s="228">
        <v>11033</v>
      </c>
      <c r="R91" s="227">
        <v>0</v>
      </c>
      <c r="S91" s="227">
        <v>0</v>
      </c>
      <c r="T91" s="227">
        <v>0</v>
      </c>
      <c r="U91" s="227">
        <v>0</v>
      </c>
      <c r="V91" s="227">
        <v>0</v>
      </c>
      <c r="X91" s="213"/>
    </row>
    <row r="92" spans="1:30" ht="24" customHeight="1">
      <c r="A92" s="396" t="s">
        <v>89</v>
      </c>
      <c r="B92" s="328"/>
      <c r="C92" s="328"/>
      <c r="D92" s="396" t="s">
        <v>265</v>
      </c>
      <c r="E92" s="328"/>
      <c r="F92" s="328"/>
      <c r="G92" s="328"/>
      <c r="H92" s="328"/>
      <c r="I92" s="328"/>
      <c r="J92" s="328"/>
      <c r="K92" s="328"/>
      <c r="L92" s="209"/>
      <c r="M92" s="226"/>
      <c r="N92" s="343">
        <v>14085</v>
      </c>
      <c r="O92" s="343">
        <v>19659</v>
      </c>
      <c r="P92" s="228">
        <v>20000</v>
      </c>
      <c r="Q92" s="228">
        <v>20000</v>
      </c>
      <c r="R92" s="227">
        <v>20000</v>
      </c>
      <c r="S92" s="227">
        <v>20000</v>
      </c>
      <c r="T92" s="227">
        <v>20000</v>
      </c>
      <c r="U92" s="227">
        <v>20000</v>
      </c>
      <c r="V92" s="227">
        <v>20000</v>
      </c>
      <c r="X92" s="213"/>
    </row>
    <row r="93" spans="1:30" ht="24" customHeight="1">
      <c r="A93" s="396" t="s">
        <v>860</v>
      </c>
      <c r="B93" s="328"/>
      <c r="C93" s="328"/>
      <c r="D93" s="396" t="s">
        <v>50</v>
      </c>
      <c r="E93" s="328"/>
      <c r="F93" s="328"/>
      <c r="G93" s="328"/>
      <c r="H93" s="328"/>
      <c r="I93" s="328"/>
      <c r="J93" s="328"/>
      <c r="K93" s="328"/>
      <c r="L93" s="209"/>
      <c r="M93" s="226"/>
      <c r="N93" s="343">
        <v>0</v>
      </c>
      <c r="O93" s="343">
        <v>154</v>
      </c>
      <c r="P93" s="228">
        <v>500</v>
      </c>
      <c r="Q93" s="228">
        <v>500</v>
      </c>
      <c r="R93" s="227">
        <v>500</v>
      </c>
      <c r="S93" s="227">
        <v>500</v>
      </c>
      <c r="T93" s="227">
        <v>500</v>
      </c>
      <c r="U93" s="227">
        <v>500</v>
      </c>
      <c r="V93" s="227">
        <v>500</v>
      </c>
    </row>
    <row r="94" spans="1:30" ht="24" customHeight="1">
      <c r="A94" s="396" t="s">
        <v>230</v>
      </c>
      <c r="B94" s="328"/>
      <c r="C94" s="328"/>
      <c r="D94" s="396" t="s">
        <v>96</v>
      </c>
      <c r="E94" s="328"/>
      <c r="F94" s="328"/>
      <c r="G94" s="328"/>
      <c r="H94" s="328"/>
      <c r="I94" s="328"/>
      <c r="J94" s="328"/>
      <c r="K94" s="328"/>
      <c r="L94" s="209"/>
      <c r="M94" s="226"/>
      <c r="N94" s="343">
        <v>3902</v>
      </c>
      <c r="O94" s="343">
        <v>4904</v>
      </c>
      <c r="P94" s="228">
        <v>8000</v>
      </c>
      <c r="Q94" s="228">
        <v>8000</v>
      </c>
      <c r="R94" s="227">
        <v>8000</v>
      </c>
      <c r="S94" s="227">
        <v>8000</v>
      </c>
      <c r="T94" s="227">
        <v>8000</v>
      </c>
      <c r="U94" s="227">
        <v>8000</v>
      </c>
      <c r="V94" s="227">
        <v>8000</v>
      </c>
    </row>
    <row r="95" spans="1:30" ht="24" customHeight="1">
      <c r="A95" s="396" t="s">
        <v>88</v>
      </c>
      <c r="B95" s="328"/>
      <c r="C95" s="328"/>
      <c r="D95" s="396" t="s">
        <v>97</v>
      </c>
      <c r="E95" s="553"/>
      <c r="F95" s="553"/>
      <c r="G95" s="553"/>
      <c r="H95" s="553"/>
      <c r="I95" s="553"/>
      <c r="J95" s="553"/>
      <c r="K95" s="553"/>
      <c r="L95" s="209"/>
      <c r="M95" s="226"/>
      <c r="N95" s="343">
        <v>4449</v>
      </c>
      <c r="O95" s="343">
        <v>-335</v>
      </c>
      <c r="P95" s="228">
        <v>14000</v>
      </c>
      <c r="Q95" s="228">
        <v>14000</v>
      </c>
      <c r="R95" s="227">
        <v>8000</v>
      </c>
      <c r="S95" s="227">
        <v>8000</v>
      </c>
      <c r="T95" s="227">
        <v>8000</v>
      </c>
      <c r="U95" s="227">
        <v>8000</v>
      </c>
      <c r="V95" s="227">
        <v>8000</v>
      </c>
    </row>
    <row r="96" spans="1:30" ht="24" customHeight="1">
      <c r="A96" s="396" t="s">
        <v>1177</v>
      </c>
      <c r="B96" s="397"/>
      <c r="C96" s="397"/>
      <c r="D96" s="396" t="s">
        <v>1321</v>
      </c>
      <c r="E96" s="397"/>
      <c r="F96" s="397"/>
      <c r="G96" s="397"/>
      <c r="H96" s="397"/>
      <c r="I96" s="397"/>
      <c r="J96" s="397"/>
      <c r="K96" s="397"/>
      <c r="L96" s="218"/>
      <c r="M96" s="214"/>
      <c r="N96" s="339">
        <v>12368</v>
      </c>
      <c r="O96" s="339">
        <v>16701</v>
      </c>
      <c r="P96" s="216">
        <v>16600</v>
      </c>
      <c r="Q96" s="216">
        <v>16600</v>
      </c>
      <c r="R96" s="215">
        <v>17000</v>
      </c>
      <c r="S96" s="215">
        <v>17000</v>
      </c>
      <c r="T96" s="215">
        <v>17000</v>
      </c>
      <c r="U96" s="215">
        <v>17000</v>
      </c>
      <c r="V96" s="215">
        <v>17000</v>
      </c>
    </row>
    <row r="97" spans="1:29" ht="24" customHeight="1">
      <c r="A97" s="396" t="s">
        <v>87</v>
      </c>
      <c r="B97" s="328"/>
      <c r="C97" s="328"/>
      <c r="D97" s="396" t="s">
        <v>10</v>
      </c>
      <c r="E97" s="328"/>
      <c r="F97" s="328"/>
      <c r="G97" s="328"/>
      <c r="H97" s="328"/>
      <c r="I97" s="328"/>
      <c r="J97" s="328"/>
      <c r="K97" s="328"/>
      <c r="L97" s="209"/>
      <c r="M97" s="226"/>
      <c r="N97" s="343">
        <v>13581</v>
      </c>
      <c r="O97" s="343">
        <v>8722</v>
      </c>
      <c r="P97" s="228">
        <v>20000</v>
      </c>
      <c r="Q97" s="228">
        <v>20000</v>
      </c>
      <c r="R97" s="227">
        <v>20000</v>
      </c>
      <c r="S97" s="227">
        <v>20000</v>
      </c>
      <c r="T97" s="227">
        <v>20000</v>
      </c>
      <c r="U97" s="227">
        <v>20000</v>
      </c>
      <c r="V97" s="227">
        <v>20000</v>
      </c>
    </row>
    <row r="98" spans="1:29" ht="24" customHeight="1">
      <c r="A98" s="396" t="s">
        <v>86</v>
      </c>
      <c r="B98" s="328"/>
      <c r="C98" s="328"/>
      <c r="D98" s="396" t="s">
        <v>1445</v>
      </c>
      <c r="E98" s="328"/>
      <c r="F98" s="328"/>
      <c r="G98" s="328"/>
      <c r="H98" s="328"/>
      <c r="I98" s="328"/>
      <c r="J98" s="328"/>
      <c r="K98" s="328"/>
      <c r="L98" s="209"/>
      <c r="M98" s="226"/>
      <c r="N98" s="343">
        <v>23550</v>
      </c>
      <c r="O98" s="343">
        <v>23550</v>
      </c>
      <c r="P98" s="228">
        <v>30000</v>
      </c>
      <c r="Q98" s="228">
        <v>30000</v>
      </c>
      <c r="R98" s="227">
        <v>30000</v>
      </c>
      <c r="S98" s="227">
        <v>30000</v>
      </c>
      <c r="T98" s="227">
        <v>30000</v>
      </c>
      <c r="U98" s="227">
        <v>30000</v>
      </c>
      <c r="V98" s="227">
        <v>30000</v>
      </c>
    </row>
    <row r="99" spans="1:29" ht="24" customHeight="1">
      <c r="A99" s="396" t="s">
        <v>85</v>
      </c>
      <c r="B99" s="328"/>
      <c r="C99" s="328"/>
      <c r="D99" s="396" t="s">
        <v>18</v>
      </c>
      <c r="E99" s="543"/>
      <c r="F99" s="543"/>
      <c r="G99" s="543"/>
      <c r="H99" s="543"/>
      <c r="I99" s="543"/>
      <c r="J99" s="543"/>
      <c r="K99" s="543"/>
      <c r="L99" s="209"/>
      <c r="M99" s="226"/>
      <c r="N99" s="343">
        <v>13887</v>
      </c>
      <c r="O99" s="343">
        <v>16636</v>
      </c>
      <c r="P99" s="228">
        <v>18900</v>
      </c>
      <c r="Q99" s="228">
        <v>18900</v>
      </c>
      <c r="R99" s="227">
        <f>ROUND(Q99*1.15,0)</f>
        <v>21735</v>
      </c>
      <c r="S99" s="227">
        <f>ROUND(R99*1.06,0)</f>
        <v>23039</v>
      </c>
      <c r="T99" s="227">
        <f t="shared" ref="T99:V99" si="17">ROUND(S99*1.06,0)</f>
        <v>24421</v>
      </c>
      <c r="U99" s="227">
        <f t="shared" si="17"/>
        <v>25886</v>
      </c>
      <c r="V99" s="227">
        <f t="shared" si="17"/>
        <v>27439</v>
      </c>
      <c r="X99" s="217"/>
    </row>
    <row r="100" spans="1:29" ht="24" customHeight="1">
      <c r="A100" s="396" t="s">
        <v>794</v>
      </c>
      <c r="B100" s="328"/>
      <c r="C100" s="328"/>
      <c r="D100" s="396" t="s">
        <v>94</v>
      </c>
      <c r="E100" s="543"/>
      <c r="F100" s="543"/>
      <c r="G100" s="543"/>
      <c r="H100" s="543"/>
      <c r="I100" s="543"/>
      <c r="J100" s="543"/>
      <c r="K100" s="543"/>
      <c r="L100" s="209"/>
      <c r="M100" s="226"/>
      <c r="N100" s="343">
        <v>1716</v>
      </c>
      <c r="O100" s="343">
        <v>2079</v>
      </c>
      <c r="P100" s="228">
        <v>2150</v>
      </c>
      <c r="Q100" s="228">
        <v>2300</v>
      </c>
      <c r="R100" s="227">
        <v>2400</v>
      </c>
      <c r="S100" s="227">
        <v>2400</v>
      </c>
      <c r="T100" s="227">
        <v>2400</v>
      </c>
      <c r="U100" s="227">
        <v>2400</v>
      </c>
      <c r="V100" s="227">
        <v>2400</v>
      </c>
      <c r="X100" s="213"/>
    </row>
    <row r="101" spans="1:29" ht="24" customHeight="1">
      <c r="A101" s="396" t="s">
        <v>231</v>
      </c>
      <c r="B101" s="328"/>
      <c r="C101" s="328"/>
      <c r="D101" s="396" t="s">
        <v>95</v>
      </c>
      <c r="E101" s="328"/>
      <c r="F101" s="328"/>
      <c r="G101" s="328"/>
      <c r="H101" s="328"/>
      <c r="I101" s="328"/>
      <c r="J101" s="328"/>
      <c r="K101" s="328"/>
      <c r="L101" s="209"/>
      <c r="M101" s="226"/>
      <c r="N101" s="343">
        <v>14202</v>
      </c>
      <c r="O101" s="343">
        <v>14352</v>
      </c>
      <c r="P101" s="228">
        <v>14400</v>
      </c>
      <c r="Q101" s="228">
        <v>14400</v>
      </c>
      <c r="R101" s="227">
        <v>17500</v>
      </c>
      <c r="S101" s="227">
        <v>17500</v>
      </c>
      <c r="T101" s="227">
        <v>17500</v>
      </c>
      <c r="U101" s="227">
        <v>17500</v>
      </c>
      <c r="V101" s="227">
        <v>17500</v>
      </c>
    </row>
    <row r="102" spans="1:29" ht="24" customHeight="1">
      <c r="A102" s="396" t="s">
        <v>103</v>
      </c>
      <c r="B102" s="328"/>
      <c r="C102" s="328"/>
      <c r="D102" s="396" t="s">
        <v>11</v>
      </c>
      <c r="E102" s="328"/>
      <c r="F102" s="328"/>
      <c r="G102" s="328"/>
      <c r="H102" s="328"/>
      <c r="I102" s="328"/>
      <c r="J102" s="328"/>
      <c r="K102" s="328"/>
      <c r="L102" s="209"/>
      <c r="M102" s="210"/>
      <c r="N102" s="343">
        <v>8015</v>
      </c>
      <c r="O102" s="343">
        <v>9162</v>
      </c>
      <c r="P102" s="228">
        <v>12000</v>
      </c>
      <c r="Q102" s="228">
        <v>12000</v>
      </c>
      <c r="R102" s="227">
        <v>12000</v>
      </c>
      <c r="S102" s="227">
        <v>12000</v>
      </c>
      <c r="T102" s="227">
        <v>12000</v>
      </c>
      <c r="U102" s="227">
        <v>12000</v>
      </c>
      <c r="V102" s="227">
        <v>12000</v>
      </c>
    </row>
    <row r="103" spans="1:29" ht="24" customHeight="1">
      <c r="A103" s="396" t="s">
        <v>102</v>
      </c>
      <c r="B103" s="328"/>
      <c r="C103" s="328"/>
      <c r="D103" s="396" t="s">
        <v>274</v>
      </c>
      <c r="E103" s="328"/>
      <c r="F103" s="328"/>
      <c r="G103" s="328"/>
      <c r="H103" s="328"/>
      <c r="I103" s="328"/>
      <c r="J103" s="328"/>
      <c r="K103" s="328"/>
      <c r="L103" s="209"/>
      <c r="M103" s="226"/>
      <c r="N103" s="343">
        <v>0</v>
      </c>
      <c r="O103" s="343">
        <v>0</v>
      </c>
      <c r="P103" s="228">
        <v>850</v>
      </c>
      <c r="Q103" s="228">
        <v>850</v>
      </c>
      <c r="R103" s="227">
        <v>850</v>
      </c>
      <c r="S103" s="227">
        <v>850</v>
      </c>
      <c r="T103" s="227">
        <v>850</v>
      </c>
      <c r="U103" s="227">
        <v>850</v>
      </c>
      <c r="V103" s="227">
        <v>850</v>
      </c>
    </row>
    <row r="104" spans="1:29" ht="24" customHeight="1">
      <c r="A104" s="396" t="s">
        <v>101</v>
      </c>
      <c r="B104" s="328"/>
      <c r="C104" s="328"/>
      <c r="D104" s="396" t="s">
        <v>1322</v>
      </c>
      <c r="E104" s="328"/>
      <c r="F104" s="328"/>
      <c r="G104" s="328"/>
      <c r="H104" s="328"/>
      <c r="I104" s="328"/>
      <c r="J104" s="328"/>
      <c r="K104" s="328"/>
      <c r="L104" s="209"/>
      <c r="M104" s="246"/>
      <c r="N104" s="345">
        <v>69</v>
      </c>
      <c r="O104" s="345">
        <v>0</v>
      </c>
      <c r="P104" s="235">
        <v>100</v>
      </c>
      <c r="Q104" s="235">
        <v>100</v>
      </c>
      <c r="R104" s="234">
        <v>100</v>
      </c>
      <c r="S104" s="234">
        <v>100</v>
      </c>
      <c r="T104" s="234">
        <v>100</v>
      </c>
      <c r="U104" s="234">
        <v>100</v>
      </c>
      <c r="V104" s="234">
        <v>100</v>
      </c>
      <c r="X104" s="213"/>
    </row>
    <row r="105" spans="1:29" s="328" customFormat="1" ht="24" customHeight="1">
      <c r="A105" s="396"/>
      <c r="D105" s="396"/>
      <c r="L105" s="424"/>
      <c r="M105" s="425"/>
      <c r="N105" s="350">
        <f t="shared" ref="N105" si="18">SUM(N69:N104)</f>
        <v>476541</v>
      </c>
      <c r="O105" s="350">
        <f t="shared" ref="O105:V105" si="19">SUM(O69:O104)</f>
        <v>710199</v>
      </c>
      <c r="P105" s="351">
        <f t="shared" ref="P105" si="20">SUM(P69:P104)</f>
        <v>807387</v>
      </c>
      <c r="Q105" s="351">
        <f t="shared" si="19"/>
        <v>788764</v>
      </c>
      <c r="R105" s="426">
        <f t="shared" ref="R105:U105" si="21">SUM(R69:R104)</f>
        <v>903028</v>
      </c>
      <c r="S105" s="426">
        <f t="shared" si="21"/>
        <v>941377</v>
      </c>
      <c r="T105" s="426">
        <f t="shared" si="21"/>
        <v>979290</v>
      </c>
      <c r="U105" s="426">
        <f t="shared" si="21"/>
        <v>1019603</v>
      </c>
      <c r="V105" s="426">
        <f t="shared" si="19"/>
        <v>1062571</v>
      </c>
      <c r="W105" s="640"/>
    </row>
    <row r="106" spans="1:29" ht="15" customHeight="1">
      <c r="A106" s="396"/>
      <c r="B106" s="328"/>
      <c r="C106" s="328"/>
      <c r="D106" s="396"/>
      <c r="E106" s="328"/>
      <c r="F106" s="328"/>
      <c r="G106" s="328"/>
      <c r="H106" s="328"/>
      <c r="I106" s="328"/>
      <c r="J106" s="328"/>
      <c r="K106" s="328"/>
      <c r="L106" s="209"/>
      <c r="M106" s="226"/>
      <c r="N106" s="343"/>
      <c r="O106" s="343"/>
      <c r="P106" s="228"/>
      <c r="Q106" s="228"/>
      <c r="R106" s="227"/>
      <c r="S106" s="227"/>
      <c r="T106" s="227"/>
      <c r="U106" s="227"/>
      <c r="V106" s="227"/>
    </row>
    <row r="107" spans="1:29" ht="24" customHeight="1">
      <c r="A107" s="400" t="s">
        <v>657</v>
      </c>
      <c r="B107" s="328"/>
      <c r="C107" s="328"/>
      <c r="D107" s="328"/>
      <c r="E107" s="328"/>
      <c r="F107" s="328"/>
      <c r="G107" s="328"/>
      <c r="H107" s="328"/>
      <c r="I107" s="328"/>
      <c r="J107" s="328"/>
      <c r="K107" s="328"/>
      <c r="L107" s="209"/>
      <c r="N107" s="346"/>
      <c r="O107" s="346"/>
      <c r="P107" s="238"/>
      <c r="Q107" s="238"/>
      <c r="R107" s="237"/>
      <c r="S107" s="237"/>
      <c r="T107" s="237"/>
      <c r="U107" s="237"/>
      <c r="V107" s="237"/>
    </row>
    <row r="108" spans="1:29" ht="24" customHeight="1">
      <c r="A108" s="396" t="s">
        <v>106</v>
      </c>
      <c r="B108" s="399"/>
      <c r="C108" s="399"/>
      <c r="D108" s="396" t="s">
        <v>1095</v>
      </c>
      <c r="E108" s="399"/>
      <c r="F108" s="399"/>
      <c r="G108" s="399"/>
      <c r="H108" s="399"/>
      <c r="I108" s="399"/>
      <c r="J108" s="399"/>
      <c r="K108" s="399"/>
      <c r="L108" s="236"/>
      <c r="M108" s="247"/>
      <c r="N108" s="339">
        <v>170294</v>
      </c>
      <c r="O108" s="339">
        <v>176887</v>
      </c>
      <c r="P108" s="216">
        <v>189024</v>
      </c>
      <c r="Q108" s="216">
        <v>189024</v>
      </c>
      <c r="R108" s="215">
        <v>207142</v>
      </c>
      <c r="S108" s="227">
        <v>213356</v>
      </c>
      <c r="T108" s="227">
        <v>220823</v>
      </c>
      <c r="U108" s="227">
        <v>228552</v>
      </c>
      <c r="V108" s="227">
        <v>236551</v>
      </c>
      <c r="X108" s="656"/>
      <c r="Y108" s="657"/>
      <c r="Z108" s="657"/>
      <c r="AA108" s="657"/>
    </row>
    <row r="109" spans="1:29" ht="24" customHeight="1">
      <c r="A109" s="396" t="s">
        <v>108</v>
      </c>
      <c r="B109" s="397"/>
      <c r="C109" s="397"/>
      <c r="D109" s="396" t="s">
        <v>8</v>
      </c>
      <c r="E109" s="397"/>
      <c r="F109" s="397"/>
      <c r="G109" s="397"/>
      <c r="H109" s="397"/>
      <c r="I109" s="397"/>
      <c r="J109" s="397"/>
      <c r="K109" s="397"/>
      <c r="L109" s="218"/>
      <c r="M109" s="247"/>
      <c r="N109" s="339">
        <v>16586</v>
      </c>
      <c r="O109" s="339">
        <v>19266</v>
      </c>
      <c r="P109" s="216">
        <v>20742</v>
      </c>
      <c r="Q109" s="216">
        <v>20742</v>
      </c>
      <c r="R109" s="215">
        <v>24703</v>
      </c>
      <c r="S109" s="215">
        <v>27310</v>
      </c>
      <c r="T109" s="215">
        <v>29966</v>
      </c>
      <c r="U109" s="215">
        <v>32866</v>
      </c>
      <c r="V109" s="215">
        <v>36074</v>
      </c>
      <c r="X109" s="656"/>
      <c r="Y109" s="657"/>
      <c r="Z109" s="657"/>
      <c r="AA109" s="657"/>
    </row>
    <row r="110" spans="1:29" ht="24" customHeight="1">
      <c r="A110" s="396" t="s">
        <v>107</v>
      </c>
      <c r="B110" s="328"/>
      <c r="C110" s="328"/>
      <c r="D110" s="396" t="s">
        <v>9</v>
      </c>
      <c r="E110" s="328"/>
      <c r="F110" s="328"/>
      <c r="G110" s="328"/>
      <c r="H110" s="328"/>
      <c r="I110" s="328"/>
      <c r="J110" s="328"/>
      <c r="K110" s="328"/>
      <c r="L110" s="209"/>
      <c r="M110" s="247"/>
      <c r="N110" s="339">
        <v>13042</v>
      </c>
      <c r="O110" s="339">
        <v>13410</v>
      </c>
      <c r="P110" s="216">
        <v>14166</v>
      </c>
      <c r="Q110" s="216">
        <v>14166</v>
      </c>
      <c r="R110" s="215">
        <v>15674</v>
      </c>
      <c r="S110" s="227">
        <v>16144</v>
      </c>
      <c r="T110" s="227">
        <v>16709</v>
      </c>
      <c r="U110" s="227">
        <v>17294</v>
      </c>
      <c r="V110" s="227">
        <v>17899</v>
      </c>
      <c r="X110" s="656"/>
      <c r="Y110" s="657"/>
      <c r="Z110" s="657"/>
      <c r="AA110" s="657"/>
    </row>
    <row r="111" spans="1:29" ht="24" customHeight="1">
      <c r="A111" s="396" t="s">
        <v>691</v>
      </c>
      <c r="B111" s="328"/>
      <c r="C111" s="328"/>
      <c r="D111" s="396" t="s">
        <v>13</v>
      </c>
      <c r="E111" s="328"/>
      <c r="F111" s="328"/>
      <c r="G111" s="328"/>
      <c r="H111" s="328"/>
      <c r="I111" s="328"/>
      <c r="J111" s="328"/>
      <c r="K111" s="328"/>
      <c r="L111" s="209"/>
      <c r="M111" s="229"/>
      <c r="N111" s="339">
        <v>0</v>
      </c>
      <c r="O111" s="339">
        <v>23908</v>
      </c>
      <c r="P111" s="216">
        <v>25822</v>
      </c>
      <c r="Q111" s="216">
        <v>25822</v>
      </c>
      <c r="R111" s="223">
        <v>27773</v>
      </c>
      <c r="S111" s="223">
        <f>ROUND(R111*1.08,0)</f>
        <v>29995</v>
      </c>
      <c r="T111" s="223">
        <f t="shared" ref="T111:V111" si="22">ROUND(S111*1.08,0)</f>
        <v>32395</v>
      </c>
      <c r="U111" s="223">
        <f t="shared" si="22"/>
        <v>34987</v>
      </c>
      <c r="V111" s="223">
        <f t="shared" si="22"/>
        <v>37786</v>
      </c>
      <c r="X111" s="656"/>
      <c r="Y111" s="657"/>
      <c r="Z111" s="656"/>
      <c r="AA111" s="657"/>
      <c r="AC111" s="213"/>
    </row>
    <row r="112" spans="1:29" ht="24" customHeight="1">
      <c r="A112" s="396" t="s">
        <v>692</v>
      </c>
      <c r="B112" s="328"/>
      <c r="C112" s="328"/>
      <c r="D112" s="396" t="s">
        <v>207</v>
      </c>
      <c r="E112" s="328"/>
      <c r="F112" s="328"/>
      <c r="G112" s="328"/>
      <c r="H112" s="328"/>
      <c r="I112" s="328"/>
      <c r="J112" s="328"/>
      <c r="K112" s="328"/>
      <c r="L112" s="209"/>
      <c r="M112" s="229"/>
      <c r="N112" s="339">
        <v>0</v>
      </c>
      <c r="O112" s="339">
        <v>357</v>
      </c>
      <c r="P112" s="216">
        <v>357</v>
      </c>
      <c r="Q112" s="216">
        <v>333</v>
      </c>
      <c r="R112" s="223">
        <v>336</v>
      </c>
      <c r="S112" s="223">
        <f>ROUND(R112*1.01,0)</f>
        <v>339</v>
      </c>
      <c r="T112" s="223">
        <f t="shared" ref="T112:V112" si="23">ROUND(S112*1.01,0)</f>
        <v>342</v>
      </c>
      <c r="U112" s="223">
        <f t="shared" si="23"/>
        <v>345</v>
      </c>
      <c r="V112" s="223">
        <f t="shared" si="23"/>
        <v>348</v>
      </c>
      <c r="X112" s="656"/>
      <c r="Y112" s="657"/>
      <c r="Z112" s="656"/>
      <c r="AA112" s="657"/>
      <c r="AC112" s="213"/>
    </row>
    <row r="113" spans="1:29" ht="24" customHeight="1">
      <c r="A113" s="396" t="s">
        <v>693</v>
      </c>
      <c r="B113" s="328"/>
      <c r="C113" s="328"/>
      <c r="D113" s="396" t="s">
        <v>714</v>
      </c>
      <c r="E113" s="328"/>
      <c r="F113" s="328"/>
      <c r="G113" s="328"/>
      <c r="H113" s="328"/>
      <c r="I113" s="328"/>
      <c r="J113" s="328"/>
      <c r="K113" s="328"/>
      <c r="L113" s="209"/>
      <c r="M113" s="229"/>
      <c r="N113" s="339">
        <v>0</v>
      </c>
      <c r="O113" s="339">
        <v>3061</v>
      </c>
      <c r="P113" s="216">
        <v>3160</v>
      </c>
      <c r="Q113" s="216">
        <v>2750</v>
      </c>
      <c r="R113" s="223">
        <v>4216</v>
      </c>
      <c r="S113" s="223">
        <f>ROUND(R113*1.05,0)</f>
        <v>4427</v>
      </c>
      <c r="T113" s="223">
        <f t="shared" ref="T113:V113" si="24">ROUND(S113*1.05,0)</f>
        <v>4648</v>
      </c>
      <c r="U113" s="223">
        <f t="shared" si="24"/>
        <v>4880</v>
      </c>
      <c r="V113" s="223">
        <f t="shared" si="24"/>
        <v>5124</v>
      </c>
      <c r="X113" s="656"/>
      <c r="Y113" s="657"/>
      <c r="Z113" s="656"/>
      <c r="AA113" s="657"/>
      <c r="AC113" s="213"/>
    </row>
    <row r="114" spans="1:29" ht="24" customHeight="1">
      <c r="A114" s="396" t="s">
        <v>717</v>
      </c>
      <c r="B114" s="328"/>
      <c r="C114" s="328"/>
      <c r="D114" s="396" t="s">
        <v>716</v>
      </c>
      <c r="E114" s="328"/>
      <c r="F114" s="328"/>
      <c r="G114" s="328"/>
      <c r="H114" s="328"/>
      <c r="I114" s="328"/>
      <c r="J114" s="328"/>
      <c r="K114" s="328"/>
      <c r="L114" s="209"/>
      <c r="M114" s="229"/>
      <c r="N114" s="339">
        <v>0</v>
      </c>
      <c r="O114" s="339">
        <v>324</v>
      </c>
      <c r="P114" s="216">
        <v>324</v>
      </c>
      <c r="Q114" s="216">
        <v>324</v>
      </c>
      <c r="R114" s="223">
        <v>500</v>
      </c>
      <c r="S114" s="223">
        <f>ROUND(R114*1.03,0)</f>
        <v>515</v>
      </c>
      <c r="T114" s="223">
        <f t="shared" ref="T114:V114" si="25">ROUND(S114*1.03,0)</f>
        <v>530</v>
      </c>
      <c r="U114" s="223">
        <f t="shared" si="25"/>
        <v>546</v>
      </c>
      <c r="V114" s="223">
        <f t="shared" si="25"/>
        <v>562</v>
      </c>
      <c r="X114" s="656"/>
      <c r="Y114" s="657"/>
      <c r="Z114" s="656"/>
      <c r="AA114" s="657"/>
      <c r="AC114" s="213"/>
    </row>
    <row r="115" spans="1:29" ht="24" customHeight="1">
      <c r="A115" s="396" t="s">
        <v>116</v>
      </c>
      <c r="B115" s="397"/>
      <c r="C115" s="397"/>
      <c r="D115" s="396" t="s">
        <v>99</v>
      </c>
      <c r="E115" s="397"/>
      <c r="F115" s="397"/>
      <c r="G115" s="397"/>
      <c r="H115" s="397"/>
      <c r="I115" s="397"/>
      <c r="J115" s="397"/>
      <c r="K115" s="397"/>
      <c r="L115" s="218"/>
      <c r="M115" s="247"/>
      <c r="N115" s="339">
        <v>670</v>
      </c>
      <c r="O115" s="339">
        <v>1850</v>
      </c>
      <c r="P115" s="216">
        <v>2000</v>
      </c>
      <c r="Q115" s="216">
        <v>2000</v>
      </c>
      <c r="R115" s="215">
        <v>2500</v>
      </c>
      <c r="S115" s="215">
        <v>2500</v>
      </c>
      <c r="T115" s="215">
        <v>2500</v>
      </c>
      <c r="U115" s="215">
        <v>2500</v>
      </c>
      <c r="V115" s="215">
        <v>2500</v>
      </c>
    </row>
    <row r="116" spans="1:29" ht="24" customHeight="1">
      <c r="A116" s="396" t="s">
        <v>232</v>
      </c>
      <c r="B116" s="328"/>
      <c r="C116" s="328"/>
      <c r="D116" s="396" t="s">
        <v>117</v>
      </c>
      <c r="E116" s="328"/>
      <c r="F116" s="328"/>
      <c r="G116" s="328"/>
      <c r="H116" s="328"/>
      <c r="I116" s="328"/>
      <c r="J116" s="328"/>
      <c r="K116" s="328"/>
      <c r="L116" s="209"/>
      <c r="M116" s="229"/>
      <c r="N116" s="339">
        <v>44800</v>
      </c>
      <c r="O116" s="339">
        <v>31000</v>
      </c>
      <c r="P116" s="216">
        <v>31000</v>
      </c>
      <c r="Q116" s="216">
        <v>31000</v>
      </c>
      <c r="R116" s="215">
        <f>32000+3200</f>
        <v>35200</v>
      </c>
      <c r="S116" s="215">
        <f>33000+3300</f>
        <v>36300</v>
      </c>
      <c r="T116" s="215">
        <f>34000+3400</f>
        <v>37400</v>
      </c>
      <c r="U116" s="215">
        <v>40000</v>
      </c>
      <c r="V116" s="215">
        <v>40000</v>
      </c>
    </row>
    <row r="117" spans="1:29" ht="24" customHeight="1">
      <c r="A117" s="396" t="s">
        <v>115</v>
      </c>
      <c r="B117" s="328"/>
      <c r="C117" s="328"/>
      <c r="D117" s="396" t="s">
        <v>1319</v>
      </c>
      <c r="E117" s="328"/>
      <c r="F117" s="328"/>
      <c r="G117" s="328"/>
      <c r="H117" s="328"/>
      <c r="I117" s="328"/>
      <c r="J117" s="328"/>
      <c r="K117" s="328"/>
      <c r="L117" s="209"/>
      <c r="M117" s="229"/>
      <c r="N117" s="337">
        <v>237</v>
      </c>
      <c r="O117" s="337">
        <v>197</v>
      </c>
      <c r="P117" s="212">
        <v>2000</v>
      </c>
      <c r="Q117" s="212">
        <v>2000</v>
      </c>
      <c r="R117" s="211">
        <v>2000</v>
      </c>
      <c r="S117" s="211">
        <v>2000</v>
      </c>
      <c r="T117" s="211">
        <v>2000</v>
      </c>
      <c r="U117" s="211">
        <v>2000</v>
      </c>
      <c r="V117" s="211">
        <v>2000</v>
      </c>
      <c r="X117" s="213"/>
    </row>
    <row r="118" spans="1:29" ht="24" customHeight="1">
      <c r="A118" s="396" t="s">
        <v>114</v>
      </c>
      <c r="B118" s="397"/>
      <c r="C118" s="397"/>
      <c r="D118" s="396" t="s">
        <v>1320</v>
      </c>
      <c r="E118" s="397"/>
      <c r="F118" s="397"/>
      <c r="G118" s="328"/>
      <c r="H118" s="328"/>
      <c r="I118" s="328"/>
      <c r="J118" s="328"/>
      <c r="K118" s="328"/>
      <c r="L118" s="209"/>
      <c r="M118" s="229"/>
      <c r="N118" s="337">
        <v>0</v>
      </c>
      <c r="O118" s="337">
        <v>848</v>
      </c>
      <c r="P118" s="212">
        <v>1750</v>
      </c>
      <c r="Q118" s="212">
        <v>1750</v>
      </c>
      <c r="R118" s="211">
        <v>2500</v>
      </c>
      <c r="S118" s="211">
        <v>2500</v>
      </c>
      <c r="T118" s="211">
        <v>2500</v>
      </c>
      <c r="U118" s="211">
        <v>2500</v>
      </c>
      <c r="V118" s="211">
        <v>2500</v>
      </c>
      <c r="X118" s="213"/>
    </row>
    <row r="119" spans="1:29" ht="24" customHeight="1">
      <c r="A119" s="396" t="s">
        <v>113</v>
      </c>
      <c r="B119" s="328"/>
      <c r="C119" s="328"/>
      <c r="D119" s="396" t="s">
        <v>265</v>
      </c>
      <c r="E119" s="328"/>
      <c r="F119" s="328"/>
      <c r="G119" s="328"/>
      <c r="H119" s="328"/>
      <c r="I119" s="328"/>
      <c r="J119" s="328"/>
      <c r="K119" s="328"/>
      <c r="L119" s="209"/>
      <c r="M119" s="229"/>
      <c r="N119" s="337">
        <v>540</v>
      </c>
      <c r="O119" s="337">
        <v>989</v>
      </c>
      <c r="P119" s="212">
        <v>1200</v>
      </c>
      <c r="Q119" s="212">
        <v>1200</v>
      </c>
      <c r="R119" s="211">
        <v>1200</v>
      </c>
      <c r="S119" s="211">
        <v>1200</v>
      </c>
      <c r="T119" s="211">
        <v>1200</v>
      </c>
      <c r="U119" s="211">
        <v>1200</v>
      </c>
      <c r="V119" s="211">
        <v>1200</v>
      </c>
      <c r="X119" s="213"/>
    </row>
    <row r="120" spans="1:29" ht="24" customHeight="1">
      <c r="A120" s="396" t="s">
        <v>112</v>
      </c>
      <c r="B120" s="328"/>
      <c r="C120" s="328"/>
      <c r="D120" s="396" t="s">
        <v>97</v>
      </c>
      <c r="E120" s="328"/>
      <c r="F120" s="328"/>
      <c r="G120" s="397"/>
      <c r="H120" s="397"/>
      <c r="I120" s="397"/>
      <c r="J120" s="397"/>
      <c r="K120" s="397"/>
      <c r="L120" s="218"/>
      <c r="M120" s="229"/>
      <c r="N120" s="337">
        <v>648</v>
      </c>
      <c r="O120" s="337">
        <v>920</v>
      </c>
      <c r="P120" s="212">
        <v>750</v>
      </c>
      <c r="Q120" s="212">
        <v>750</v>
      </c>
      <c r="R120" s="211">
        <v>4000</v>
      </c>
      <c r="S120" s="211">
        <v>4000</v>
      </c>
      <c r="T120" s="211">
        <v>4000</v>
      </c>
      <c r="U120" s="211">
        <v>4000</v>
      </c>
      <c r="V120" s="211">
        <v>4000</v>
      </c>
    </row>
    <row r="121" spans="1:29" ht="24" customHeight="1">
      <c r="A121" s="396" t="s">
        <v>233</v>
      </c>
      <c r="B121" s="397"/>
      <c r="C121" s="397"/>
      <c r="D121" s="396" t="s">
        <v>1321</v>
      </c>
      <c r="E121" s="397"/>
      <c r="F121" s="397"/>
      <c r="G121" s="397"/>
      <c r="H121" s="397"/>
      <c r="I121" s="397"/>
      <c r="J121" s="328"/>
      <c r="K121" s="328"/>
      <c r="L121" s="209"/>
      <c r="M121" s="247"/>
      <c r="N121" s="339">
        <v>480</v>
      </c>
      <c r="O121" s="339">
        <v>535</v>
      </c>
      <c r="P121" s="216">
        <v>800</v>
      </c>
      <c r="Q121" s="216">
        <v>800</v>
      </c>
      <c r="R121" s="215">
        <v>800</v>
      </c>
      <c r="S121" s="215">
        <v>800</v>
      </c>
      <c r="T121" s="215">
        <v>800</v>
      </c>
      <c r="U121" s="215">
        <v>800</v>
      </c>
      <c r="V121" s="215">
        <v>800</v>
      </c>
    </row>
    <row r="122" spans="1:29" ht="24" customHeight="1">
      <c r="A122" s="396" t="s">
        <v>111</v>
      </c>
      <c r="B122" s="397"/>
      <c r="C122" s="397"/>
      <c r="D122" s="396" t="s">
        <v>10</v>
      </c>
      <c r="E122" s="397"/>
      <c r="F122" s="397"/>
      <c r="G122" s="328"/>
      <c r="H122" s="328"/>
      <c r="I122" s="328"/>
      <c r="J122" s="328"/>
      <c r="K122" s="328"/>
      <c r="L122" s="209"/>
      <c r="M122" s="248"/>
      <c r="N122" s="352">
        <v>27255</v>
      </c>
      <c r="O122" s="352">
        <v>20410</v>
      </c>
      <c r="P122" s="250">
        <v>40000</v>
      </c>
      <c r="Q122" s="250">
        <v>40000</v>
      </c>
      <c r="R122" s="249">
        <v>45000</v>
      </c>
      <c r="S122" s="249">
        <v>45000</v>
      </c>
      <c r="T122" s="249">
        <v>45000</v>
      </c>
      <c r="U122" s="249">
        <v>45000</v>
      </c>
      <c r="V122" s="249">
        <v>45000</v>
      </c>
    </row>
    <row r="123" spans="1:29" ht="24" customHeight="1">
      <c r="A123" s="396" t="s">
        <v>110</v>
      </c>
      <c r="B123" s="328"/>
      <c r="C123" s="328"/>
      <c r="D123" s="396" t="s">
        <v>94</v>
      </c>
      <c r="E123" s="543"/>
      <c r="F123" s="543"/>
      <c r="G123" s="543"/>
      <c r="H123" s="543"/>
      <c r="I123" s="543"/>
      <c r="J123" s="542"/>
      <c r="K123" s="542"/>
      <c r="L123" s="218"/>
      <c r="M123" s="229"/>
      <c r="N123" s="352">
        <v>5324</v>
      </c>
      <c r="O123" s="352">
        <v>1835</v>
      </c>
      <c r="P123" s="212">
        <v>2300</v>
      </c>
      <c r="Q123" s="212">
        <v>2250</v>
      </c>
      <c r="R123" s="211">
        <v>2250</v>
      </c>
      <c r="S123" s="211">
        <v>2250</v>
      </c>
      <c r="T123" s="211">
        <v>2250</v>
      </c>
      <c r="U123" s="211">
        <v>2250</v>
      </c>
      <c r="V123" s="211">
        <v>2250</v>
      </c>
    </row>
    <row r="124" spans="1:29" ht="24" customHeight="1">
      <c r="A124" s="396" t="s">
        <v>109</v>
      </c>
      <c r="B124" s="513"/>
      <c r="C124" s="513"/>
      <c r="D124" s="396" t="s">
        <v>1323</v>
      </c>
      <c r="E124" s="513"/>
      <c r="F124" s="513"/>
      <c r="G124" s="513"/>
      <c r="H124" s="513"/>
      <c r="I124" s="513"/>
      <c r="J124" s="513"/>
      <c r="K124" s="513"/>
      <c r="L124" s="266"/>
      <c r="M124" s="514"/>
      <c r="N124" s="352">
        <v>250</v>
      </c>
      <c r="O124" s="352">
        <v>0</v>
      </c>
      <c r="P124" s="250">
        <v>750</v>
      </c>
      <c r="Q124" s="250">
        <v>0</v>
      </c>
      <c r="R124" s="249">
        <v>0</v>
      </c>
      <c r="S124" s="249">
        <v>0</v>
      </c>
      <c r="T124" s="249">
        <v>0</v>
      </c>
      <c r="U124" s="249">
        <v>0</v>
      </c>
      <c r="V124" s="249">
        <v>0</v>
      </c>
    </row>
    <row r="125" spans="1:29" ht="24" customHeight="1">
      <c r="A125" s="396" t="s">
        <v>120</v>
      </c>
      <c r="B125" s="328"/>
      <c r="C125" s="328"/>
      <c r="D125" s="396" t="s">
        <v>11</v>
      </c>
      <c r="E125" s="328"/>
      <c r="F125" s="328"/>
      <c r="G125" s="328"/>
      <c r="H125" s="328"/>
      <c r="I125" s="328"/>
      <c r="J125" s="328"/>
      <c r="K125" s="328"/>
      <c r="L125" s="209"/>
      <c r="M125" s="229"/>
      <c r="N125" s="337">
        <v>1955</v>
      </c>
      <c r="O125" s="337">
        <v>2019</v>
      </c>
      <c r="P125" s="212">
        <v>2500</v>
      </c>
      <c r="Q125" s="212">
        <v>2500</v>
      </c>
      <c r="R125" s="211">
        <v>2600</v>
      </c>
      <c r="S125" s="211">
        <v>2600</v>
      </c>
      <c r="T125" s="211">
        <v>2600</v>
      </c>
      <c r="U125" s="211">
        <v>2600</v>
      </c>
      <c r="V125" s="211">
        <v>2600</v>
      </c>
    </row>
    <row r="126" spans="1:29" ht="24" customHeight="1">
      <c r="A126" s="396" t="s">
        <v>119</v>
      </c>
      <c r="B126" s="328"/>
      <c r="C126" s="328"/>
      <c r="D126" s="396" t="s">
        <v>17</v>
      </c>
      <c r="E126" s="328"/>
      <c r="F126" s="328"/>
      <c r="G126" s="328"/>
      <c r="H126" s="328"/>
      <c r="I126" s="328"/>
      <c r="J126" s="328"/>
      <c r="K126" s="328"/>
      <c r="L126" s="209"/>
      <c r="M126" s="229"/>
      <c r="N126" s="337">
        <v>0</v>
      </c>
      <c r="O126" s="337">
        <v>86</v>
      </c>
      <c r="P126" s="212">
        <v>250</v>
      </c>
      <c r="Q126" s="212">
        <v>250</v>
      </c>
      <c r="R126" s="211">
        <v>0</v>
      </c>
      <c r="S126" s="211">
        <v>0</v>
      </c>
      <c r="T126" s="211">
        <v>0</v>
      </c>
      <c r="U126" s="211">
        <v>0</v>
      </c>
      <c r="V126" s="211">
        <v>0</v>
      </c>
    </row>
    <row r="127" spans="1:29" ht="24" customHeight="1">
      <c r="A127" s="396" t="s">
        <v>118</v>
      </c>
      <c r="B127" s="328"/>
      <c r="C127" s="328"/>
      <c r="D127" s="396" t="s">
        <v>274</v>
      </c>
      <c r="E127" s="328"/>
      <c r="F127" s="328"/>
      <c r="G127" s="328"/>
      <c r="H127" s="328"/>
      <c r="I127" s="328"/>
      <c r="J127" s="328"/>
      <c r="K127" s="328"/>
      <c r="L127" s="209"/>
      <c r="M127" s="232"/>
      <c r="N127" s="344">
        <v>2087</v>
      </c>
      <c r="O127" s="344">
        <v>0</v>
      </c>
      <c r="P127" s="252">
        <v>2500</v>
      </c>
      <c r="Q127" s="252">
        <v>2500</v>
      </c>
      <c r="R127" s="233">
        <v>2500</v>
      </c>
      <c r="S127" s="233">
        <v>2500</v>
      </c>
      <c r="T127" s="233">
        <v>2500</v>
      </c>
      <c r="U127" s="233">
        <v>2500</v>
      </c>
      <c r="V127" s="233">
        <v>2500</v>
      </c>
    </row>
    <row r="128" spans="1:29" s="328" customFormat="1" ht="24" customHeight="1">
      <c r="A128" s="396"/>
      <c r="D128" s="396"/>
      <c r="L128" s="424"/>
      <c r="M128" s="425"/>
      <c r="N128" s="350">
        <f t="shared" ref="N128" si="26">SUM(N108:N127)</f>
        <v>284168</v>
      </c>
      <c r="O128" s="350">
        <f t="shared" ref="O128:V128" si="27">SUM(O108:O127)</f>
        <v>297902</v>
      </c>
      <c r="P128" s="353">
        <f t="shared" ref="P128" si="28">SUM(P108:P127)</f>
        <v>341395</v>
      </c>
      <c r="Q128" s="353">
        <f t="shared" si="27"/>
        <v>340161</v>
      </c>
      <c r="R128" s="362">
        <f t="shared" ref="R128:U128" si="29">SUM(R108:R127)</f>
        <v>380894</v>
      </c>
      <c r="S128" s="362">
        <f t="shared" si="29"/>
        <v>393736</v>
      </c>
      <c r="T128" s="362">
        <f t="shared" si="29"/>
        <v>408163</v>
      </c>
      <c r="U128" s="362">
        <f t="shared" si="29"/>
        <v>424820</v>
      </c>
      <c r="V128" s="362">
        <f t="shared" si="27"/>
        <v>439694</v>
      </c>
      <c r="W128" s="640"/>
    </row>
    <row r="129" spans="1:22" ht="15" customHeight="1">
      <c r="A129" s="396"/>
      <c r="B129" s="328"/>
      <c r="C129" s="328"/>
      <c r="D129" s="396"/>
      <c r="E129" s="328"/>
      <c r="F129" s="328"/>
      <c r="G129" s="328"/>
      <c r="H129" s="328"/>
      <c r="I129" s="328"/>
      <c r="J129" s="328"/>
      <c r="K129" s="328"/>
      <c r="L129" s="209"/>
      <c r="M129" s="229"/>
      <c r="N129" s="337"/>
      <c r="O129" s="337"/>
      <c r="P129" s="212"/>
      <c r="Q129" s="212"/>
      <c r="R129" s="211"/>
      <c r="S129" s="211"/>
      <c r="T129" s="211"/>
      <c r="U129" s="211"/>
      <c r="V129" s="211"/>
    </row>
    <row r="130" spans="1:22" ht="24" customHeight="1">
      <c r="A130" s="400" t="s">
        <v>671</v>
      </c>
      <c r="B130" s="328"/>
      <c r="C130" s="328"/>
      <c r="D130" s="328"/>
      <c r="E130" s="328"/>
      <c r="F130" s="328"/>
      <c r="G130" s="328"/>
      <c r="H130" s="328"/>
      <c r="I130" s="328"/>
      <c r="J130" s="328"/>
      <c r="K130" s="328"/>
      <c r="L130" s="209"/>
      <c r="N130" s="346"/>
      <c r="O130" s="346"/>
      <c r="P130" s="238"/>
      <c r="Q130" s="238"/>
      <c r="R130" s="237"/>
      <c r="S130" s="237"/>
      <c r="T130" s="237"/>
      <c r="U130" s="237"/>
      <c r="V130" s="237"/>
    </row>
    <row r="131" spans="1:22" ht="24" customHeight="1">
      <c r="A131" s="396" t="s">
        <v>122</v>
      </c>
      <c r="B131" s="397"/>
      <c r="C131" s="397"/>
      <c r="D131" s="396" t="s">
        <v>1095</v>
      </c>
      <c r="E131" s="397"/>
      <c r="F131" s="397"/>
      <c r="G131" s="397"/>
      <c r="H131" s="397"/>
      <c r="I131" s="397"/>
      <c r="J131" s="397"/>
      <c r="K131" s="397"/>
      <c r="L131" s="218"/>
      <c r="M131" s="247"/>
      <c r="N131" s="339">
        <v>75383</v>
      </c>
      <c r="O131" s="339">
        <v>0</v>
      </c>
      <c r="P131" s="216">
        <v>0</v>
      </c>
      <c r="Q131" s="216">
        <v>0</v>
      </c>
      <c r="R131" s="215">
        <v>0</v>
      </c>
      <c r="S131" s="215">
        <v>0</v>
      </c>
      <c r="T131" s="215">
        <v>0</v>
      </c>
      <c r="U131" s="215">
        <v>0</v>
      </c>
      <c r="V131" s="215">
        <v>0</v>
      </c>
    </row>
    <row r="132" spans="1:22" ht="24" customHeight="1">
      <c r="A132" s="396" t="s">
        <v>124</v>
      </c>
      <c r="B132" s="397"/>
      <c r="C132" s="397"/>
      <c r="D132" s="396" t="s">
        <v>8</v>
      </c>
      <c r="E132" s="397"/>
      <c r="F132" s="397"/>
      <c r="G132" s="397"/>
      <c r="H132" s="397"/>
      <c r="I132" s="397"/>
      <c r="J132" s="397"/>
      <c r="K132" s="397"/>
      <c r="L132" s="218"/>
      <c r="M132" s="229"/>
      <c r="N132" s="339">
        <v>7169</v>
      </c>
      <c r="O132" s="339">
        <v>0</v>
      </c>
      <c r="P132" s="216">
        <v>0</v>
      </c>
      <c r="Q132" s="216">
        <v>0</v>
      </c>
      <c r="R132" s="215">
        <v>0</v>
      </c>
      <c r="S132" s="215">
        <v>0</v>
      </c>
      <c r="T132" s="215">
        <v>0</v>
      </c>
      <c r="U132" s="215">
        <v>0</v>
      </c>
      <c r="V132" s="215">
        <v>0</v>
      </c>
    </row>
    <row r="133" spans="1:22" ht="24" customHeight="1">
      <c r="A133" s="396" t="s">
        <v>123</v>
      </c>
      <c r="B133" s="328"/>
      <c r="C133" s="328"/>
      <c r="D133" s="396" t="s">
        <v>9</v>
      </c>
      <c r="E133" s="328"/>
      <c r="F133" s="328"/>
      <c r="G133" s="328"/>
      <c r="H133" s="328"/>
      <c r="I133" s="328"/>
      <c r="J133" s="328"/>
      <c r="K133" s="328"/>
      <c r="L133" s="209"/>
      <c r="M133" s="229"/>
      <c r="N133" s="339">
        <v>5716</v>
      </c>
      <c r="O133" s="339">
        <v>0</v>
      </c>
      <c r="P133" s="216">
        <v>0</v>
      </c>
      <c r="Q133" s="216">
        <v>0</v>
      </c>
      <c r="R133" s="215">
        <v>0</v>
      </c>
      <c r="S133" s="215">
        <v>0</v>
      </c>
      <c r="T133" s="215">
        <v>0</v>
      </c>
      <c r="U133" s="215">
        <v>0</v>
      </c>
      <c r="V133" s="215">
        <v>0</v>
      </c>
    </row>
    <row r="134" spans="1:22" ht="24" customHeight="1">
      <c r="A134" s="396" t="s">
        <v>1106</v>
      </c>
      <c r="B134" s="328"/>
      <c r="C134" s="328"/>
      <c r="D134" s="396" t="s">
        <v>13</v>
      </c>
      <c r="E134" s="328"/>
      <c r="F134" s="328"/>
      <c r="G134" s="328"/>
      <c r="H134" s="328"/>
      <c r="I134" s="328"/>
      <c r="J134" s="328"/>
      <c r="K134" s="328"/>
      <c r="L134" s="209"/>
      <c r="M134" s="229"/>
      <c r="N134" s="340">
        <v>8826</v>
      </c>
      <c r="O134" s="340">
        <v>0</v>
      </c>
      <c r="P134" s="225">
        <v>0</v>
      </c>
      <c r="Q134" s="225">
        <v>0</v>
      </c>
      <c r="R134" s="221">
        <v>0</v>
      </c>
      <c r="S134" s="221">
        <v>0</v>
      </c>
      <c r="T134" s="221">
        <v>0</v>
      </c>
      <c r="U134" s="221">
        <v>0</v>
      </c>
      <c r="V134" s="221">
        <v>0</v>
      </c>
    </row>
    <row r="135" spans="1:22" ht="24" customHeight="1">
      <c r="A135" s="396" t="s">
        <v>1107</v>
      </c>
      <c r="B135" s="328"/>
      <c r="C135" s="328"/>
      <c r="D135" s="396" t="s">
        <v>207</v>
      </c>
      <c r="E135" s="328"/>
      <c r="F135" s="328"/>
      <c r="G135" s="328"/>
      <c r="H135" s="328"/>
      <c r="I135" s="328"/>
      <c r="J135" s="328"/>
      <c r="K135" s="328"/>
      <c r="L135" s="209"/>
      <c r="M135" s="229"/>
      <c r="N135" s="340">
        <v>76</v>
      </c>
      <c r="O135" s="340">
        <v>0</v>
      </c>
      <c r="P135" s="225">
        <v>0</v>
      </c>
      <c r="Q135" s="225">
        <v>0</v>
      </c>
      <c r="R135" s="221">
        <v>0</v>
      </c>
      <c r="S135" s="221">
        <v>0</v>
      </c>
      <c r="T135" s="221">
        <v>0</v>
      </c>
      <c r="U135" s="221">
        <v>0</v>
      </c>
      <c r="V135" s="221">
        <v>0</v>
      </c>
    </row>
    <row r="136" spans="1:22" ht="24" customHeight="1">
      <c r="A136" s="396" t="s">
        <v>1108</v>
      </c>
      <c r="B136" s="328"/>
      <c r="C136" s="328"/>
      <c r="D136" s="396" t="s">
        <v>714</v>
      </c>
      <c r="E136" s="328"/>
      <c r="F136" s="328"/>
      <c r="G136" s="328"/>
      <c r="H136" s="328"/>
      <c r="I136" s="328"/>
      <c r="J136" s="328"/>
      <c r="K136" s="328"/>
      <c r="L136" s="209"/>
      <c r="M136" s="229"/>
      <c r="N136" s="340">
        <v>627</v>
      </c>
      <c r="O136" s="340">
        <v>0</v>
      </c>
      <c r="P136" s="225">
        <v>0</v>
      </c>
      <c r="Q136" s="225">
        <v>0</v>
      </c>
      <c r="R136" s="221">
        <v>0</v>
      </c>
      <c r="S136" s="221">
        <v>0</v>
      </c>
      <c r="T136" s="221">
        <v>0</v>
      </c>
      <c r="U136" s="221">
        <v>0</v>
      </c>
      <c r="V136" s="221">
        <v>0</v>
      </c>
    </row>
    <row r="137" spans="1:22" ht="24" customHeight="1">
      <c r="A137" s="396" t="s">
        <v>1109</v>
      </c>
      <c r="B137" s="328"/>
      <c r="C137" s="328"/>
      <c r="D137" s="396" t="s">
        <v>716</v>
      </c>
      <c r="E137" s="328"/>
      <c r="F137" s="328"/>
      <c r="G137" s="328"/>
      <c r="H137" s="328"/>
      <c r="I137" s="328"/>
      <c r="J137" s="328"/>
      <c r="K137" s="328"/>
      <c r="L137" s="209"/>
      <c r="M137" s="229"/>
      <c r="N137" s="340">
        <v>71</v>
      </c>
      <c r="O137" s="340">
        <v>0</v>
      </c>
      <c r="P137" s="225">
        <v>0</v>
      </c>
      <c r="Q137" s="225">
        <v>0</v>
      </c>
      <c r="R137" s="221">
        <v>0</v>
      </c>
      <c r="S137" s="221">
        <v>0</v>
      </c>
      <c r="T137" s="221">
        <v>0</v>
      </c>
      <c r="U137" s="221">
        <v>0</v>
      </c>
      <c r="V137" s="221">
        <v>0</v>
      </c>
    </row>
    <row r="138" spans="1:22" ht="24" customHeight="1">
      <c r="A138" s="396" t="s">
        <v>129</v>
      </c>
      <c r="B138" s="397"/>
      <c r="C138" s="397"/>
      <c r="D138" s="396" t="s">
        <v>1319</v>
      </c>
      <c r="E138" s="397"/>
      <c r="F138" s="397"/>
      <c r="G138" s="397"/>
      <c r="H138" s="397"/>
      <c r="I138" s="397"/>
      <c r="J138" s="397"/>
      <c r="K138" s="397"/>
      <c r="L138" s="218"/>
      <c r="M138" s="229"/>
      <c r="N138" s="337">
        <v>3</v>
      </c>
      <c r="O138" s="337">
        <v>0</v>
      </c>
      <c r="P138" s="212">
        <v>0</v>
      </c>
      <c r="Q138" s="212">
        <v>0</v>
      </c>
      <c r="R138" s="211">
        <v>0</v>
      </c>
      <c r="S138" s="211">
        <v>0</v>
      </c>
      <c r="T138" s="211">
        <v>0</v>
      </c>
      <c r="U138" s="211">
        <v>0</v>
      </c>
      <c r="V138" s="211">
        <v>0</v>
      </c>
    </row>
    <row r="139" spans="1:22" ht="24" customHeight="1">
      <c r="A139" s="396" t="s">
        <v>234</v>
      </c>
      <c r="B139" s="328"/>
      <c r="C139" s="328"/>
      <c r="D139" s="396" t="s">
        <v>1320</v>
      </c>
      <c r="E139" s="328"/>
      <c r="F139" s="328"/>
      <c r="G139" s="328"/>
      <c r="H139" s="328"/>
      <c r="I139" s="328"/>
      <c r="J139" s="328"/>
      <c r="K139" s="328"/>
      <c r="L139" s="209"/>
      <c r="M139" s="229"/>
      <c r="N139" s="337">
        <v>286</v>
      </c>
      <c r="O139" s="337">
        <v>0</v>
      </c>
      <c r="P139" s="212">
        <v>0</v>
      </c>
      <c r="Q139" s="212">
        <v>0</v>
      </c>
      <c r="R139" s="211">
        <v>0</v>
      </c>
      <c r="S139" s="211">
        <v>0</v>
      </c>
      <c r="T139" s="211">
        <v>0</v>
      </c>
      <c r="U139" s="211">
        <v>0</v>
      </c>
      <c r="V139" s="211">
        <v>0</v>
      </c>
    </row>
    <row r="140" spans="1:22" ht="24" customHeight="1">
      <c r="A140" s="396" t="s">
        <v>128</v>
      </c>
      <c r="B140" s="397"/>
      <c r="C140" s="397"/>
      <c r="D140" s="396" t="s">
        <v>265</v>
      </c>
      <c r="E140" s="397"/>
      <c r="F140" s="397"/>
      <c r="G140" s="397"/>
      <c r="H140" s="397"/>
      <c r="I140" s="397"/>
      <c r="J140" s="397"/>
      <c r="K140" s="397"/>
      <c r="L140" s="218"/>
      <c r="M140" s="229"/>
      <c r="N140" s="337">
        <v>207</v>
      </c>
      <c r="O140" s="337">
        <v>0</v>
      </c>
      <c r="P140" s="212">
        <v>0</v>
      </c>
      <c r="Q140" s="212">
        <v>0</v>
      </c>
      <c r="R140" s="211">
        <v>0</v>
      </c>
      <c r="S140" s="211" t="s">
        <v>890</v>
      </c>
      <c r="T140" s="211">
        <v>0</v>
      </c>
      <c r="U140" s="211">
        <v>0</v>
      </c>
      <c r="V140" s="211">
        <v>0</v>
      </c>
    </row>
    <row r="141" spans="1:22" ht="24" customHeight="1">
      <c r="A141" s="396" t="s">
        <v>127</v>
      </c>
      <c r="B141" s="328"/>
      <c r="C141" s="328"/>
      <c r="D141" s="396" t="s">
        <v>97</v>
      </c>
      <c r="E141" s="328"/>
      <c r="F141" s="328"/>
      <c r="G141" s="328"/>
      <c r="H141" s="328"/>
      <c r="I141" s="328"/>
      <c r="J141" s="328"/>
      <c r="K141" s="328"/>
      <c r="L141" s="209"/>
      <c r="M141" s="229"/>
      <c r="N141" s="337">
        <v>23</v>
      </c>
      <c r="O141" s="337">
        <v>0</v>
      </c>
      <c r="P141" s="212">
        <v>0</v>
      </c>
      <c r="Q141" s="212">
        <v>0</v>
      </c>
      <c r="R141" s="211">
        <v>0</v>
      </c>
      <c r="S141" s="211">
        <v>0</v>
      </c>
      <c r="T141" s="211">
        <v>0</v>
      </c>
      <c r="U141" s="211">
        <v>0</v>
      </c>
      <c r="V141" s="211">
        <v>0</v>
      </c>
    </row>
    <row r="142" spans="1:22" ht="24" customHeight="1">
      <c r="A142" s="396" t="s">
        <v>126</v>
      </c>
      <c r="B142" s="397"/>
      <c r="C142" s="397"/>
      <c r="D142" s="396" t="s">
        <v>10</v>
      </c>
      <c r="E142" s="328"/>
      <c r="F142" s="328"/>
      <c r="G142" s="328"/>
      <c r="H142" s="328"/>
      <c r="I142" s="328"/>
      <c r="J142" s="328"/>
      <c r="K142" s="328"/>
      <c r="L142" s="209"/>
      <c r="M142" s="247"/>
      <c r="N142" s="340">
        <v>2164</v>
      </c>
      <c r="O142" s="340">
        <v>0</v>
      </c>
      <c r="P142" s="212">
        <v>0</v>
      </c>
      <c r="Q142" s="212">
        <v>0</v>
      </c>
      <c r="R142" s="211">
        <v>0</v>
      </c>
      <c r="S142" s="211">
        <v>0</v>
      </c>
      <c r="T142" s="211">
        <v>0</v>
      </c>
      <c r="U142" s="211">
        <v>0</v>
      </c>
      <c r="V142" s="211">
        <v>0</v>
      </c>
    </row>
    <row r="143" spans="1:22" ht="24" customHeight="1">
      <c r="A143" s="396" t="s">
        <v>795</v>
      </c>
      <c r="B143" s="397"/>
      <c r="C143" s="397"/>
      <c r="D143" s="396" t="s">
        <v>94</v>
      </c>
      <c r="E143" s="328"/>
      <c r="F143" s="328"/>
      <c r="G143" s="328"/>
      <c r="H143" s="328"/>
      <c r="I143" s="328"/>
      <c r="J143" s="328"/>
      <c r="K143" s="328"/>
      <c r="L143" s="209"/>
      <c r="M143" s="253"/>
      <c r="N143" s="340">
        <v>1638</v>
      </c>
      <c r="O143" s="340">
        <v>0</v>
      </c>
      <c r="P143" s="212">
        <v>0</v>
      </c>
      <c r="Q143" s="212">
        <v>0</v>
      </c>
      <c r="R143" s="211">
        <v>0</v>
      </c>
      <c r="S143" s="211">
        <v>0</v>
      </c>
      <c r="T143" s="211">
        <v>0</v>
      </c>
      <c r="U143" s="211">
        <v>0</v>
      </c>
      <c r="V143" s="211">
        <v>0</v>
      </c>
    </row>
    <row r="144" spans="1:22" ht="24" customHeight="1">
      <c r="A144" s="396" t="s">
        <v>125</v>
      </c>
      <c r="B144" s="397"/>
      <c r="C144" s="397"/>
      <c r="D144" s="396" t="s">
        <v>1323</v>
      </c>
      <c r="E144" s="397"/>
      <c r="F144" s="397"/>
      <c r="G144" s="397"/>
      <c r="H144" s="397"/>
      <c r="I144" s="397"/>
      <c r="J144" s="397"/>
      <c r="K144" s="397"/>
      <c r="L144" s="218"/>
      <c r="M144" s="259"/>
      <c r="N144" s="356">
        <v>27</v>
      </c>
      <c r="O144" s="356">
        <v>0</v>
      </c>
      <c r="P144" s="212">
        <v>0</v>
      </c>
      <c r="Q144" s="212">
        <v>0</v>
      </c>
      <c r="R144" s="211">
        <v>0</v>
      </c>
      <c r="S144" s="211">
        <v>0</v>
      </c>
      <c r="T144" s="211">
        <v>0</v>
      </c>
      <c r="U144" s="211">
        <v>0</v>
      </c>
      <c r="V144" s="211">
        <v>0</v>
      </c>
    </row>
    <row r="145" spans="1:29" ht="24" customHeight="1">
      <c r="A145" s="396" t="s">
        <v>130</v>
      </c>
      <c r="B145" s="328"/>
      <c r="C145" s="328"/>
      <c r="D145" s="396" t="s">
        <v>11</v>
      </c>
      <c r="E145" s="328"/>
      <c r="F145" s="328"/>
      <c r="G145" s="328"/>
      <c r="H145" s="328"/>
      <c r="I145" s="328"/>
      <c r="J145" s="328"/>
      <c r="K145" s="328"/>
      <c r="L145" s="209"/>
      <c r="M145" s="229"/>
      <c r="N145" s="344">
        <v>7</v>
      </c>
      <c r="O145" s="344">
        <v>0</v>
      </c>
      <c r="P145" s="252">
        <v>0</v>
      </c>
      <c r="Q145" s="252">
        <v>0</v>
      </c>
      <c r="R145" s="233">
        <v>0</v>
      </c>
      <c r="S145" s="233">
        <v>0</v>
      </c>
      <c r="T145" s="233">
        <v>0</v>
      </c>
      <c r="U145" s="233">
        <v>0</v>
      </c>
      <c r="V145" s="233">
        <v>0</v>
      </c>
    </row>
    <row r="146" spans="1:29" s="328" customFormat="1" ht="24" customHeight="1">
      <c r="A146" s="396"/>
      <c r="D146" s="396"/>
      <c r="L146" s="424"/>
      <c r="M146" s="425"/>
      <c r="N146" s="350">
        <f t="shared" ref="N146:V146" si="30">SUM(N131:N145)</f>
        <v>102223</v>
      </c>
      <c r="O146" s="350">
        <f t="shared" si="30"/>
        <v>0</v>
      </c>
      <c r="P146" s="358">
        <f t="shared" si="30"/>
        <v>0</v>
      </c>
      <c r="Q146" s="358">
        <f t="shared" si="30"/>
        <v>0</v>
      </c>
      <c r="R146" s="359">
        <f t="shared" si="30"/>
        <v>0</v>
      </c>
      <c r="S146" s="359">
        <f t="shared" si="30"/>
        <v>0</v>
      </c>
      <c r="T146" s="359">
        <f t="shared" si="30"/>
        <v>0</v>
      </c>
      <c r="U146" s="359">
        <f t="shared" si="30"/>
        <v>0</v>
      </c>
      <c r="V146" s="359">
        <f t="shared" si="30"/>
        <v>0</v>
      </c>
      <c r="W146" s="640"/>
    </row>
    <row r="147" spans="1:29" ht="15" customHeight="1">
      <c r="A147" s="396"/>
      <c r="B147" s="328"/>
      <c r="C147" s="328"/>
      <c r="D147" s="396"/>
      <c r="E147" s="328"/>
      <c r="F147" s="328"/>
      <c r="G147" s="328"/>
      <c r="H147" s="328"/>
      <c r="I147" s="328"/>
      <c r="J147" s="328"/>
      <c r="K147" s="328"/>
      <c r="L147" s="209"/>
      <c r="M147" s="229"/>
      <c r="N147" s="340"/>
      <c r="O147" s="340"/>
      <c r="P147" s="225"/>
      <c r="Q147" s="225"/>
      <c r="R147" s="221"/>
      <c r="S147" s="221"/>
      <c r="T147" s="221"/>
      <c r="U147" s="221"/>
      <c r="V147" s="221"/>
    </row>
    <row r="148" spans="1:29" ht="24" customHeight="1">
      <c r="A148" s="400" t="s">
        <v>658</v>
      </c>
      <c r="B148" s="328"/>
      <c r="C148" s="328"/>
      <c r="D148" s="328"/>
      <c r="E148" s="328"/>
      <c r="F148" s="328"/>
      <c r="G148" s="328"/>
      <c r="H148" s="328"/>
      <c r="I148" s="328"/>
      <c r="J148" s="328"/>
      <c r="K148" s="328"/>
      <c r="L148" s="209"/>
      <c r="N148" s="346"/>
      <c r="O148" s="346"/>
      <c r="P148" s="238"/>
      <c r="Q148" s="238"/>
      <c r="R148" s="237"/>
      <c r="S148" s="237"/>
      <c r="T148" s="237"/>
      <c r="U148" s="237"/>
      <c r="V148" s="237"/>
    </row>
    <row r="149" spans="1:29" ht="24" customHeight="1">
      <c r="A149" s="396" t="s">
        <v>1306</v>
      </c>
      <c r="B149" s="399"/>
      <c r="C149" s="399"/>
      <c r="D149" s="396" t="s">
        <v>138</v>
      </c>
      <c r="E149" s="399"/>
      <c r="F149" s="399"/>
      <c r="G149" s="399"/>
      <c r="H149" s="399"/>
      <c r="I149" s="399"/>
      <c r="J149" s="399"/>
      <c r="K149" s="399"/>
      <c r="L149" s="236"/>
      <c r="M149" s="247"/>
      <c r="N149" s="340">
        <v>1149440</v>
      </c>
      <c r="O149" s="340">
        <v>1227993</v>
      </c>
      <c r="P149" s="212">
        <v>1393000</v>
      </c>
      <c r="Q149" s="212">
        <v>1393000</v>
      </c>
      <c r="R149" s="211">
        <v>1563667</v>
      </c>
      <c r="S149" s="227">
        <v>1719501</v>
      </c>
      <c r="T149" s="227">
        <v>1779684</v>
      </c>
      <c r="U149" s="227">
        <v>1841973</v>
      </c>
      <c r="V149" s="227">
        <v>1906442</v>
      </c>
      <c r="X149" s="656"/>
      <c r="Y149" s="657"/>
      <c r="AB149" s="217"/>
    </row>
    <row r="150" spans="1:29" ht="24" customHeight="1">
      <c r="A150" s="396" t="s">
        <v>887</v>
      </c>
      <c r="B150" s="399"/>
      <c r="C150" s="399"/>
      <c r="D150" s="398" t="s">
        <v>888</v>
      </c>
      <c r="E150" s="399"/>
      <c r="F150" s="399"/>
      <c r="G150" s="399"/>
      <c r="H150" s="399"/>
      <c r="I150" s="399"/>
      <c r="J150" s="399"/>
      <c r="K150" s="399"/>
      <c r="L150" s="236"/>
      <c r="M150" s="247"/>
      <c r="N150" s="340">
        <v>303452</v>
      </c>
      <c r="O150" s="340">
        <v>274717</v>
      </c>
      <c r="P150" s="212">
        <v>299674</v>
      </c>
      <c r="Q150" s="212">
        <v>299674</v>
      </c>
      <c r="R150" s="211">
        <v>326464</v>
      </c>
      <c r="S150" s="227">
        <v>336258</v>
      </c>
      <c r="T150" s="227">
        <v>348027</v>
      </c>
      <c r="U150" s="227">
        <v>360208</v>
      </c>
      <c r="V150" s="227">
        <v>372815</v>
      </c>
      <c r="X150" s="656"/>
      <c r="Y150" s="657"/>
      <c r="AB150" s="213"/>
    </row>
    <row r="151" spans="1:29" ht="24" customHeight="1">
      <c r="A151" s="396" t="s">
        <v>135</v>
      </c>
      <c r="B151" s="399"/>
      <c r="C151" s="399"/>
      <c r="D151" s="396" t="s">
        <v>889</v>
      </c>
      <c r="E151" s="399"/>
      <c r="F151" s="399"/>
      <c r="G151" s="399"/>
      <c r="H151" s="399"/>
      <c r="I151" s="399"/>
      <c r="J151" s="399"/>
      <c r="K151" s="399"/>
      <c r="L151" s="236"/>
      <c r="M151" s="229"/>
      <c r="N151" s="337">
        <v>297081</v>
      </c>
      <c r="O151" s="337">
        <v>392598</v>
      </c>
      <c r="P151" s="216">
        <v>435746</v>
      </c>
      <c r="Q151" s="216">
        <v>435746</v>
      </c>
      <c r="R151" s="215">
        <v>448639</v>
      </c>
      <c r="S151" s="227">
        <v>462098</v>
      </c>
      <c r="T151" s="227">
        <v>478271</v>
      </c>
      <c r="U151" s="227">
        <v>495010</v>
      </c>
      <c r="V151" s="227">
        <v>512335</v>
      </c>
      <c r="X151" s="656"/>
      <c r="Y151" s="657"/>
    </row>
    <row r="152" spans="1:29" ht="24" customHeight="1">
      <c r="A152" s="396" t="s">
        <v>134</v>
      </c>
      <c r="B152" s="399"/>
      <c r="C152" s="399"/>
      <c r="D152" s="396" t="s">
        <v>137</v>
      </c>
      <c r="E152" s="399"/>
      <c r="F152" s="399"/>
      <c r="G152" s="399"/>
      <c r="H152" s="399"/>
      <c r="I152" s="399"/>
      <c r="J152" s="399"/>
      <c r="K152" s="399"/>
      <c r="L152" s="236"/>
      <c r="M152" s="229"/>
      <c r="N152" s="339">
        <v>128755</v>
      </c>
      <c r="O152" s="339">
        <v>115152</v>
      </c>
      <c r="P152" s="216">
        <v>122627</v>
      </c>
      <c r="Q152" s="216">
        <v>122627</v>
      </c>
      <c r="R152" s="215">
        <v>124913</v>
      </c>
      <c r="S152" s="227">
        <v>128660</v>
      </c>
      <c r="T152" s="227">
        <v>133163</v>
      </c>
      <c r="U152" s="227">
        <v>137824</v>
      </c>
      <c r="V152" s="227">
        <v>142648</v>
      </c>
      <c r="X152" s="656"/>
      <c r="Y152" s="657"/>
    </row>
    <row r="153" spans="1:29" ht="24" customHeight="1">
      <c r="A153" s="396" t="s">
        <v>133</v>
      </c>
      <c r="B153" s="399"/>
      <c r="C153" s="399"/>
      <c r="D153" s="396" t="s">
        <v>136</v>
      </c>
      <c r="E153" s="399"/>
      <c r="F153" s="399"/>
      <c r="G153" s="399"/>
      <c r="H153" s="399"/>
      <c r="I153" s="399"/>
      <c r="J153" s="399"/>
      <c r="K153" s="399"/>
      <c r="L153" s="236"/>
      <c r="M153" s="247"/>
      <c r="N153" s="339">
        <v>19413</v>
      </c>
      <c r="O153" s="339">
        <v>19192</v>
      </c>
      <c r="P153" s="216">
        <v>20000</v>
      </c>
      <c r="Q153" s="216">
        <v>20000</v>
      </c>
      <c r="R153" s="215">
        <v>20000</v>
      </c>
      <c r="S153" s="215">
        <v>20000</v>
      </c>
      <c r="T153" s="215">
        <v>20000</v>
      </c>
      <c r="U153" s="215">
        <v>20000</v>
      </c>
      <c r="V153" s="215">
        <v>20000</v>
      </c>
      <c r="X153" s="656"/>
      <c r="Y153" s="657"/>
    </row>
    <row r="154" spans="1:29" ht="24" customHeight="1">
      <c r="A154" s="396" t="s">
        <v>132</v>
      </c>
      <c r="B154" s="399"/>
      <c r="C154" s="399"/>
      <c r="D154" s="396" t="s">
        <v>76</v>
      </c>
      <c r="E154" s="399"/>
      <c r="F154" s="399"/>
      <c r="G154" s="399"/>
      <c r="H154" s="399"/>
      <c r="I154" s="399"/>
      <c r="J154" s="399"/>
      <c r="K154" s="399"/>
      <c r="L154" s="236"/>
      <c r="M154" s="229"/>
      <c r="N154" s="337">
        <f>33832+6089</f>
        <v>39921</v>
      </c>
      <c r="O154" s="337">
        <v>54735</v>
      </c>
      <c r="P154" s="212">
        <v>52500</v>
      </c>
      <c r="Q154" s="212">
        <v>52500</v>
      </c>
      <c r="R154" s="211">
        <v>65000</v>
      </c>
      <c r="S154" s="211">
        <v>65000</v>
      </c>
      <c r="T154" s="211">
        <v>65000</v>
      </c>
      <c r="U154" s="211">
        <v>65000</v>
      </c>
      <c r="V154" s="211">
        <v>65000</v>
      </c>
      <c r="X154" s="656"/>
      <c r="Y154" s="657"/>
    </row>
    <row r="155" spans="1:29" ht="24" customHeight="1">
      <c r="A155" s="396" t="s">
        <v>131</v>
      </c>
      <c r="B155" s="397"/>
      <c r="C155" s="397"/>
      <c r="D155" s="396" t="s">
        <v>15</v>
      </c>
      <c r="E155" s="397"/>
      <c r="F155" s="397"/>
      <c r="G155" s="397"/>
      <c r="H155" s="397"/>
      <c r="I155" s="397"/>
      <c r="J155" s="397"/>
      <c r="K155" s="397"/>
      <c r="L155" s="218"/>
      <c r="M155" s="247"/>
      <c r="N155" s="340">
        <v>89949</v>
      </c>
      <c r="O155" s="340">
        <v>101361</v>
      </c>
      <c r="P155" s="212">
        <v>111000</v>
      </c>
      <c r="Q155" s="212">
        <v>111000</v>
      </c>
      <c r="R155" s="211">
        <v>111000</v>
      </c>
      <c r="S155" s="211">
        <v>111000</v>
      </c>
      <c r="T155" s="211">
        <v>111000</v>
      </c>
      <c r="U155" s="211">
        <v>111000</v>
      </c>
      <c r="V155" s="211">
        <v>111000</v>
      </c>
      <c r="X155" s="656"/>
      <c r="Y155" s="657"/>
    </row>
    <row r="156" spans="1:29" ht="24" customHeight="1">
      <c r="A156" s="396" t="s">
        <v>141</v>
      </c>
      <c r="B156" s="397"/>
      <c r="C156" s="397"/>
      <c r="D156" s="396" t="s">
        <v>8</v>
      </c>
      <c r="E156" s="397"/>
      <c r="F156" s="397"/>
      <c r="G156" s="397"/>
      <c r="H156" s="397"/>
      <c r="I156" s="397"/>
      <c r="J156" s="397"/>
      <c r="K156" s="397"/>
      <c r="L156" s="218"/>
      <c r="M156" s="247"/>
      <c r="N156" s="339">
        <v>11696</v>
      </c>
      <c r="O156" s="339">
        <v>12297</v>
      </c>
      <c r="P156" s="216">
        <v>13590</v>
      </c>
      <c r="Q156" s="216">
        <v>13590</v>
      </c>
      <c r="R156" s="215">
        <v>14897</v>
      </c>
      <c r="S156" s="215">
        <v>16468</v>
      </c>
      <c r="T156" s="215">
        <v>18070</v>
      </c>
      <c r="U156" s="215">
        <v>19819</v>
      </c>
      <c r="V156" s="215">
        <v>21754</v>
      </c>
      <c r="X156" s="656"/>
      <c r="Y156" s="657"/>
    </row>
    <row r="157" spans="1:29" ht="24" customHeight="1">
      <c r="A157" s="396" t="s">
        <v>140</v>
      </c>
      <c r="B157" s="328"/>
      <c r="C157" s="328"/>
      <c r="D157" s="745" t="s">
        <v>1459</v>
      </c>
      <c r="E157" s="745"/>
      <c r="F157" s="745"/>
      <c r="G157" s="745"/>
      <c r="H157" s="745"/>
      <c r="I157" s="745"/>
      <c r="J157" s="745"/>
      <c r="K157" s="745"/>
      <c r="L157" s="209"/>
      <c r="M157" s="214"/>
      <c r="N157" s="339">
        <v>360356</v>
      </c>
      <c r="O157" s="339">
        <v>438711</v>
      </c>
      <c r="P157" s="216">
        <v>562000</v>
      </c>
      <c r="Q157" s="216">
        <f t="shared" ref="Q157:U157" si="31">Q10</f>
        <v>524120</v>
      </c>
      <c r="R157" s="215">
        <f t="shared" si="31"/>
        <v>614005</v>
      </c>
      <c r="S157" s="215">
        <f>S10</f>
        <v>639005</v>
      </c>
      <c r="T157" s="215">
        <f t="shared" si="31"/>
        <v>664005</v>
      </c>
      <c r="U157" s="215">
        <f t="shared" si="31"/>
        <v>689005</v>
      </c>
      <c r="V157" s="215">
        <f t="shared" ref="V157" si="32">V10</f>
        <v>714005</v>
      </c>
      <c r="X157" s="213"/>
    </row>
    <row r="158" spans="1:29" ht="24" customHeight="1">
      <c r="A158" s="396" t="s">
        <v>139</v>
      </c>
      <c r="B158" s="397"/>
      <c r="C158" s="397"/>
      <c r="D158" s="396" t="s">
        <v>9</v>
      </c>
      <c r="E158" s="397"/>
      <c r="F158" s="397"/>
      <c r="G158" s="397"/>
      <c r="H158" s="397"/>
      <c r="I158" s="397"/>
      <c r="J158" s="397"/>
      <c r="K158" s="397"/>
      <c r="L158" s="218"/>
      <c r="M158" s="247"/>
      <c r="N158" s="339">
        <v>149383</v>
      </c>
      <c r="O158" s="339">
        <v>161039</v>
      </c>
      <c r="P158" s="216">
        <v>182664</v>
      </c>
      <c r="Q158" s="216">
        <v>182664</v>
      </c>
      <c r="R158" s="211">
        <v>199604</v>
      </c>
      <c r="S158" s="227">
        <v>213592</v>
      </c>
      <c r="T158" s="227">
        <v>221068</v>
      </c>
      <c r="U158" s="227">
        <v>228805</v>
      </c>
      <c r="V158" s="227">
        <v>236813</v>
      </c>
      <c r="X158" s="656"/>
      <c r="Y158" s="657"/>
      <c r="Z158" s="657"/>
      <c r="AA158" s="657"/>
    </row>
    <row r="159" spans="1:29" ht="24" customHeight="1">
      <c r="A159" s="396" t="s">
        <v>694</v>
      </c>
      <c r="B159" s="397"/>
      <c r="C159" s="397"/>
      <c r="D159" s="396" t="s">
        <v>13</v>
      </c>
      <c r="E159" s="397"/>
      <c r="F159" s="397"/>
      <c r="G159" s="397"/>
      <c r="H159" s="397"/>
      <c r="I159" s="397"/>
      <c r="J159" s="397"/>
      <c r="K159" s="397"/>
      <c r="L159" s="218"/>
      <c r="M159" s="229"/>
      <c r="N159" s="340">
        <v>0</v>
      </c>
      <c r="O159" s="340">
        <v>417204</v>
      </c>
      <c r="P159" s="225">
        <v>537969</v>
      </c>
      <c r="Q159" s="225">
        <v>490000</v>
      </c>
      <c r="R159" s="211">
        <v>592440</v>
      </c>
      <c r="S159" s="223">
        <f>ROUND(R159*1.08,0)+ROUND(26691*2,0)</f>
        <v>693217</v>
      </c>
      <c r="T159" s="223">
        <f t="shared" ref="T159:V159" si="33">ROUND(S159*1.08,0)</f>
        <v>748674</v>
      </c>
      <c r="U159" s="223">
        <f t="shared" si="33"/>
        <v>808568</v>
      </c>
      <c r="V159" s="223">
        <f t="shared" si="33"/>
        <v>873253</v>
      </c>
      <c r="X159" s="656"/>
      <c r="Y159" s="657"/>
      <c r="Z159" s="656"/>
      <c r="AA159" s="657"/>
      <c r="AC159" s="213"/>
    </row>
    <row r="160" spans="1:29" ht="24" customHeight="1">
      <c r="A160" s="396" t="s">
        <v>695</v>
      </c>
      <c r="B160" s="397"/>
      <c r="C160" s="397"/>
      <c r="D160" s="396" t="s">
        <v>207</v>
      </c>
      <c r="E160" s="397"/>
      <c r="F160" s="397"/>
      <c r="G160" s="397"/>
      <c r="H160" s="397"/>
      <c r="I160" s="397"/>
      <c r="J160" s="397"/>
      <c r="K160" s="397"/>
      <c r="L160" s="218"/>
      <c r="M160" s="229"/>
      <c r="N160" s="340">
        <v>0</v>
      </c>
      <c r="O160" s="340">
        <v>4666</v>
      </c>
      <c r="P160" s="225">
        <v>3498</v>
      </c>
      <c r="Q160" s="225">
        <v>3150</v>
      </c>
      <c r="R160" s="211">
        <v>3448</v>
      </c>
      <c r="S160" s="223">
        <f>ROUND(R160*1.01,0)+ROUND(112*2,0)</f>
        <v>3706</v>
      </c>
      <c r="T160" s="223">
        <f t="shared" ref="T160:V160" si="34">ROUND(S160*1.01,0)</f>
        <v>3743</v>
      </c>
      <c r="U160" s="223">
        <f t="shared" si="34"/>
        <v>3780</v>
      </c>
      <c r="V160" s="223">
        <f t="shared" si="34"/>
        <v>3818</v>
      </c>
      <c r="X160" s="656"/>
      <c r="Y160" s="657"/>
      <c r="Z160" s="656"/>
      <c r="AA160" s="657"/>
      <c r="AC160" s="213"/>
    </row>
    <row r="161" spans="1:29" ht="24" customHeight="1">
      <c r="A161" s="396" t="s">
        <v>696</v>
      </c>
      <c r="B161" s="397"/>
      <c r="C161" s="397"/>
      <c r="D161" s="396" t="s">
        <v>714</v>
      </c>
      <c r="E161" s="397"/>
      <c r="F161" s="397"/>
      <c r="G161" s="397"/>
      <c r="H161" s="397"/>
      <c r="I161" s="397"/>
      <c r="J161" s="397"/>
      <c r="K161" s="397"/>
      <c r="L161" s="218"/>
      <c r="M161" s="229"/>
      <c r="N161" s="340">
        <v>0</v>
      </c>
      <c r="O161" s="340">
        <v>33562</v>
      </c>
      <c r="P161" s="225">
        <v>39163</v>
      </c>
      <c r="Q161" s="225">
        <v>32000</v>
      </c>
      <c r="R161" s="211">
        <v>35713</v>
      </c>
      <c r="S161" s="223">
        <f>ROUND(R161*1.05,0)</f>
        <v>37499</v>
      </c>
      <c r="T161" s="223">
        <f t="shared" ref="T161:V161" si="35">ROUND(S161*1.05,0)</f>
        <v>39374</v>
      </c>
      <c r="U161" s="223">
        <f t="shared" si="35"/>
        <v>41343</v>
      </c>
      <c r="V161" s="223">
        <f t="shared" si="35"/>
        <v>43410</v>
      </c>
      <c r="X161" s="656"/>
      <c r="Y161" s="657"/>
      <c r="Z161" s="656"/>
      <c r="AA161" s="657"/>
      <c r="AC161" s="213"/>
    </row>
    <row r="162" spans="1:29" ht="24" customHeight="1">
      <c r="A162" s="396" t="s">
        <v>718</v>
      </c>
      <c r="B162" s="397"/>
      <c r="C162" s="397"/>
      <c r="D162" s="396" t="s">
        <v>716</v>
      </c>
      <c r="E162" s="397"/>
      <c r="F162" s="397"/>
      <c r="G162" s="397"/>
      <c r="H162" s="397"/>
      <c r="I162" s="397"/>
      <c r="J162" s="397"/>
      <c r="K162" s="397"/>
      <c r="L162" s="218"/>
      <c r="M162" s="229"/>
      <c r="N162" s="340">
        <v>0</v>
      </c>
      <c r="O162" s="340">
        <v>3623</v>
      </c>
      <c r="P162" s="225">
        <v>3996</v>
      </c>
      <c r="Q162" s="225">
        <v>3996</v>
      </c>
      <c r="R162" s="211">
        <v>4347</v>
      </c>
      <c r="S162" s="223">
        <f>ROUND(R162*1.03,0)</f>
        <v>4477</v>
      </c>
      <c r="T162" s="223">
        <f t="shared" ref="T162:V162" si="36">ROUND(S162*1.03,0)</f>
        <v>4611</v>
      </c>
      <c r="U162" s="223">
        <f t="shared" si="36"/>
        <v>4749</v>
      </c>
      <c r="V162" s="223">
        <f t="shared" si="36"/>
        <v>4891</v>
      </c>
      <c r="X162" s="656"/>
      <c r="Y162" s="657"/>
      <c r="Z162" s="656"/>
      <c r="AA162" s="657"/>
      <c r="AC162" s="213"/>
    </row>
    <row r="163" spans="1:29" ht="24" customHeight="1">
      <c r="A163" s="396" t="s">
        <v>235</v>
      </c>
      <c r="B163" s="328"/>
      <c r="C163" s="328"/>
      <c r="D163" s="396" t="s">
        <v>100</v>
      </c>
      <c r="E163" s="328"/>
      <c r="F163" s="328"/>
      <c r="G163" s="328"/>
      <c r="H163" s="328"/>
      <c r="I163" s="328"/>
      <c r="J163" s="328"/>
      <c r="K163" s="328"/>
      <c r="L163" s="209"/>
      <c r="M163" s="229"/>
      <c r="N163" s="337">
        <v>1510</v>
      </c>
      <c r="O163" s="337">
        <v>0</v>
      </c>
      <c r="P163" s="212">
        <v>2800</v>
      </c>
      <c r="Q163" s="212">
        <v>2800</v>
      </c>
      <c r="R163" s="211">
        <v>2800</v>
      </c>
      <c r="S163" s="211">
        <v>2800</v>
      </c>
      <c r="T163" s="211">
        <v>2800</v>
      </c>
      <c r="U163" s="211">
        <v>2800</v>
      </c>
      <c r="V163" s="211">
        <v>2800</v>
      </c>
    </row>
    <row r="164" spans="1:29" ht="24" customHeight="1">
      <c r="A164" s="396" t="s">
        <v>272</v>
      </c>
      <c r="B164" s="328"/>
      <c r="C164" s="328"/>
      <c r="D164" s="396" t="s">
        <v>271</v>
      </c>
      <c r="E164" s="328"/>
      <c r="F164" s="328"/>
      <c r="G164" s="328"/>
      <c r="H164" s="328"/>
      <c r="I164" s="328"/>
      <c r="J164" s="328"/>
      <c r="K164" s="328"/>
      <c r="L164" s="209"/>
      <c r="M164" s="229"/>
      <c r="N164" s="337">
        <v>16281</v>
      </c>
      <c r="O164" s="337">
        <v>8788</v>
      </c>
      <c r="P164" s="212">
        <v>16500</v>
      </c>
      <c r="Q164" s="212">
        <v>16500</v>
      </c>
      <c r="R164" s="211">
        <v>15000</v>
      </c>
      <c r="S164" s="211">
        <v>4000</v>
      </c>
      <c r="T164" s="211">
        <v>15000</v>
      </c>
      <c r="U164" s="211">
        <v>4000</v>
      </c>
      <c r="V164" s="211">
        <v>15000</v>
      </c>
    </row>
    <row r="165" spans="1:29" ht="24" customHeight="1">
      <c r="A165" s="396" t="s">
        <v>236</v>
      </c>
      <c r="B165" s="328"/>
      <c r="C165" s="328"/>
      <c r="D165" s="396" t="s">
        <v>153</v>
      </c>
      <c r="E165" s="328"/>
      <c r="F165" s="328"/>
      <c r="G165" s="328"/>
      <c r="H165" s="328"/>
      <c r="I165" s="328"/>
      <c r="J165" s="328"/>
      <c r="K165" s="328"/>
      <c r="L165" s="209"/>
      <c r="M165" s="229"/>
      <c r="N165" s="340">
        <v>8275</v>
      </c>
      <c r="O165" s="340">
        <v>9183</v>
      </c>
      <c r="P165" s="212">
        <v>13000</v>
      </c>
      <c r="Q165" s="212">
        <v>13000</v>
      </c>
      <c r="R165" s="211">
        <v>15000</v>
      </c>
      <c r="S165" s="211">
        <v>15000</v>
      </c>
      <c r="T165" s="211">
        <v>15000</v>
      </c>
      <c r="U165" s="211">
        <v>15000</v>
      </c>
      <c r="V165" s="211">
        <v>15000</v>
      </c>
    </row>
    <row r="166" spans="1:29" ht="24" customHeight="1">
      <c r="A166" s="396" t="s">
        <v>150</v>
      </c>
      <c r="B166" s="328"/>
      <c r="C166" s="328"/>
      <c r="D166" s="396" t="s">
        <v>1319</v>
      </c>
      <c r="E166" s="328"/>
      <c r="F166" s="328"/>
      <c r="G166" s="328"/>
      <c r="H166" s="328"/>
      <c r="I166" s="328"/>
      <c r="J166" s="328"/>
      <c r="K166" s="328"/>
      <c r="L166" s="209"/>
      <c r="M166" s="229"/>
      <c r="N166" s="339">
        <v>6690</v>
      </c>
      <c r="O166" s="339">
        <v>2579</v>
      </c>
      <c r="P166" s="216">
        <v>10000</v>
      </c>
      <c r="Q166" s="216">
        <v>10000</v>
      </c>
      <c r="R166" s="215">
        <v>10000</v>
      </c>
      <c r="S166" s="215">
        <v>10000</v>
      </c>
      <c r="T166" s="215">
        <v>10000</v>
      </c>
      <c r="U166" s="215">
        <v>10000</v>
      </c>
      <c r="V166" s="215">
        <v>10000</v>
      </c>
    </row>
    <row r="167" spans="1:29" ht="24" customHeight="1">
      <c r="A167" s="396" t="s">
        <v>1231</v>
      </c>
      <c r="B167" s="328"/>
      <c r="C167" s="328"/>
      <c r="D167" s="396" t="s">
        <v>1232</v>
      </c>
      <c r="E167" s="543"/>
      <c r="F167" s="543"/>
      <c r="G167" s="543"/>
      <c r="H167" s="543"/>
      <c r="I167" s="543"/>
      <c r="J167" s="543"/>
      <c r="K167" s="543"/>
      <c r="L167" s="209"/>
      <c r="M167" s="229"/>
      <c r="N167" s="337">
        <v>0</v>
      </c>
      <c r="O167" s="337">
        <v>0</v>
      </c>
      <c r="P167" s="212">
        <v>0</v>
      </c>
      <c r="Q167" s="212">
        <v>0</v>
      </c>
      <c r="R167" s="211">
        <f>R475</f>
        <v>49058</v>
      </c>
      <c r="S167" s="211">
        <f t="shared" ref="S167:V167" si="37">S475</f>
        <v>97417</v>
      </c>
      <c r="T167" s="211">
        <f t="shared" si="37"/>
        <v>64917</v>
      </c>
      <c r="U167" s="211">
        <f t="shared" si="37"/>
        <v>64917</v>
      </c>
      <c r="V167" s="211">
        <f t="shared" si="37"/>
        <v>64917</v>
      </c>
      <c r="X167" s="213"/>
    </row>
    <row r="168" spans="1:29" ht="24" customHeight="1">
      <c r="A168" s="396" t="s">
        <v>149</v>
      </c>
      <c r="B168" s="328"/>
      <c r="C168" s="328"/>
      <c r="D168" s="396" t="s">
        <v>98</v>
      </c>
      <c r="E168" s="328"/>
      <c r="F168" s="328"/>
      <c r="G168" s="328"/>
      <c r="H168" s="328"/>
      <c r="I168" s="328"/>
      <c r="J168" s="328"/>
      <c r="K168" s="328"/>
      <c r="L168" s="209"/>
      <c r="M168" s="247"/>
      <c r="N168" s="339">
        <v>11</v>
      </c>
      <c r="O168" s="339">
        <v>359</v>
      </c>
      <c r="P168" s="216">
        <v>200</v>
      </c>
      <c r="Q168" s="216">
        <v>200</v>
      </c>
      <c r="R168" s="215">
        <v>200</v>
      </c>
      <c r="S168" s="215">
        <v>200</v>
      </c>
      <c r="T168" s="215">
        <v>200</v>
      </c>
      <c r="U168" s="215">
        <v>200</v>
      </c>
      <c r="V168" s="215">
        <v>200</v>
      </c>
    </row>
    <row r="169" spans="1:29" ht="24" customHeight="1">
      <c r="A169" s="396" t="s">
        <v>148</v>
      </c>
      <c r="B169" s="328"/>
      <c r="C169" s="328"/>
      <c r="D169" s="396" t="s">
        <v>1320</v>
      </c>
      <c r="E169" s="328"/>
      <c r="F169" s="328"/>
      <c r="G169" s="328"/>
      <c r="H169" s="328"/>
      <c r="I169" s="328"/>
      <c r="J169" s="328"/>
      <c r="K169" s="328"/>
      <c r="L169" s="209"/>
      <c r="M169" s="229"/>
      <c r="N169" s="337">
        <v>4151</v>
      </c>
      <c r="O169" s="337">
        <v>3550</v>
      </c>
      <c r="P169" s="212">
        <v>4500</v>
      </c>
      <c r="Q169" s="212">
        <v>4500</v>
      </c>
      <c r="R169" s="211">
        <v>4500</v>
      </c>
      <c r="S169" s="211">
        <v>4500</v>
      </c>
      <c r="T169" s="211">
        <v>4500</v>
      </c>
      <c r="U169" s="211">
        <v>4500</v>
      </c>
      <c r="V169" s="211">
        <v>4500</v>
      </c>
    </row>
    <row r="170" spans="1:29" ht="24" customHeight="1">
      <c r="A170" s="396" t="s">
        <v>147</v>
      </c>
      <c r="B170" s="328"/>
      <c r="C170" s="328"/>
      <c r="D170" s="396" t="s">
        <v>265</v>
      </c>
      <c r="E170" s="538"/>
      <c r="F170" s="538"/>
      <c r="G170" s="538"/>
      <c r="H170" s="538"/>
      <c r="I170" s="538"/>
      <c r="J170" s="538"/>
      <c r="K170" s="538"/>
      <c r="L170" s="209"/>
      <c r="M170" s="247"/>
      <c r="N170" s="339">
        <v>25933</v>
      </c>
      <c r="O170" s="339">
        <v>26938</v>
      </c>
      <c r="P170" s="216">
        <v>36500</v>
      </c>
      <c r="Q170" s="216">
        <v>36500</v>
      </c>
      <c r="R170" s="215">
        <f t="shared" ref="R170:V170" si="38">21500+15000</f>
        <v>36500</v>
      </c>
      <c r="S170" s="215">
        <f t="shared" si="38"/>
        <v>36500</v>
      </c>
      <c r="T170" s="215">
        <f t="shared" si="38"/>
        <v>36500</v>
      </c>
      <c r="U170" s="215">
        <f t="shared" si="38"/>
        <v>36500</v>
      </c>
      <c r="V170" s="215">
        <f t="shared" si="38"/>
        <v>36500</v>
      </c>
      <c r="X170" s="213"/>
    </row>
    <row r="171" spans="1:29" ht="24" customHeight="1">
      <c r="A171" s="396" t="s">
        <v>146</v>
      </c>
      <c r="B171" s="328"/>
      <c r="C171" s="328"/>
      <c r="D171" s="396" t="s">
        <v>97</v>
      </c>
      <c r="E171" s="328"/>
      <c r="F171" s="328"/>
      <c r="G171" s="328"/>
      <c r="H171" s="328"/>
      <c r="I171" s="328"/>
      <c r="J171" s="328"/>
      <c r="K171" s="328"/>
      <c r="L171" s="209"/>
      <c r="M171" s="229"/>
      <c r="N171" s="337">
        <v>1346</v>
      </c>
      <c r="O171" s="337">
        <v>1210</v>
      </c>
      <c r="P171" s="212">
        <v>3000</v>
      </c>
      <c r="Q171" s="212">
        <v>3000</v>
      </c>
      <c r="R171" s="211">
        <v>3000</v>
      </c>
      <c r="S171" s="211">
        <v>3000</v>
      </c>
      <c r="T171" s="211">
        <v>3000</v>
      </c>
      <c r="U171" s="211">
        <v>3000</v>
      </c>
      <c r="V171" s="211">
        <v>3000</v>
      </c>
    </row>
    <row r="172" spans="1:29" ht="24" customHeight="1">
      <c r="A172" s="396" t="s">
        <v>238</v>
      </c>
      <c r="B172" s="328"/>
      <c r="C172" s="328"/>
      <c r="D172" s="396" t="s">
        <v>1321</v>
      </c>
      <c r="E172" s="328"/>
      <c r="F172" s="328"/>
      <c r="G172" s="328"/>
      <c r="H172" s="328"/>
      <c r="I172" s="328"/>
      <c r="J172" s="328"/>
      <c r="K172" s="328"/>
      <c r="L172" s="209"/>
      <c r="M172" s="247"/>
      <c r="N172" s="339">
        <v>1340</v>
      </c>
      <c r="O172" s="339">
        <v>898</v>
      </c>
      <c r="P172" s="216">
        <v>1350</v>
      </c>
      <c r="Q172" s="216">
        <v>1350</v>
      </c>
      <c r="R172" s="215">
        <f t="shared" ref="R172:V172" si="39">1000+350</f>
        <v>1350</v>
      </c>
      <c r="S172" s="215">
        <f t="shared" si="39"/>
        <v>1350</v>
      </c>
      <c r="T172" s="215">
        <f t="shared" si="39"/>
        <v>1350</v>
      </c>
      <c r="U172" s="215">
        <f t="shared" si="39"/>
        <v>1350</v>
      </c>
      <c r="V172" s="215">
        <f t="shared" si="39"/>
        <v>1350</v>
      </c>
    </row>
    <row r="173" spans="1:29" ht="24" customHeight="1">
      <c r="A173" s="396" t="s">
        <v>145</v>
      </c>
      <c r="B173" s="328"/>
      <c r="C173" s="328"/>
      <c r="D173" s="396" t="s">
        <v>10</v>
      </c>
      <c r="E173" s="328"/>
      <c r="F173" s="328"/>
      <c r="G173" s="328"/>
      <c r="H173" s="328"/>
      <c r="I173" s="328"/>
      <c r="J173" s="328"/>
      <c r="K173" s="328"/>
      <c r="L173" s="209"/>
      <c r="M173" s="247"/>
      <c r="N173" s="339">
        <v>17989</v>
      </c>
      <c r="O173" s="339">
        <v>8092</v>
      </c>
      <c r="P173" s="216">
        <v>8000</v>
      </c>
      <c r="Q173" s="216">
        <v>8000</v>
      </c>
      <c r="R173" s="215">
        <v>15000</v>
      </c>
      <c r="S173" s="215">
        <v>15000</v>
      </c>
      <c r="T173" s="215">
        <v>15000</v>
      </c>
      <c r="U173" s="215">
        <v>15000</v>
      </c>
      <c r="V173" s="215">
        <v>15000</v>
      </c>
    </row>
    <row r="174" spans="1:29" ht="24" customHeight="1">
      <c r="A174" s="396" t="s">
        <v>144</v>
      </c>
      <c r="B174" s="328"/>
      <c r="C174" s="328"/>
      <c r="D174" s="396" t="s">
        <v>152</v>
      </c>
      <c r="E174" s="328"/>
      <c r="F174" s="328"/>
      <c r="G174" s="328"/>
      <c r="H174" s="328"/>
      <c r="I174" s="328"/>
      <c r="J174" s="328"/>
      <c r="K174" s="328"/>
      <c r="L174" s="209"/>
      <c r="M174" s="247"/>
      <c r="N174" s="340">
        <v>0</v>
      </c>
      <c r="O174" s="340">
        <v>0</v>
      </c>
      <c r="P174" s="212">
        <v>10000</v>
      </c>
      <c r="Q174" s="212">
        <v>10000</v>
      </c>
      <c r="R174" s="211">
        <v>20000</v>
      </c>
      <c r="S174" s="211">
        <v>10000</v>
      </c>
      <c r="T174" s="211">
        <v>20000</v>
      </c>
      <c r="U174" s="211">
        <v>10000</v>
      </c>
      <c r="V174" s="211">
        <v>10000</v>
      </c>
      <c r="X174" s="263"/>
      <c r="AC174" s="230"/>
    </row>
    <row r="175" spans="1:29" ht="24" customHeight="1">
      <c r="A175" s="396" t="s">
        <v>143</v>
      </c>
      <c r="B175" s="328"/>
      <c r="C175" s="328"/>
      <c r="D175" s="396" t="s">
        <v>1211</v>
      </c>
      <c r="E175" s="328"/>
      <c r="F175" s="328"/>
      <c r="G175" s="328"/>
      <c r="H175" s="328"/>
      <c r="I175" s="328"/>
      <c r="J175" s="328"/>
      <c r="K175" s="328"/>
      <c r="L175" s="209"/>
      <c r="M175" s="229"/>
      <c r="N175" s="337">
        <v>18078</v>
      </c>
      <c r="O175" s="337">
        <v>16811</v>
      </c>
      <c r="P175" s="212">
        <v>20000</v>
      </c>
      <c r="Q175" s="212">
        <v>20000</v>
      </c>
      <c r="R175" s="211">
        <v>20000</v>
      </c>
      <c r="S175" s="211">
        <v>20000</v>
      </c>
      <c r="T175" s="211">
        <v>20000</v>
      </c>
      <c r="U175" s="211">
        <v>20000</v>
      </c>
      <c r="V175" s="211">
        <v>20000</v>
      </c>
      <c r="X175" s="263"/>
    </row>
    <row r="176" spans="1:29" ht="24" customHeight="1">
      <c r="A176" s="396" t="s">
        <v>142</v>
      </c>
      <c r="B176" s="328"/>
      <c r="C176" s="328"/>
      <c r="D176" s="396" t="s">
        <v>151</v>
      </c>
      <c r="E176" s="328"/>
      <c r="F176" s="397"/>
      <c r="G176" s="397"/>
      <c r="H176" s="397"/>
      <c r="I176" s="397"/>
      <c r="J176" s="397"/>
      <c r="K176" s="397"/>
      <c r="L176" s="218"/>
      <c r="M176" s="229"/>
      <c r="N176" s="337">
        <v>10944</v>
      </c>
      <c r="O176" s="337">
        <v>11660</v>
      </c>
      <c r="P176" s="212">
        <v>15000</v>
      </c>
      <c r="Q176" s="212">
        <v>15000</v>
      </c>
      <c r="R176" s="211">
        <v>15000</v>
      </c>
      <c r="S176" s="211">
        <v>15000</v>
      </c>
      <c r="T176" s="211">
        <v>15000</v>
      </c>
      <c r="U176" s="211">
        <v>15000</v>
      </c>
      <c r="V176" s="211">
        <v>15000</v>
      </c>
    </row>
    <row r="177" spans="1:27" ht="24" customHeight="1">
      <c r="A177" s="396" t="s">
        <v>297</v>
      </c>
      <c r="B177" s="328"/>
      <c r="C177" s="328"/>
      <c r="D177" s="396" t="s">
        <v>162</v>
      </c>
      <c r="E177" s="328"/>
      <c r="F177" s="328"/>
      <c r="G177" s="328"/>
      <c r="H177" s="328"/>
      <c r="I177" s="328"/>
      <c r="J177" s="328"/>
      <c r="K177" s="328"/>
      <c r="L177" s="209"/>
      <c r="M177" s="229"/>
      <c r="N177" s="337">
        <v>2389</v>
      </c>
      <c r="O177" s="337">
        <v>3406</v>
      </c>
      <c r="P177" s="212">
        <v>4000</v>
      </c>
      <c r="Q177" s="212">
        <v>4000</v>
      </c>
      <c r="R177" s="211">
        <v>4000</v>
      </c>
      <c r="S177" s="211">
        <v>4000</v>
      </c>
      <c r="T177" s="211">
        <v>4000</v>
      </c>
      <c r="U177" s="211">
        <v>4000</v>
      </c>
      <c r="V177" s="211">
        <v>4000</v>
      </c>
    </row>
    <row r="178" spans="1:27" ht="24" customHeight="1">
      <c r="A178" s="396" t="s">
        <v>237</v>
      </c>
      <c r="B178" s="397"/>
      <c r="C178" s="397"/>
      <c r="D178" s="178" t="s">
        <v>891</v>
      </c>
      <c r="E178" s="397"/>
      <c r="F178" s="328"/>
      <c r="G178" s="328"/>
      <c r="H178" s="328"/>
      <c r="I178" s="328"/>
      <c r="J178" s="328"/>
      <c r="K178" s="328"/>
      <c r="L178" s="209"/>
      <c r="M178" s="247"/>
      <c r="N178" s="339">
        <v>6660</v>
      </c>
      <c r="O178" s="339">
        <v>6660</v>
      </c>
      <c r="P178" s="216">
        <v>7000</v>
      </c>
      <c r="Q178" s="216">
        <v>7000</v>
      </c>
      <c r="R178" s="215">
        <v>7000</v>
      </c>
      <c r="S178" s="215">
        <v>7000</v>
      </c>
      <c r="T178" s="215">
        <v>7000</v>
      </c>
      <c r="U178" s="215">
        <v>7000</v>
      </c>
      <c r="V178" s="215">
        <v>7000</v>
      </c>
    </row>
    <row r="179" spans="1:27" ht="24" customHeight="1">
      <c r="A179" s="396" t="s">
        <v>796</v>
      </c>
      <c r="B179" s="397"/>
      <c r="C179" s="397"/>
      <c r="D179" s="396" t="s">
        <v>94</v>
      </c>
      <c r="E179" s="397"/>
      <c r="F179" s="328"/>
      <c r="G179" s="328"/>
      <c r="H179" s="328"/>
      <c r="I179" s="328"/>
      <c r="J179" s="328"/>
      <c r="K179" s="328"/>
      <c r="L179" s="209"/>
      <c r="M179" s="264"/>
      <c r="N179" s="341">
        <v>4224</v>
      </c>
      <c r="O179" s="341">
        <v>5761</v>
      </c>
      <c r="P179" s="224">
        <v>6500</v>
      </c>
      <c r="Q179" s="224">
        <v>6500</v>
      </c>
      <c r="R179" s="223">
        <v>6500</v>
      </c>
      <c r="S179" s="223">
        <v>7000</v>
      </c>
      <c r="T179" s="223">
        <v>7000</v>
      </c>
      <c r="U179" s="223">
        <v>7000</v>
      </c>
      <c r="V179" s="223">
        <v>7000</v>
      </c>
    </row>
    <row r="180" spans="1:27" ht="24" customHeight="1">
      <c r="A180" s="396" t="s">
        <v>252</v>
      </c>
      <c r="B180" s="328"/>
      <c r="C180" s="328"/>
      <c r="D180" s="396" t="s">
        <v>1323</v>
      </c>
      <c r="E180" s="536"/>
      <c r="F180" s="536"/>
      <c r="G180" s="536"/>
      <c r="H180" s="536"/>
      <c r="I180" s="536"/>
      <c r="J180" s="536"/>
      <c r="K180" s="536"/>
      <c r="L180" s="209"/>
      <c r="M180" s="264"/>
      <c r="N180" s="341">
        <v>38130</v>
      </c>
      <c r="O180" s="341">
        <v>51153</v>
      </c>
      <c r="P180" s="224">
        <v>51000</v>
      </c>
      <c r="Q180" s="224">
        <v>51000</v>
      </c>
      <c r="R180" s="223">
        <v>60000</v>
      </c>
      <c r="S180" s="223">
        <v>60000</v>
      </c>
      <c r="T180" s="223">
        <v>60000</v>
      </c>
      <c r="U180" s="223">
        <v>60000</v>
      </c>
      <c r="V180" s="223">
        <v>60000</v>
      </c>
      <c r="X180" s="213"/>
      <c r="AA180" s="213"/>
    </row>
    <row r="181" spans="1:27" ht="24" customHeight="1">
      <c r="A181" s="396" t="s">
        <v>159</v>
      </c>
      <c r="B181" s="328"/>
      <c r="C181" s="328"/>
      <c r="D181" s="396" t="s">
        <v>105</v>
      </c>
      <c r="E181" s="328"/>
      <c r="F181" s="328"/>
      <c r="G181" s="328"/>
      <c r="H181" s="328"/>
      <c r="I181" s="328"/>
      <c r="J181" s="328"/>
      <c r="K181" s="328"/>
      <c r="L181" s="209"/>
      <c r="M181" s="229"/>
      <c r="N181" s="337">
        <v>17449</v>
      </c>
      <c r="O181" s="337">
        <v>18710</v>
      </c>
      <c r="P181" s="224">
        <v>16000</v>
      </c>
      <c r="Q181" s="224">
        <v>16000</v>
      </c>
      <c r="R181" s="223">
        <v>20000</v>
      </c>
      <c r="S181" s="223">
        <v>20000</v>
      </c>
      <c r="T181" s="223">
        <v>20000</v>
      </c>
      <c r="U181" s="223">
        <v>20000</v>
      </c>
      <c r="V181" s="223">
        <v>20000</v>
      </c>
      <c r="X181" s="263"/>
    </row>
    <row r="182" spans="1:27" ht="24" customHeight="1">
      <c r="A182" s="396" t="s">
        <v>158</v>
      </c>
      <c r="B182" s="328"/>
      <c r="C182" s="328"/>
      <c r="D182" s="396" t="s">
        <v>11</v>
      </c>
      <c r="E182" s="328"/>
      <c r="F182" s="328"/>
      <c r="G182" s="328"/>
      <c r="H182" s="328"/>
      <c r="I182" s="328"/>
      <c r="J182" s="328"/>
      <c r="K182" s="328"/>
      <c r="L182" s="209"/>
      <c r="M182" s="229"/>
      <c r="N182" s="337">
        <v>2266</v>
      </c>
      <c r="O182" s="337">
        <v>4646</v>
      </c>
      <c r="P182" s="212">
        <v>4500</v>
      </c>
      <c r="Q182" s="212">
        <v>4500</v>
      </c>
      <c r="R182" s="211">
        <v>4500</v>
      </c>
      <c r="S182" s="211">
        <v>4500</v>
      </c>
      <c r="T182" s="211">
        <v>4500</v>
      </c>
      <c r="U182" s="211">
        <v>4500</v>
      </c>
      <c r="V182" s="211">
        <v>4500</v>
      </c>
    </row>
    <row r="183" spans="1:27" ht="24" customHeight="1">
      <c r="A183" s="396" t="s">
        <v>157</v>
      </c>
      <c r="B183" s="328"/>
      <c r="C183" s="328"/>
      <c r="D183" s="396" t="s">
        <v>12</v>
      </c>
      <c r="E183" s="328"/>
      <c r="F183" s="328"/>
      <c r="G183" s="328"/>
      <c r="H183" s="328"/>
      <c r="I183" s="328"/>
      <c r="J183" s="328"/>
      <c r="K183" s="328"/>
      <c r="L183" s="209"/>
      <c r="M183" s="229"/>
      <c r="N183" s="337">
        <v>6491</v>
      </c>
      <c r="O183" s="337">
        <v>18356</v>
      </c>
      <c r="P183" s="212">
        <v>8000</v>
      </c>
      <c r="Q183" s="212">
        <v>8000</v>
      </c>
      <c r="R183" s="211">
        <v>10000</v>
      </c>
      <c r="S183" s="211">
        <v>10000</v>
      </c>
      <c r="T183" s="211">
        <v>10000</v>
      </c>
      <c r="U183" s="211">
        <v>10000</v>
      </c>
      <c r="V183" s="211">
        <v>10000</v>
      </c>
    </row>
    <row r="184" spans="1:27" ht="24" customHeight="1">
      <c r="A184" s="396" t="s">
        <v>156</v>
      </c>
      <c r="B184" s="328"/>
      <c r="C184" s="328"/>
      <c r="D184" s="396" t="s">
        <v>274</v>
      </c>
      <c r="E184" s="328"/>
      <c r="F184" s="328"/>
      <c r="G184" s="328"/>
      <c r="H184" s="328"/>
      <c r="I184" s="328"/>
      <c r="J184" s="328"/>
      <c r="K184" s="328"/>
      <c r="L184" s="209"/>
      <c r="M184" s="229"/>
      <c r="N184" s="337">
        <v>8405</v>
      </c>
      <c r="O184" s="337">
        <v>3227</v>
      </c>
      <c r="P184" s="212">
        <v>7000</v>
      </c>
      <c r="Q184" s="212">
        <v>7000</v>
      </c>
      <c r="R184" s="211">
        <v>12000</v>
      </c>
      <c r="S184" s="211">
        <v>12000</v>
      </c>
      <c r="T184" s="211">
        <v>12000</v>
      </c>
      <c r="U184" s="211">
        <v>12000</v>
      </c>
      <c r="V184" s="211">
        <v>12000</v>
      </c>
    </row>
    <row r="185" spans="1:27" ht="24" customHeight="1">
      <c r="A185" s="396" t="s">
        <v>251</v>
      </c>
      <c r="B185" s="328"/>
      <c r="C185" s="328"/>
      <c r="D185" s="396" t="s">
        <v>1322</v>
      </c>
      <c r="E185" s="328"/>
      <c r="F185" s="328"/>
      <c r="G185" s="328"/>
      <c r="H185" s="328"/>
      <c r="I185" s="328"/>
      <c r="J185" s="328"/>
      <c r="K185" s="328"/>
      <c r="L185" s="209"/>
      <c r="M185" s="247"/>
      <c r="N185" s="339">
        <v>12821</v>
      </c>
      <c r="O185" s="339">
        <v>5767</v>
      </c>
      <c r="P185" s="216">
        <v>12250</v>
      </c>
      <c r="Q185" s="216">
        <v>12250</v>
      </c>
      <c r="R185" s="215">
        <f>9750+2500</f>
        <v>12250</v>
      </c>
      <c r="S185" s="215">
        <f>9750+2500</f>
        <v>12250</v>
      </c>
      <c r="T185" s="215">
        <f>9750+2500</f>
        <v>12250</v>
      </c>
      <c r="U185" s="215">
        <f>9750+2500</f>
        <v>12250</v>
      </c>
      <c r="V185" s="215">
        <f>9750+2500</f>
        <v>12250</v>
      </c>
    </row>
    <row r="186" spans="1:27" ht="24" customHeight="1">
      <c r="A186" s="396" t="s">
        <v>892</v>
      </c>
      <c r="B186" s="328"/>
      <c r="C186" s="328"/>
      <c r="D186" s="396" t="s">
        <v>893</v>
      </c>
      <c r="E186" s="328"/>
      <c r="F186" s="328"/>
      <c r="G186" s="328"/>
      <c r="H186" s="328"/>
      <c r="I186" s="328"/>
      <c r="J186" s="328"/>
      <c r="K186" s="328"/>
      <c r="L186" s="209"/>
      <c r="M186" s="247"/>
      <c r="N186" s="339">
        <v>77</v>
      </c>
      <c r="O186" s="339">
        <v>0</v>
      </c>
      <c r="P186" s="216">
        <v>7370</v>
      </c>
      <c r="Q186" s="216">
        <v>7370</v>
      </c>
      <c r="R186" s="215">
        <v>7370</v>
      </c>
      <c r="S186" s="215">
        <v>7370</v>
      </c>
      <c r="T186" s="215">
        <v>7370</v>
      </c>
      <c r="U186" s="215">
        <v>7370</v>
      </c>
      <c r="V186" s="215">
        <v>7370</v>
      </c>
    </row>
    <row r="187" spans="1:27" ht="24" customHeight="1">
      <c r="A187" s="396" t="s">
        <v>259</v>
      </c>
      <c r="B187" s="328"/>
      <c r="C187" s="328"/>
      <c r="D187" s="396" t="s">
        <v>260</v>
      </c>
      <c r="E187" s="543"/>
      <c r="F187" s="543"/>
      <c r="G187" s="543"/>
      <c r="H187" s="543"/>
      <c r="I187" s="543"/>
      <c r="J187" s="543"/>
      <c r="K187" s="543"/>
      <c r="L187" s="209"/>
      <c r="M187" s="229"/>
      <c r="N187" s="337">
        <v>4314</v>
      </c>
      <c r="O187" s="337">
        <v>3025</v>
      </c>
      <c r="P187" s="212">
        <v>4200</v>
      </c>
      <c r="Q187" s="212">
        <v>4200</v>
      </c>
      <c r="R187" s="211">
        <v>4200</v>
      </c>
      <c r="S187" s="211">
        <v>4200</v>
      </c>
      <c r="T187" s="211">
        <v>4200</v>
      </c>
      <c r="U187" s="211">
        <v>4200</v>
      </c>
      <c r="V187" s="211">
        <v>4200</v>
      </c>
    </row>
    <row r="188" spans="1:27" ht="24" customHeight="1">
      <c r="A188" s="396" t="s">
        <v>155</v>
      </c>
      <c r="B188" s="328"/>
      <c r="C188" s="328"/>
      <c r="D188" s="396" t="s">
        <v>161</v>
      </c>
      <c r="E188" s="543"/>
      <c r="F188" s="543"/>
      <c r="G188" s="543"/>
      <c r="H188" s="543"/>
      <c r="I188" s="543"/>
      <c r="J188" s="543"/>
      <c r="K188" s="543"/>
      <c r="L188" s="209"/>
      <c r="M188" s="229"/>
      <c r="N188" s="339">
        <v>79977</v>
      </c>
      <c r="O188" s="339">
        <v>81459</v>
      </c>
      <c r="P188" s="216">
        <v>90950</v>
      </c>
      <c r="Q188" s="216">
        <v>90950</v>
      </c>
      <c r="R188" s="215">
        <f>ROUND(Q188*1.07,0)</f>
        <v>97317</v>
      </c>
      <c r="S188" s="215">
        <f>ROUND(R188*1.07,0)</f>
        <v>104129</v>
      </c>
      <c r="T188" s="215">
        <f>ROUND(S188*1.07,0)</f>
        <v>111418</v>
      </c>
      <c r="U188" s="215">
        <f>ROUND(T188*1.07,0)</f>
        <v>119217</v>
      </c>
      <c r="V188" s="215">
        <f>ROUND(U188*1.07,0)</f>
        <v>127562</v>
      </c>
      <c r="X188" s="217"/>
    </row>
    <row r="189" spans="1:27" ht="24" customHeight="1">
      <c r="A189" s="396" t="s">
        <v>154</v>
      </c>
      <c r="B189" s="328"/>
      <c r="C189" s="328"/>
      <c r="D189" s="396" t="s">
        <v>160</v>
      </c>
      <c r="E189" s="328"/>
      <c r="F189" s="328"/>
      <c r="G189" s="328"/>
      <c r="H189" s="328"/>
      <c r="I189" s="328"/>
      <c r="J189" s="328"/>
      <c r="K189" s="328"/>
      <c r="L189" s="209"/>
      <c r="M189" s="232"/>
      <c r="N189" s="344">
        <v>1223</v>
      </c>
      <c r="O189" s="344">
        <v>1868</v>
      </c>
      <c r="P189" s="252">
        <v>3000</v>
      </c>
      <c r="Q189" s="252">
        <v>3000</v>
      </c>
      <c r="R189" s="233">
        <v>5000</v>
      </c>
      <c r="S189" s="233">
        <v>5000</v>
      </c>
      <c r="T189" s="233">
        <v>5000</v>
      </c>
      <c r="U189" s="233">
        <v>5000</v>
      </c>
      <c r="V189" s="233">
        <v>5000</v>
      </c>
    </row>
    <row r="190" spans="1:27" s="328" customFormat="1" ht="24" customHeight="1">
      <c r="A190" s="396"/>
      <c r="D190" s="396"/>
      <c r="L190" s="424"/>
      <c r="M190" s="427"/>
      <c r="N190" s="359">
        <f t="shared" ref="N190:V190" si="40">SUM(N149:N189)</f>
        <v>2846420</v>
      </c>
      <c r="O190" s="359">
        <f t="shared" si="40"/>
        <v>3550956</v>
      </c>
      <c r="P190" s="358">
        <f t="shared" si="40"/>
        <v>4140047</v>
      </c>
      <c r="Q190" s="358">
        <f t="shared" si="40"/>
        <v>4046687</v>
      </c>
      <c r="R190" s="359">
        <f t="shared" si="40"/>
        <v>4581682</v>
      </c>
      <c r="S190" s="359">
        <f t="shared" si="40"/>
        <v>4942697</v>
      </c>
      <c r="T190" s="359">
        <f t="shared" si="40"/>
        <v>5122695</v>
      </c>
      <c r="U190" s="359">
        <f t="shared" si="40"/>
        <v>5301888</v>
      </c>
      <c r="V190" s="359">
        <f t="shared" si="40"/>
        <v>5522333</v>
      </c>
      <c r="W190" s="640"/>
    </row>
    <row r="191" spans="1:27" ht="15" customHeight="1">
      <c r="A191" s="396"/>
      <c r="B191" s="328"/>
      <c r="C191" s="328"/>
      <c r="D191" s="396"/>
      <c r="E191" s="328"/>
      <c r="F191" s="328"/>
      <c r="G191" s="328"/>
      <c r="H191" s="328"/>
      <c r="I191" s="328"/>
      <c r="J191" s="328"/>
      <c r="K191" s="328"/>
      <c r="L191" s="209"/>
      <c r="M191" s="229"/>
      <c r="N191" s="337"/>
      <c r="O191" s="337"/>
      <c r="P191" s="212"/>
      <c r="Q191" s="212"/>
      <c r="R191" s="211"/>
      <c r="S191" s="211"/>
      <c r="T191" s="211"/>
      <c r="U191" s="211"/>
      <c r="V191" s="211"/>
    </row>
    <row r="192" spans="1:27" ht="24" customHeight="1">
      <c r="A192" s="400" t="s">
        <v>735</v>
      </c>
      <c r="B192" s="328"/>
      <c r="C192" s="328"/>
      <c r="D192" s="328"/>
      <c r="E192" s="328"/>
      <c r="F192" s="328"/>
      <c r="G192" s="328"/>
      <c r="H192" s="328"/>
      <c r="I192" s="328"/>
      <c r="J192" s="328"/>
      <c r="K192" s="328"/>
      <c r="L192" s="209"/>
      <c r="N192" s="346"/>
      <c r="O192" s="346"/>
      <c r="P192" s="238"/>
      <c r="Q192" s="238"/>
      <c r="R192" s="237"/>
      <c r="S192" s="237"/>
      <c r="T192" s="237"/>
      <c r="U192" s="237"/>
      <c r="V192" s="237"/>
    </row>
    <row r="193" spans="1:32" ht="24" customHeight="1">
      <c r="A193" s="396" t="s">
        <v>163</v>
      </c>
      <c r="B193" s="397"/>
      <c r="C193" s="397"/>
      <c r="D193" s="396" t="s">
        <v>1095</v>
      </c>
      <c r="E193" s="546"/>
      <c r="F193" s="546"/>
      <c r="G193" s="546"/>
      <c r="H193" s="546"/>
      <c r="I193" s="546"/>
      <c r="J193" s="546"/>
      <c r="K193" s="546"/>
      <c r="L193" s="218"/>
      <c r="M193" s="247"/>
      <c r="N193" s="339">
        <v>188249</v>
      </c>
      <c r="O193" s="339">
        <v>183615</v>
      </c>
      <c r="P193" s="216">
        <v>195666</v>
      </c>
      <c r="Q193" s="216">
        <v>195666</v>
      </c>
      <c r="R193" s="215">
        <v>297457</v>
      </c>
      <c r="S193" s="227">
        <v>306381</v>
      </c>
      <c r="T193" s="227">
        <v>317104</v>
      </c>
      <c r="U193" s="227">
        <v>328203</v>
      </c>
      <c r="V193" s="227">
        <v>339690</v>
      </c>
      <c r="X193" s="656"/>
      <c r="Y193" s="657"/>
      <c r="Z193" s="657"/>
      <c r="AA193" s="657"/>
    </row>
    <row r="194" spans="1:32" ht="24" customHeight="1">
      <c r="A194" s="396" t="s">
        <v>750</v>
      </c>
      <c r="B194" s="399"/>
      <c r="C194" s="399"/>
      <c r="D194" s="396" t="s">
        <v>76</v>
      </c>
      <c r="E194" s="399"/>
      <c r="F194" s="399"/>
      <c r="G194" s="546"/>
      <c r="H194" s="546"/>
      <c r="I194" s="546"/>
      <c r="J194" s="546"/>
      <c r="K194" s="546"/>
      <c r="L194" s="218"/>
      <c r="M194" s="247"/>
      <c r="N194" s="339">
        <v>0</v>
      </c>
      <c r="O194" s="339">
        <v>15781</v>
      </c>
      <c r="P194" s="216">
        <v>30000</v>
      </c>
      <c r="Q194" s="216">
        <v>30000</v>
      </c>
      <c r="R194" s="215">
        <v>30000</v>
      </c>
      <c r="S194" s="215">
        <v>30000</v>
      </c>
      <c r="T194" s="215">
        <v>30000</v>
      </c>
      <c r="U194" s="215">
        <v>30000</v>
      </c>
      <c r="V194" s="215">
        <v>30000</v>
      </c>
      <c r="X194" s="656"/>
      <c r="Y194" s="657"/>
      <c r="Z194" s="657"/>
      <c r="AA194" s="657"/>
      <c r="AB194" s="213"/>
      <c r="AF194" s="265"/>
    </row>
    <row r="195" spans="1:32" ht="24" customHeight="1">
      <c r="A195" s="396" t="s">
        <v>165</v>
      </c>
      <c r="B195" s="397"/>
      <c r="C195" s="397"/>
      <c r="D195" s="396" t="s">
        <v>8</v>
      </c>
      <c r="E195" s="546"/>
      <c r="F195" s="546"/>
      <c r="G195" s="546"/>
      <c r="H195" s="546"/>
      <c r="I195" s="546"/>
      <c r="J195" s="546"/>
      <c r="K195" s="546"/>
      <c r="L195" s="218"/>
      <c r="M195" s="247"/>
      <c r="N195" s="339">
        <v>17492</v>
      </c>
      <c r="O195" s="339">
        <v>19592</v>
      </c>
      <c r="P195" s="216">
        <v>21685</v>
      </c>
      <c r="Q195" s="216">
        <v>21685</v>
      </c>
      <c r="R195" s="215">
        <v>35474</v>
      </c>
      <c r="S195" s="215">
        <v>39217</v>
      </c>
      <c r="T195" s="215">
        <v>43031</v>
      </c>
      <c r="U195" s="215">
        <v>47196</v>
      </c>
      <c r="V195" s="215">
        <v>51803</v>
      </c>
      <c r="X195" s="656"/>
      <c r="Y195" s="657"/>
      <c r="Z195" s="657"/>
      <c r="AA195" s="657"/>
    </row>
    <row r="196" spans="1:32" ht="24" customHeight="1">
      <c r="A196" s="396" t="s">
        <v>164</v>
      </c>
      <c r="B196" s="328"/>
      <c r="C196" s="328"/>
      <c r="D196" s="396" t="s">
        <v>9</v>
      </c>
      <c r="E196" s="547"/>
      <c r="F196" s="547"/>
      <c r="G196" s="547"/>
      <c r="H196" s="547"/>
      <c r="I196" s="547"/>
      <c r="J196" s="547"/>
      <c r="K196" s="547"/>
      <c r="L196" s="209"/>
      <c r="M196" s="247"/>
      <c r="N196" s="339">
        <v>13968</v>
      </c>
      <c r="O196" s="339">
        <v>14716</v>
      </c>
      <c r="P196" s="216">
        <v>16953</v>
      </c>
      <c r="Q196" s="216">
        <v>16953</v>
      </c>
      <c r="R196" s="215">
        <v>24681</v>
      </c>
      <c r="S196" s="227">
        <v>25421</v>
      </c>
      <c r="T196" s="227">
        <v>26311</v>
      </c>
      <c r="U196" s="227">
        <v>27232</v>
      </c>
      <c r="V196" s="227">
        <v>28185</v>
      </c>
      <c r="X196" s="656"/>
      <c r="Y196" s="657"/>
      <c r="Z196" s="657"/>
      <c r="AA196" s="657"/>
    </row>
    <row r="197" spans="1:32" ht="24" customHeight="1">
      <c r="A197" s="396" t="s">
        <v>697</v>
      </c>
      <c r="B197" s="328"/>
      <c r="C197" s="328"/>
      <c r="D197" s="396" t="s">
        <v>13</v>
      </c>
      <c r="E197" s="547"/>
      <c r="F197" s="547"/>
      <c r="G197" s="547"/>
      <c r="H197" s="547"/>
      <c r="I197" s="547"/>
      <c r="J197" s="547"/>
      <c r="K197" s="547"/>
      <c r="L197" s="209"/>
      <c r="M197" s="229"/>
      <c r="N197" s="340">
        <v>0</v>
      </c>
      <c r="O197" s="340">
        <v>45833</v>
      </c>
      <c r="P197" s="225">
        <v>50430</v>
      </c>
      <c r="Q197" s="225">
        <v>50430</v>
      </c>
      <c r="R197" s="223">
        <v>58362</v>
      </c>
      <c r="S197" s="223">
        <f>ROUND(R197*1.08,0)</f>
        <v>63031</v>
      </c>
      <c r="T197" s="223">
        <f t="shared" ref="T197:V197" si="41">ROUND(S197*1.08,0)</f>
        <v>68073</v>
      </c>
      <c r="U197" s="223">
        <f t="shared" si="41"/>
        <v>73519</v>
      </c>
      <c r="V197" s="223">
        <f t="shared" si="41"/>
        <v>79401</v>
      </c>
      <c r="X197" s="656"/>
      <c r="Y197" s="657"/>
      <c r="Z197" s="656"/>
      <c r="AA197" s="657"/>
      <c r="AC197" s="213"/>
    </row>
    <row r="198" spans="1:32" ht="24" customHeight="1">
      <c r="A198" s="396" t="s">
        <v>698</v>
      </c>
      <c r="B198" s="328"/>
      <c r="C198" s="328"/>
      <c r="D198" s="396" t="s">
        <v>207</v>
      </c>
      <c r="E198" s="547"/>
      <c r="F198" s="547"/>
      <c r="G198" s="547"/>
      <c r="H198" s="547"/>
      <c r="I198" s="547"/>
      <c r="J198" s="547"/>
      <c r="K198" s="547"/>
      <c r="L198" s="209"/>
      <c r="M198" s="229"/>
      <c r="N198" s="340">
        <v>0</v>
      </c>
      <c r="O198" s="340">
        <v>511</v>
      </c>
      <c r="P198" s="225">
        <v>325</v>
      </c>
      <c r="Q198" s="225">
        <v>325</v>
      </c>
      <c r="R198" s="223">
        <v>447</v>
      </c>
      <c r="S198" s="223">
        <f>ROUND(R198*1.01,0)</f>
        <v>451</v>
      </c>
      <c r="T198" s="223">
        <f t="shared" ref="T198:V198" si="42">ROUND(S198*1.01,0)</f>
        <v>456</v>
      </c>
      <c r="U198" s="223">
        <f t="shared" si="42"/>
        <v>461</v>
      </c>
      <c r="V198" s="223">
        <f t="shared" si="42"/>
        <v>466</v>
      </c>
      <c r="X198" s="656"/>
      <c r="Y198" s="657"/>
      <c r="Z198" s="656"/>
      <c r="AA198" s="657"/>
      <c r="AC198" s="213"/>
    </row>
    <row r="199" spans="1:32" ht="24" customHeight="1">
      <c r="A199" s="396" t="s">
        <v>699</v>
      </c>
      <c r="B199" s="328"/>
      <c r="C199" s="328"/>
      <c r="D199" s="396" t="s">
        <v>714</v>
      </c>
      <c r="E199" s="547"/>
      <c r="F199" s="547"/>
      <c r="G199" s="547"/>
      <c r="H199" s="547"/>
      <c r="I199" s="547"/>
      <c r="J199" s="547"/>
      <c r="K199" s="547"/>
      <c r="L199" s="209"/>
      <c r="M199" s="229"/>
      <c r="N199" s="340">
        <v>0</v>
      </c>
      <c r="O199" s="340">
        <v>3393</v>
      </c>
      <c r="P199" s="225">
        <v>3605</v>
      </c>
      <c r="Q199" s="225">
        <v>3605</v>
      </c>
      <c r="R199" s="223">
        <v>3187</v>
      </c>
      <c r="S199" s="223">
        <f>ROUND(R199*1.05,0)</f>
        <v>3346</v>
      </c>
      <c r="T199" s="223">
        <f t="shared" ref="T199:V199" si="43">ROUND(S199*1.05,0)</f>
        <v>3513</v>
      </c>
      <c r="U199" s="223">
        <f t="shared" si="43"/>
        <v>3689</v>
      </c>
      <c r="V199" s="223">
        <f t="shared" si="43"/>
        <v>3873</v>
      </c>
      <c r="X199" s="656"/>
      <c r="Y199" s="657"/>
      <c r="Z199" s="656"/>
      <c r="AA199" s="657"/>
      <c r="AC199" s="213"/>
    </row>
    <row r="200" spans="1:32" ht="24" customHeight="1">
      <c r="A200" s="396" t="s">
        <v>719</v>
      </c>
      <c r="B200" s="328"/>
      <c r="C200" s="328"/>
      <c r="D200" s="396" t="s">
        <v>716</v>
      </c>
      <c r="E200" s="547"/>
      <c r="F200" s="547"/>
      <c r="G200" s="547"/>
      <c r="H200" s="547"/>
      <c r="I200" s="547"/>
      <c r="J200" s="547"/>
      <c r="K200" s="547"/>
      <c r="L200" s="209"/>
      <c r="M200" s="229"/>
      <c r="N200" s="340">
        <v>0</v>
      </c>
      <c r="O200" s="340">
        <v>370</v>
      </c>
      <c r="P200" s="225">
        <v>379</v>
      </c>
      <c r="Q200" s="225">
        <v>379</v>
      </c>
      <c r="R200" s="223">
        <v>390</v>
      </c>
      <c r="S200" s="223">
        <f>ROUND(R200*1.03,0)</f>
        <v>402</v>
      </c>
      <c r="T200" s="223">
        <f t="shared" ref="T200:V200" si="44">ROUND(S200*1.03,0)</f>
        <v>414</v>
      </c>
      <c r="U200" s="223">
        <f t="shared" si="44"/>
        <v>426</v>
      </c>
      <c r="V200" s="223">
        <f t="shared" si="44"/>
        <v>439</v>
      </c>
      <c r="X200" s="656"/>
      <c r="Y200" s="657"/>
      <c r="Z200" s="656"/>
      <c r="AA200" s="657"/>
      <c r="AC200" s="213"/>
    </row>
    <row r="201" spans="1:32" ht="24" customHeight="1">
      <c r="A201" s="396" t="s">
        <v>173</v>
      </c>
      <c r="B201" s="397"/>
      <c r="C201" s="397"/>
      <c r="D201" s="396" t="s">
        <v>99</v>
      </c>
      <c r="E201" s="397"/>
      <c r="F201" s="397"/>
      <c r="G201" s="397"/>
      <c r="H201" s="397"/>
      <c r="I201" s="397"/>
      <c r="J201" s="397"/>
      <c r="K201" s="397"/>
      <c r="L201" s="218"/>
      <c r="M201" s="229"/>
      <c r="N201" s="337">
        <v>1144</v>
      </c>
      <c r="O201" s="337">
        <v>1863</v>
      </c>
      <c r="P201" s="212">
        <v>2000</v>
      </c>
      <c r="Q201" s="212">
        <v>2000</v>
      </c>
      <c r="R201" s="211">
        <v>3000</v>
      </c>
      <c r="S201" s="211">
        <v>3000</v>
      </c>
      <c r="T201" s="211">
        <v>3000</v>
      </c>
      <c r="U201" s="211">
        <v>3000</v>
      </c>
      <c r="V201" s="211">
        <v>3000</v>
      </c>
      <c r="X201" s="213"/>
    </row>
    <row r="202" spans="1:32" ht="24" customHeight="1">
      <c r="A202" s="396" t="s">
        <v>172</v>
      </c>
      <c r="B202" s="328"/>
      <c r="C202" s="328"/>
      <c r="D202" s="396" t="s">
        <v>1319</v>
      </c>
      <c r="E202" s="328"/>
      <c r="F202" s="328"/>
      <c r="G202" s="328"/>
      <c r="H202" s="328"/>
      <c r="I202" s="328"/>
      <c r="J202" s="328"/>
      <c r="K202" s="328"/>
      <c r="L202" s="209"/>
      <c r="M202" s="229"/>
      <c r="N202" s="337">
        <v>573</v>
      </c>
      <c r="O202" s="337">
        <v>631</v>
      </c>
      <c r="P202" s="212">
        <v>1500</v>
      </c>
      <c r="Q202" s="212">
        <v>1500</v>
      </c>
      <c r="R202" s="211">
        <v>2000</v>
      </c>
      <c r="S202" s="211">
        <v>2000</v>
      </c>
      <c r="T202" s="211">
        <v>2000</v>
      </c>
      <c r="U202" s="211">
        <v>2000</v>
      </c>
      <c r="V202" s="211">
        <v>2000</v>
      </c>
      <c r="Y202" s="265"/>
    </row>
    <row r="203" spans="1:32" ht="24" customHeight="1">
      <c r="A203" s="396" t="s">
        <v>171</v>
      </c>
      <c r="B203" s="397"/>
      <c r="C203" s="397"/>
      <c r="D203" s="396" t="s">
        <v>98</v>
      </c>
      <c r="E203" s="397"/>
      <c r="F203" s="397"/>
      <c r="G203" s="397"/>
      <c r="H203" s="397"/>
      <c r="I203" s="397"/>
      <c r="J203" s="397"/>
      <c r="K203" s="397"/>
      <c r="L203" s="218"/>
      <c r="M203" s="229"/>
      <c r="N203" s="337">
        <v>185</v>
      </c>
      <c r="O203" s="337">
        <v>291</v>
      </c>
      <c r="P203" s="212">
        <v>500</v>
      </c>
      <c r="Q203" s="212">
        <v>500</v>
      </c>
      <c r="R203" s="211">
        <v>1000</v>
      </c>
      <c r="S203" s="211">
        <v>1000</v>
      </c>
      <c r="T203" s="211">
        <v>1000</v>
      </c>
      <c r="U203" s="211">
        <v>1000</v>
      </c>
      <c r="V203" s="211">
        <v>1000</v>
      </c>
    </row>
    <row r="204" spans="1:32" ht="24" customHeight="1">
      <c r="A204" s="396" t="s">
        <v>170</v>
      </c>
      <c r="B204" s="328"/>
      <c r="C204" s="328"/>
      <c r="D204" s="396" t="s">
        <v>1320</v>
      </c>
      <c r="E204" s="328"/>
      <c r="F204" s="328"/>
      <c r="G204" s="328"/>
      <c r="H204" s="328"/>
      <c r="I204" s="328"/>
      <c r="J204" s="328"/>
      <c r="K204" s="328"/>
      <c r="L204" s="209"/>
      <c r="M204" s="229"/>
      <c r="N204" s="339">
        <v>994</v>
      </c>
      <c r="O204" s="339">
        <v>1368</v>
      </c>
      <c r="P204" s="216">
        <v>4250</v>
      </c>
      <c r="Q204" s="216">
        <v>4250</v>
      </c>
      <c r="R204" s="215">
        <f t="shared" ref="R204:V204" si="45">3000+3600-350-2000</f>
        <v>4250</v>
      </c>
      <c r="S204" s="215">
        <f t="shared" si="45"/>
        <v>4250</v>
      </c>
      <c r="T204" s="215">
        <f t="shared" si="45"/>
        <v>4250</v>
      </c>
      <c r="U204" s="215">
        <f t="shared" si="45"/>
        <v>4250</v>
      </c>
      <c r="V204" s="215">
        <f t="shared" si="45"/>
        <v>4250</v>
      </c>
    </row>
    <row r="205" spans="1:32" ht="24" customHeight="1">
      <c r="A205" s="396" t="s">
        <v>169</v>
      </c>
      <c r="B205" s="397"/>
      <c r="C205" s="397"/>
      <c r="D205" s="396" t="s">
        <v>265</v>
      </c>
      <c r="E205" s="397"/>
      <c r="F205" s="397"/>
      <c r="G205" s="397"/>
      <c r="H205" s="397"/>
      <c r="I205" s="397"/>
      <c r="J205" s="397"/>
      <c r="K205" s="397"/>
      <c r="L205" s="218"/>
      <c r="M205" s="229"/>
      <c r="N205" s="337">
        <v>1736</v>
      </c>
      <c r="O205" s="337">
        <v>2410</v>
      </c>
      <c r="P205" s="212">
        <v>3000</v>
      </c>
      <c r="Q205" s="212">
        <v>3000</v>
      </c>
      <c r="R205" s="211">
        <v>3000</v>
      </c>
      <c r="S205" s="211">
        <v>3000</v>
      </c>
      <c r="T205" s="211">
        <v>3000</v>
      </c>
      <c r="U205" s="211">
        <v>3000</v>
      </c>
      <c r="V205" s="211">
        <v>3000</v>
      </c>
      <c r="X205" s="213"/>
      <c r="AD205" s="265"/>
    </row>
    <row r="206" spans="1:32" ht="24" customHeight="1">
      <c r="A206" s="396" t="s">
        <v>168</v>
      </c>
      <c r="B206" s="328"/>
      <c r="C206" s="328"/>
      <c r="D206" s="396" t="s">
        <v>97</v>
      </c>
      <c r="E206" s="328"/>
      <c r="F206" s="328"/>
      <c r="G206" s="328"/>
      <c r="H206" s="328"/>
      <c r="I206" s="328"/>
      <c r="J206" s="328"/>
      <c r="K206" s="328"/>
      <c r="L206" s="209"/>
      <c r="M206" s="229"/>
      <c r="N206" s="339">
        <v>719</v>
      </c>
      <c r="O206" s="339">
        <v>862</v>
      </c>
      <c r="P206" s="216">
        <v>1000</v>
      </c>
      <c r="Q206" s="216">
        <v>1000</v>
      </c>
      <c r="R206" s="215">
        <v>1000</v>
      </c>
      <c r="S206" s="215">
        <v>1000</v>
      </c>
      <c r="T206" s="215">
        <v>1000</v>
      </c>
      <c r="U206" s="215">
        <v>1000</v>
      </c>
      <c r="V206" s="215">
        <v>1000</v>
      </c>
    </row>
    <row r="207" spans="1:32" ht="24" customHeight="1">
      <c r="A207" s="396" t="s">
        <v>267</v>
      </c>
      <c r="B207" s="328"/>
      <c r="C207" s="328"/>
      <c r="D207" s="396" t="s">
        <v>268</v>
      </c>
      <c r="E207" s="328"/>
      <c r="F207" s="328"/>
      <c r="G207" s="328"/>
      <c r="H207" s="328"/>
      <c r="I207" s="328"/>
      <c r="J207" s="328"/>
      <c r="K207" s="328"/>
      <c r="L207" s="209"/>
      <c r="M207" s="229"/>
      <c r="N207" s="337">
        <v>26060</v>
      </c>
      <c r="O207" s="337">
        <v>0</v>
      </c>
      <c r="P207" s="212">
        <v>10000</v>
      </c>
      <c r="Q207" s="212">
        <v>10000</v>
      </c>
      <c r="R207" s="211">
        <v>10000</v>
      </c>
      <c r="S207" s="211">
        <v>10000</v>
      </c>
      <c r="T207" s="211">
        <v>10000</v>
      </c>
      <c r="U207" s="211">
        <v>10000</v>
      </c>
      <c r="V207" s="211">
        <v>10000</v>
      </c>
    </row>
    <row r="208" spans="1:32" ht="24" customHeight="1">
      <c r="A208" s="396" t="s">
        <v>240</v>
      </c>
      <c r="B208" s="397"/>
      <c r="C208" s="397"/>
      <c r="D208" s="396" t="s">
        <v>1321</v>
      </c>
      <c r="E208" s="397"/>
      <c r="F208" s="397"/>
      <c r="G208" s="328"/>
      <c r="H208" s="328"/>
      <c r="I208" s="328"/>
      <c r="J208" s="328"/>
      <c r="K208" s="328"/>
      <c r="L208" s="209"/>
      <c r="M208" s="229"/>
      <c r="N208" s="337">
        <v>1075</v>
      </c>
      <c r="O208" s="337">
        <v>2803</v>
      </c>
      <c r="P208" s="212">
        <v>2000</v>
      </c>
      <c r="Q208" s="212">
        <v>2000</v>
      </c>
      <c r="R208" s="211">
        <v>2000</v>
      </c>
      <c r="S208" s="211">
        <v>2000</v>
      </c>
      <c r="T208" s="211">
        <v>2000</v>
      </c>
      <c r="U208" s="211">
        <v>2000</v>
      </c>
      <c r="V208" s="211">
        <v>2000</v>
      </c>
    </row>
    <row r="209" spans="1:28" ht="24" customHeight="1">
      <c r="A209" s="396" t="s">
        <v>167</v>
      </c>
      <c r="B209" s="328"/>
      <c r="C209" s="328"/>
      <c r="D209" s="396" t="s">
        <v>10</v>
      </c>
      <c r="E209" s="328"/>
      <c r="F209" s="328"/>
      <c r="G209" s="328"/>
      <c r="H209" s="328"/>
      <c r="I209" s="328"/>
      <c r="J209" s="328"/>
      <c r="K209" s="328"/>
      <c r="L209" s="209"/>
      <c r="M209" s="229"/>
      <c r="N209" s="337">
        <v>1026</v>
      </c>
      <c r="O209" s="337">
        <v>5692</v>
      </c>
      <c r="P209" s="212">
        <v>6000</v>
      </c>
      <c r="Q209" s="212">
        <v>6000</v>
      </c>
      <c r="R209" s="211">
        <v>60000</v>
      </c>
      <c r="S209" s="211">
        <v>60000</v>
      </c>
      <c r="T209" s="211">
        <v>6000</v>
      </c>
      <c r="U209" s="211">
        <v>6000</v>
      </c>
      <c r="V209" s="211">
        <v>6000</v>
      </c>
    </row>
    <row r="210" spans="1:28" ht="24" customHeight="1">
      <c r="A210" s="396" t="s">
        <v>166</v>
      </c>
      <c r="B210" s="397"/>
      <c r="C210" s="397"/>
      <c r="D210" s="396" t="s">
        <v>152</v>
      </c>
      <c r="E210" s="397"/>
      <c r="F210" s="397"/>
      <c r="G210" s="397"/>
      <c r="H210" s="397"/>
      <c r="I210" s="397"/>
      <c r="J210" s="397"/>
      <c r="K210" s="397"/>
      <c r="L210" s="218"/>
      <c r="M210" s="229"/>
      <c r="N210" s="337">
        <v>3511</v>
      </c>
      <c r="O210" s="337">
        <v>1869</v>
      </c>
      <c r="P210" s="212">
        <v>2000</v>
      </c>
      <c r="Q210" s="212">
        <v>2000</v>
      </c>
      <c r="R210" s="211">
        <v>2000</v>
      </c>
      <c r="S210" s="211">
        <v>2000</v>
      </c>
      <c r="T210" s="211">
        <v>2000</v>
      </c>
      <c r="U210" s="211">
        <v>2000</v>
      </c>
      <c r="V210" s="211">
        <v>2000</v>
      </c>
    </row>
    <row r="211" spans="1:28" ht="24" customHeight="1">
      <c r="A211" s="396" t="s">
        <v>797</v>
      </c>
      <c r="B211" s="397"/>
      <c r="C211" s="397"/>
      <c r="D211" s="396" t="s">
        <v>94</v>
      </c>
      <c r="E211" s="397"/>
      <c r="F211" s="397"/>
      <c r="G211" s="397"/>
      <c r="H211" s="397"/>
      <c r="I211" s="397"/>
      <c r="J211" s="397"/>
      <c r="K211" s="397"/>
      <c r="L211" s="218"/>
      <c r="M211" s="229"/>
      <c r="N211" s="337">
        <v>1638</v>
      </c>
      <c r="O211" s="337">
        <v>3155</v>
      </c>
      <c r="P211" s="212">
        <v>2700</v>
      </c>
      <c r="Q211" s="212">
        <v>2700</v>
      </c>
      <c r="R211" s="211">
        <v>2700</v>
      </c>
      <c r="S211" s="211">
        <v>2900</v>
      </c>
      <c r="T211" s="211">
        <v>2900</v>
      </c>
      <c r="U211" s="211">
        <v>2900</v>
      </c>
      <c r="V211" s="211">
        <v>2900</v>
      </c>
    </row>
    <row r="212" spans="1:28" ht="24" customHeight="1">
      <c r="A212" s="396" t="s">
        <v>239</v>
      </c>
      <c r="B212" s="328"/>
      <c r="C212" s="328"/>
      <c r="D212" s="396" t="s">
        <v>16</v>
      </c>
      <c r="E212" s="538"/>
      <c r="F212" s="538"/>
      <c r="G212" s="537"/>
      <c r="H212" s="537"/>
      <c r="I212" s="537"/>
      <c r="J212" s="537"/>
      <c r="K212" s="537"/>
      <c r="L212" s="218"/>
      <c r="M212" s="247"/>
      <c r="N212" s="339">
        <v>45000</v>
      </c>
      <c r="O212" s="339">
        <v>45000</v>
      </c>
      <c r="P212" s="216">
        <v>46800</v>
      </c>
      <c r="Q212" s="216">
        <v>46800</v>
      </c>
      <c r="R212" s="215">
        <f>ROUND(Q212*1.04,0)</f>
        <v>48672</v>
      </c>
      <c r="S212" s="215">
        <f>ROUND(R212*1.04,0)</f>
        <v>50619</v>
      </c>
      <c r="T212" s="215">
        <f>ROUND(S212*1.04,0)</f>
        <v>52644</v>
      </c>
      <c r="U212" s="215">
        <f>ROUND(T212*1.04,0)</f>
        <v>54750</v>
      </c>
      <c r="V212" s="215">
        <f>ROUND(U212*1.04,0)</f>
        <v>56940</v>
      </c>
      <c r="X212" s="217"/>
      <c r="AA212" s="265"/>
    </row>
    <row r="213" spans="1:28" ht="24" customHeight="1">
      <c r="A213" s="396" t="s">
        <v>178</v>
      </c>
      <c r="B213" s="397"/>
      <c r="C213" s="397"/>
      <c r="D213" s="396" t="s">
        <v>11</v>
      </c>
      <c r="E213" s="397"/>
      <c r="F213" s="397"/>
      <c r="G213" s="397"/>
      <c r="H213" s="397"/>
      <c r="I213" s="397"/>
      <c r="J213" s="397"/>
      <c r="K213" s="397"/>
      <c r="L213" s="218"/>
      <c r="M213" s="229"/>
      <c r="N213" s="337">
        <v>311</v>
      </c>
      <c r="O213" s="337">
        <v>520</v>
      </c>
      <c r="P213" s="212">
        <v>500</v>
      </c>
      <c r="Q213" s="212">
        <v>500</v>
      </c>
      <c r="R213" s="211">
        <v>750</v>
      </c>
      <c r="S213" s="211">
        <v>750</v>
      </c>
      <c r="T213" s="211">
        <v>750</v>
      </c>
      <c r="U213" s="211">
        <v>750</v>
      </c>
      <c r="V213" s="211">
        <v>750</v>
      </c>
    </row>
    <row r="214" spans="1:28" ht="24" customHeight="1">
      <c r="A214" s="396" t="s">
        <v>177</v>
      </c>
      <c r="B214" s="328"/>
      <c r="C214" s="328"/>
      <c r="D214" s="396" t="s">
        <v>12</v>
      </c>
      <c r="E214" s="328"/>
      <c r="F214" s="328"/>
      <c r="G214" s="328"/>
      <c r="H214" s="328"/>
      <c r="I214" s="328"/>
      <c r="J214" s="328"/>
      <c r="K214" s="328"/>
      <c r="L214" s="209"/>
      <c r="M214" s="229"/>
      <c r="N214" s="337">
        <v>2928</v>
      </c>
      <c r="O214" s="337">
        <v>2249</v>
      </c>
      <c r="P214" s="212">
        <v>3000</v>
      </c>
      <c r="Q214" s="212">
        <v>3000</v>
      </c>
      <c r="R214" s="211">
        <v>5000</v>
      </c>
      <c r="S214" s="211">
        <v>3000</v>
      </c>
      <c r="T214" s="211">
        <v>3000</v>
      </c>
      <c r="U214" s="211">
        <v>3000</v>
      </c>
      <c r="V214" s="211">
        <v>3000</v>
      </c>
    </row>
    <row r="215" spans="1:28" ht="24" customHeight="1">
      <c r="A215" s="396" t="s">
        <v>176</v>
      </c>
      <c r="B215" s="397"/>
      <c r="C215" s="397"/>
      <c r="D215" s="396" t="s">
        <v>17</v>
      </c>
      <c r="E215" s="397"/>
      <c r="F215" s="397"/>
      <c r="G215" s="397"/>
      <c r="H215" s="397"/>
      <c r="I215" s="397"/>
      <c r="J215" s="397"/>
      <c r="K215" s="397"/>
      <c r="L215" s="218"/>
      <c r="M215" s="229"/>
      <c r="N215" s="337">
        <v>0</v>
      </c>
      <c r="O215" s="337">
        <v>61</v>
      </c>
      <c r="P215" s="212">
        <v>125</v>
      </c>
      <c r="Q215" s="212">
        <v>125</v>
      </c>
      <c r="R215" s="211">
        <v>0</v>
      </c>
      <c r="S215" s="211">
        <v>0</v>
      </c>
      <c r="T215" s="211">
        <v>0</v>
      </c>
      <c r="U215" s="211">
        <v>0</v>
      </c>
      <c r="V215" s="211">
        <v>0</v>
      </c>
    </row>
    <row r="216" spans="1:28" ht="24" customHeight="1">
      <c r="A216" s="396" t="s">
        <v>175</v>
      </c>
      <c r="B216" s="397"/>
      <c r="C216" s="397"/>
      <c r="D216" s="396" t="s">
        <v>274</v>
      </c>
      <c r="E216" s="397"/>
      <c r="F216" s="397"/>
      <c r="G216" s="397"/>
      <c r="H216" s="397"/>
      <c r="I216" s="397"/>
      <c r="J216" s="397"/>
      <c r="K216" s="397"/>
      <c r="L216" s="218"/>
      <c r="M216" s="229"/>
      <c r="N216" s="339">
        <v>0</v>
      </c>
      <c r="O216" s="339">
        <v>9153</v>
      </c>
      <c r="P216" s="216">
        <v>3500</v>
      </c>
      <c r="Q216" s="216">
        <v>3500</v>
      </c>
      <c r="R216" s="215">
        <v>3500</v>
      </c>
      <c r="S216" s="215">
        <v>3500</v>
      </c>
      <c r="T216" s="215">
        <v>3500</v>
      </c>
      <c r="U216" s="215">
        <v>3500</v>
      </c>
      <c r="V216" s="215">
        <v>3500</v>
      </c>
    </row>
    <row r="217" spans="1:28" ht="24" customHeight="1">
      <c r="A217" s="396" t="s">
        <v>174</v>
      </c>
      <c r="B217" s="328"/>
      <c r="C217" s="328"/>
      <c r="D217" s="396" t="s">
        <v>1324</v>
      </c>
      <c r="E217" s="328"/>
      <c r="F217" s="328"/>
      <c r="G217" s="328"/>
      <c r="H217" s="328"/>
      <c r="I217" s="328"/>
      <c r="J217" s="328"/>
      <c r="K217" s="328"/>
      <c r="L217" s="209"/>
      <c r="M217" s="229"/>
      <c r="N217" s="337">
        <v>444</v>
      </c>
      <c r="O217" s="337">
        <v>382</v>
      </c>
      <c r="P217" s="212">
        <v>500</v>
      </c>
      <c r="Q217" s="212">
        <v>500</v>
      </c>
      <c r="R217" s="211">
        <v>500</v>
      </c>
      <c r="S217" s="211">
        <v>500</v>
      </c>
      <c r="T217" s="211">
        <v>500</v>
      </c>
      <c r="U217" s="211">
        <v>500</v>
      </c>
      <c r="V217" s="211">
        <v>500</v>
      </c>
    </row>
    <row r="218" spans="1:28" ht="24" customHeight="1">
      <c r="A218" s="396" t="s">
        <v>833</v>
      </c>
      <c r="B218" s="397"/>
      <c r="C218" s="397"/>
      <c r="D218" s="396" t="s">
        <v>161</v>
      </c>
      <c r="E218" s="542"/>
      <c r="F218" s="542"/>
      <c r="G218" s="542"/>
      <c r="H218" s="542"/>
      <c r="I218" s="542"/>
      <c r="J218" s="542"/>
      <c r="K218" s="542"/>
      <c r="L218" s="218"/>
      <c r="M218" s="232"/>
      <c r="N218" s="344">
        <v>0</v>
      </c>
      <c r="O218" s="344">
        <v>3069</v>
      </c>
      <c r="P218" s="252">
        <v>3910</v>
      </c>
      <c r="Q218" s="256">
        <v>3910</v>
      </c>
      <c r="R218" s="233">
        <f>ROUND(Q218*1.07,0)</f>
        <v>4184</v>
      </c>
      <c r="S218" s="233">
        <f>ROUND(R218*1.07,0)</f>
        <v>4477</v>
      </c>
      <c r="T218" s="233">
        <f>ROUND(S218*1.07,0)</f>
        <v>4790</v>
      </c>
      <c r="U218" s="233">
        <f t="shared" ref="U218:V218" si="46">ROUND(T218*1.07,0)</f>
        <v>5125</v>
      </c>
      <c r="V218" s="233">
        <f t="shared" si="46"/>
        <v>5484</v>
      </c>
      <c r="X218" s="213"/>
    </row>
    <row r="219" spans="1:28" s="328" customFormat="1" ht="24" customHeight="1">
      <c r="A219" s="396"/>
      <c r="B219" s="397"/>
      <c r="C219" s="397"/>
      <c r="D219" s="396"/>
      <c r="E219" s="542"/>
      <c r="F219" s="542"/>
      <c r="G219" s="542"/>
      <c r="H219" s="542"/>
      <c r="I219" s="542"/>
      <c r="J219" s="542"/>
      <c r="K219" s="542"/>
      <c r="L219" s="428"/>
      <c r="M219" s="427"/>
      <c r="N219" s="359">
        <f t="shared" ref="N219:V219" si="47">SUM(N193:N218)</f>
        <v>307053</v>
      </c>
      <c r="O219" s="359">
        <f t="shared" si="47"/>
        <v>365189</v>
      </c>
      <c r="P219" s="358">
        <f t="shared" si="47"/>
        <v>412328</v>
      </c>
      <c r="Q219" s="358">
        <f>SUM(Q193:Q218)</f>
        <v>412328</v>
      </c>
      <c r="R219" s="359">
        <f t="shared" si="47"/>
        <v>603554</v>
      </c>
      <c r="S219" s="359">
        <f t="shared" si="47"/>
        <v>622245</v>
      </c>
      <c r="T219" s="359">
        <f t="shared" si="47"/>
        <v>591236</v>
      </c>
      <c r="U219" s="359">
        <f t="shared" si="47"/>
        <v>615501</v>
      </c>
      <c r="V219" s="359">
        <f t="shared" si="47"/>
        <v>641181</v>
      </c>
      <c r="W219" s="640"/>
    </row>
    <row r="220" spans="1:28" ht="15" customHeight="1">
      <c r="A220" s="396"/>
      <c r="B220" s="397"/>
      <c r="C220" s="397"/>
      <c r="D220" s="396"/>
      <c r="E220" s="397"/>
      <c r="F220" s="397"/>
      <c r="G220" s="397"/>
      <c r="H220" s="397"/>
      <c r="I220" s="397"/>
      <c r="J220" s="397"/>
      <c r="K220" s="397"/>
      <c r="L220" s="218"/>
      <c r="M220" s="229"/>
      <c r="N220" s="337"/>
      <c r="O220" s="337"/>
      <c r="P220" s="212"/>
      <c r="Q220" s="212"/>
      <c r="R220" s="211"/>
      <c r="S220" s="211"/>
      <c r="T220" s="211"/>
      <c r="U220" s="211"/>
      <c r="V220" s="211"/>
    </row>
    <row r="221" spans="1:28" ht="24" customHeight="1">
      <c r="A221" s="400" t="s">
        <v>1506</v>
      </c>
      <c r="B221" s="328"/>
      <c r="C221" s="328"/>
      <c r="D221" s="328"/>
      <c r="E221" s="328"/>
      <c r="F221" s="328"/>
      <c r="G221" s="328"/>
      <c r="H221" s="328"/>
      <c r="I221" s="328"/>
      <c r="J221" s="328"/>
      <c r="K221" s="328"/>
      <c r="L221" s="209"/>
      <c r="N221" s="346"/>
      <c r="O221" s="346"/>
      <c r="P221" s="238"/>
      <c r="Q221" s="238"/>
      <c r="R221" s="237"/>
      <c r="S221" s="237"/>
      <c r="T221" s="237"/>
      <c r="U221" s="237"/>
      <c r="V221" s="237"/>
    </row>
    <row r="222" spans="1:28" ht="24" customHeight="1">
      <c r="A222" s="396" t="s">
        <v>180</v>
      </c>
      <c r="B222" s="397"/>
      <c r="C222" s="397"/>
      <c r="D222" s="396" t="s">
        <v>1095</v>
      </c>
      <c r="E222" s="554"/>
      <c r="F222" s="554"/>
      <c r="G222" s="554"/>
      <c r="H222" s="554"/>
      <c r="I222" s="554"/>
      <c r="J222" s="554"/>
      <c r="K222" s="554"/>
      <c r="L222" s="218"/>
      <c r="M222" s="229"/>
      <c r="N222" s="337">
        <v>253695</v>
      </c>
      <c r="O222" s="337">
        <v>263824</v>
      </c>
      <c r="P222" s="212">
        <v>312962</v>
      </c>
      <c r="Q222" s="212">
        <v>312962</v>
      </c>
      <c r="R222" s="211">
        <v>318483</v>
      </c>
      <c r="S222" s="227">
        <v>328037</v>
      </c>
      <c r="T222" s="227">
        <v>339518</v>
      </c>
      <c r="U222" s="227">
        <v>351401</v>
      </c>
      <c r="V222" s="227">
        <v>363700</v>
      </c>
      <c r="X222" s="656"/>
      <c r="Y222" s="657"/>
      <c r="Z222" s="657"/>
      <c r="AA222" s="657"/>
      <c r="AB222" s="213"/>
    </row>
    <row r="223" spans="1:28" ht="24" customHeight="1">
      <c r="A223" s="396" t="s">
        <v>1510</v>
      </c>
      <c r="B223" s="685"/>
      <c r="C223" s="685"/>
      <c r="D223" s="396" t="s">
        <v>76</v>
      </c>
      <c r="E223" s="685"/>
      <c r="F223" s="685"/>
      <c r="G223" s="685"/>
      <c r="H223" s="685"/>
      <c r="I223" s="685"/>
      <c r="J223" s="685"/>
      <c r="K223" s="685"/>
      <c r="L223" s="218"/>
      <c r="M223" s="229"/>
      <c r="N223" s="337">
        <v>0</v>
      </c>
      <c r="O223" s="337">
        <v>0</v>
      </c>
      <c r="P223" s="212">
        <v>0</v>
      </c>
      <c r="Q223" s="212">
        <v>0</v>
      </c>
      <c r="R223" s="211">
        <v>5800</v>
      </c>
      <c r="S223" s="227">
        <v>0</v>
      </c>
      <c r="T223" s="227">
        <v>0</v>
      </c>
      <c r="U223" s="227">
        <v>0</v>
      </c>
      <c r="V223" s="227">
        <v>0</v>
      </c>
      <c r="X223" s="656"/>
      <c r="Y223" s="657"/>
      <c r="Z223" s="657"/>
      <c r="AA223" s="657"/>
      <c r="AB223" s="213"/>
    </row>
    <row r="224" spans="1:28" ht="24" customHeight="1">
      <c r="A224" s="396" t="s">
        <v>179</v>
      </c>
      <c r="B224" s="397"/>
      <c r="C224" s="397"/>
      <c r="D224" s="396" t="s">
        <v>15</v>
      </c>
      <c r="E224" s="397"/>
      <c r="F224" s="397"/>
      <c r="G224" s="397"/>
      <c r="H224" s="397"/>
      <c r="I224" s="397"/>
      <c r="J224" s="397"/>
      <c r="K224" s="397"/>
      <c r="L224" s="218"/>
      <c r="M224" s="247"/>
      <c r="N224" s="339">
        <v>6653</v>
      </c>
      <c r="O224" s="339">
        <v>3906</v>
      </c>
      <c r="P224" s="216">
        <v>15000</v>
      </c>
      <c r="Q224" s="216">
        <v>15000</v>
      </c>
      <c r="R224" s="215">
        <v>15000</v>
      </c>
      <c r="S224" s="215">
        <v>15000</v>
      </c>
      <c r="T224" s="215">
        <v>15000</v>
      </c>
      <c r="U224" s="215">
        <v>15000</v>
      </c>
      <c r="V224" s="215">
        <v>15000</v>
      </c>
      <c r="X224" s="656"/>
      <c r="Y224" s="657"/>
      <c r="Z224" s="657"/>
      <c r="AA224" s="657"/>
    </row>
    <row r="225" spans="1:29" ht="24" customHeight="1">
      <c r="A225" s="396" t="s">
        <v>182</v>
      </c>
      <c r="B225" s="397"/>
      <c r="C225" s="397"/>
      <c r="D225" s="396" t="s">
        <v>8</v>
      </c>
      <c r="E225" s="397"/>
      <c r="F225" s="397"/>
      <c r="G225" s="397"/>
      <c r="H225" s="397"/>
      <c r="I225" s="397"/>
      <c r="J225" s="397"/>
      <c r="K225" s="397"/>
      <c r="L225" s="218"/>
      <c r="M225" s="247"/>
      <c r="N225" s="339">
        <v>24887</v>
      </c>
      <c r="O225" s="339">
        <v>28590</v>
      </c>
      <c r="P225" s="216">
        <v>36347</v>
      </c>
      <c r="Q225" s="216">
        <v>36347</v>
      </c>
      <c r="R225" s="211">
        <v>39770</v>
      </c>
      <c r="S225" s="215">
        <v>41989</v>
      </c>
      <c r="T225" s="215">
        <v>46073</v>
      </c>
      <c r="U225" s="215">
        <v>50531</v>
      </c>
      <c r="V225" s="215">
        <v>55464</v>
      </c>
      <c r="X225" s="656"/>
      <c r="Y225" s="657"/>
      <c r="Z225" s="657"/>
      <c r="AA225" s="657"/>
    </row>
    <row r="226" spans="1:29" ht="24" customHeight="1">
      <c r="A226" s="396" t="s">
        <v>181</v>
      </c>
      <c r="B226" s="328"/>
      <c r="C226" s="328"/>
      <c r="D226" s="396" t="s">
        <v>9</v>
      </c>
      <c r="E226" s="328"/>
      <c r="F226" s="328"/>
      <c r="G226" s="328"/>
      <c r="H226" s="328"/>
      <c r="I226" s="328"/>
      <c r="J226" s="328"/>
      <c r="K226" s="328"/>
      <c r="L226" s="209"/>
      <c r="M226" s="229"/>
      <c r="N226" s="339">
        <v>19359</v>
      </c>
      <c r="O226" s="339">
        <v>19795</v>
      </c>
      <c r="P226" s="216">
        <v>24510</v>
      </c>
      <c r="Q226" s="216">
        <v>24510</v>
      </c>
      <c r="R226" s="211">
        <v>25253</v>
      </c>
      <c r="S226" s="227">
        <v>25553</v>
      </c>
      <c r="T226" s="227">
        <v>26447</v>
      </c>
      <c r="U226" s="227">
        <v>27373</v>
      </c>
      <c r="V226" s="227">
        <v>28331</v>
      </c>
      <c r="X226" s="656"/>
      <c r="Y226" s="657"/>
      <c r="Z226" s="657"/>
      <c r="AA226" s="657"/>
    </row>
    <row r="227" spans="1:29" ht="24" customHeight="1">
      <c r="A227" s="396" t="s">
        <v>700</v>
      </c>
      <c r="B227" s="328"/>
      <c r="C227" s="328"/>
      <c r="D227" s="396" t="s">
        <v>13</v>
      </c>
      <c r="E227" s="328"/>
      <c r="F227" s="328"/>
      <c r="G227" s="328"/>
      <c r="H227" s="328"/>
      <c r="I227" s="328"/>
      <c r="J227" s="328"/>
      <c r="K227" s="328"/>
      <c r="L227" s="209"/>
      <c r="M227" s="229"/>
      <c r="N227" s="340">
        <v>0</v>
      </c>
      <c r="O227" s="340">
        <v>82763</v>
      </c>
      <c r="P227" s="225">
        <v>94362</v>
      </c>
      <c r="Q227" s="225">
        <v>94362</v>
      </c>
      <c r="R227" s="211">
        <v>104498</v>
      </c>
      <c r="S227" s="223">
        <f>ROUND(R227*1.08,0)</f>
        <v>112858</v>
      </c>
      <c r="T227" s="223">
        <f t="shared" ref="T227:V227" si="48">ROUND(S227*1.08,0)</f>
        <v>121887</v>
      </c>
      <c r="U227" s="223">
        <f t="shared" si="48"/>
        <v>131638</v>
      </c>
      <c r="V227" s="223">
        <f t="shared" si="48"/>
        <v>142169</v>
      </c>
      <c r="X227" s="656"/>
      <c r="Y227" s="657"/>
      <c r="Z227" s="656"/>
      <c r="AA227" s="657"/>
      <c r="AC227" s="213"/>
    </row>
    <row r="228" spans="1:29" ht="24" customHeight="1">
      <c r="A228" s="396" t="s">
        <v>701</v>
      </c>
      <c r="B228" s="328"/>
      <c r="C228" s="328"/>
      <c r="D228" s="396" t="s">
        <v>207</v>
      </c>
      <c r="E228" s="328"/>
      <c r="F228" s="328"/>
      <c r="G228" s="328"/>
      <c r="H228" s="328"/>
      <c r="I228" s="328"/>
      <c r="J228" s="328"/>
      <c r="K228" s="328"/>
      <c r="L228" s="209"/>
      <c r="M228" s="229"/>
      <c r="N228" s="340">
        <v>0</v>
      </c>
      <c r="O228" s="340">
        <v>1251</v>
      </c>
      <c r="P228" s="225">
        <v>635</v>
      </c>
      <c r="Q228" s="225">
        <v>635</v>
      </c>
      <c r="R228" s="211">
        <v>570</v>
      </c>
      <c r="S228" s="223">
        <f>ROUND(R228*1.01,0)</f>
        <v>576</v>
      </c>
      <c r="T228" s="223">
        <f t="shared" ref="T228:V228" si="49">ROUND(S228*1.01,0)</f>
        <v>582</v>
      </c>
      <c r="U228" s="223">
        <f t="shared" si="49"/>
        <v>588</v>
      </c>
      <c r="V228" s="223">
        <f t="shared" si="49"/>
        <v>594</v>
      </c>
      <c r="X228" s="656"/>
      <c r="Y228" s="657"/>
      <c r="Z228" s="656"/>
      <c r="AA228" s="657"/>
      <c r="AC228" s="213"/>
    </row>
    <row r="229" spans="1:29" ht="24" customHeight="1">
      <c r="A229" s="396" t="s">
        <v>702</v>
      </c>
      <c r="B229" s="328"/>
      <c r="C229" s="328"/>
      <c r="D229" s="396" t="s">
        <v>714</v>
      </c>
      <c r="E229" s="328"/>
      <c r="F229" s="328"/>
      <c r="G229" s="328"/>
      <c r="H229" s="328"/>
      <c r="I229" s="328"/>
      <c r="J229" s="328"/>
      <c r="K229" s="328"/>
      <c r="L229" s="209"/>
      <c r="M229" s="229"/>
      <c r="N229" s="340">
        <v>0</v>
      </c>
      <c r="O229" s="340">
        <v>6564</v>
      </c>
      <c r="P229" s="225">
        <v>7095</v>
      </c>
      <c r="Q229" s="225">
        <v>7095</v>
      </c>
      <c r="R229" s="211">
        <v>6341</v>
      </c>
      <c r="S229" s="223">
        <f>ROUND(R229*1.05,0)</f>
        <v>6658</v>
      </c>
      <c r="T229" s="223">
        <f t="shared" ref="T229:V229" si="50">ROUND(S229*1.05,0)</f>
        <v>6991</v>
      </c>
      <c r="U229" s="223">
        <f t="shared" si="50"/>
        <v>7341</v>
      </c>
      <c r="V229" s="223">
        <f t="shared" si="50"/>
        <v>7708</v>
      </c>
      <c r="X229" s="656"/>
      <c r="Y229" s="657"/>
      <c r="Z229" s="656"/>
      <c r="AA229" s="657"/>
      <c r="AC229" s="213"/>
    </row>
    <row r="230" spans="1:29" ht="24" customHeight="1">
      <c r="A230" s="396" t="s">
        <v>720</v>
      </c>
      <c r="B230" s="328"/>
      <c r="C230" s="328"/>
      <c r="D230" s="396" t="s">
        <v>716</v>
      </c>
      <c r="E230" s="328"/>
      <c r="F230" s="328"/>
      <c r="G230" s="328"/>
      <c r="H230" s="328"/>
      <c r="I230" s="328"/>
      <c r="J230" s="328"/>
      <c r="K230" s="328"/>
      <c r="L230" s="209"/>
      <c r="M230" s="229"/>
      <c r="N230" s="340">
        <v>0</v>
      </c>
      <c r="O230" s="340">
        <v>703</v>
      </c>
      <c r="P230" s="225">
        <v>739</v>
      </c>
      <c r="Q230" s="225">
        <v>739</v>
      </c>
      <c r="R230" s="211">
        <v>761</v>
      </c>
      <c r="S230" s="223">
        <f>ROUND(R230*1.03,0)</f>
        <v>784</v>
      </c>
      <c r="T230" s="223">
        <f t="shared" ref="T230:V230" si="51">ROUND(S230*1.03,0)</f>
        <v>808</v>
      </c>
      <c r="U230" s="223">
        <f t="shared" si="51"/>
        <v>832</v>
      </c>
      <c r="V230" s="223">
        <f t="shared" si="51"/>
        <v>857</v>
      </c>
      <c r="X230" s="656"/>
      <c r="Y230" s="657"/>
      <c r="Z230" s="656"/>
      <c r="AA230" s="657"/>
      <c r="AC230" s="213"/>
    </row>
    <row r="231" spans="1:29" ht="24" customHeight="1">
      <c r="A231" s="396" t="s">
        <v>187</v>
      </c>
      <c r="B231" s="397"/>
      <c r="C231" s="397"/>
      <c r="D231" s="396" t="s">
        <v>99</v>
      </c>
      <c r="E231" s="397"/>
      <c r="F231" s="397"/>
      <c r="G231" s="397"/>
      <c r="H231" s="397"/>
      <c r="I231" s="397"/>
      <c r="J231" s="397"/>
      <c r="K231" s="397"/>
      <c r="L231" s="218"/>
      <c r="M231" s="229"/>
      <c r="N231" s="337">
        <v>1440</v>
      </c>
      <c r="O231" s="337">
        <v>834</v>
      </c>
      <c r="P231" s="212">
        <v>2000</v>
      </c>
      <c r="Q231" s="212">
        <v>2000</v>
      </c>
      <c r="R231" s="211">
        <v>4000</v>
      </c>
      <c r="S231" s="211">
        <v>4000</v>
      </c>
      <c r="T231" s="211">
        <v>4000</v>
      </c>
      <c r="U231" s="211">
        <v>4000</v>
      </c>
      <c r="V231" s="211">
        <v>4000</v>
      </c>
    </row>
    <row r="232" spans="1:29" ht="24" customHeight="1">
      <c r="A232" s="396" t="s">
        <v>1236</v>
      </c>
      <c r="B232" s="397"/>
      <c r="C232" s="397"/>
      <c r="D232" s="396" t="s">
        <v>1232</v>
      </c>
      <c r="E232" s="542"/>
      <c r="F232" s="542"/>
      <c r="G232" s="542"/>
      <c r="H232" s="542"/>
      <c r="I232" s="542"/>
      <c r="J232" s="542"/>
      <c r="K232" s="542"/>
      <c r="L232" s="218"/>
      <c r="M232" s="229"/>
      <c r="N232" s="337">
        <v>0</v>
      </c>
      <c r="O232" s="337">
        <v>0</v>
      </c>
      <c r="P232" s="212">
        <v>144650</v>
      </c>
      <c r="Q232" s="212">
        <f t="shared" ref="Q232:U232" si="52">Q476</f>
        <v>144650</v>
      </c>
      <c r="R232" s="211">
        <f t="shared" si="52"/>
        <v>97370</v>
      </c>
      <c r="S232" s="211">
        <f t="shared" si="52"/>
        <v>41315</v>
      </c>
      <c r="T232" s="211">
        <f t="shared" si="52"/>
        <v>41315</v>
      </c>
      <c r="U232" s="211">
        <f t="shared" si="52"/>
        <v>41315</v>
      </c>
      <c r="V232" s="211">
        <f>V476</f>
        <v>41315</v>
      </c>
      <c r="X232" s="213"/>
    </row>
    <row r="233" spans="1:29" ht="24" customHeight="1">
      <c r="A233" s="396" t="s">
        <v>1209</v>
      </c>
      <c r="B233" s="397"/>
      <c r="C233" s="397"/>
      <c r="D233" s="396" t="s">
        <v>1210</v>
      </c>
      <c r="E233" s="397"/>
      <c r="F233" s="397"/>
      <c r="G233" s="397"/>
      <c r="H233" s="397"/>
      <c r="I233" s="397"/>
      <c r="J233" s="397"/>
      <c r="K233" s="397"/>
      <c r="L233" s="218"/>
      <c r="M233" s="229"/>
      <c r="N233" s="337">
        <v>0</v>
      </c>
      <c r="O233" s="337">
        <v>0</v>
      </c>
      <c r="P233" s="212">
        <v>20000</v>
      </c>
      <c r="Q233" s="212">
        <v>20000</v>
      </c>
      <c r="R233" s="211">
        <f>R31</f>
        <v>20000</v>
      </c>
      <c r="S233" s="211">
        <f t="shared" ref="S233:V233" si="53">S31</f>
        <v>20000</v>
      </c>
      <c r="T233" s="211">
        <f t="shared" si="53"/>
        <v>20000</v>
      </c>
      <c r="U233" s="211">
        <f t="shared" si="53"/>
        <v>20000</v>
      </c>
      <c r="V233" s="211">
        <f t="shared" si="53"/>
        <v>20000</v>
      </c>
      <c r="X233" s="213"/>
    </row>
    <row r="234" spans="1:29" ht="24" customHeight="1">
      <c r="A234" s="396" t="s">
        <v>186</v>
      </c>
      <c r="B234" s="328"/>
      <c r="C234" s="328"/>
      <c r="D234" s="396" t="s">
        <v>265</v>
      </c>
      <c r="E234" s="328"/>
      <c r="F234" s="328"/>
      <c r="G234" s="328"/>
      <c r="H234" s="328"/>
      <c r="I234" s="328"/>
      <c r="J234" s="328"/>
      <c r="K234" s="328"/>
      <c r="L234" s="209"/>
      <c r="M234" s="229"/>
      <c r="N234" s="337">
        <v>2506</v>
      </c>
      <c r="O234" s="337">
        <v>2395</v>
      </c>
      <c r="P234" s="212">
        <v>3000</v>
      </c>
      <c r="Q234" s="212">
        <v>3000</v>
      </c>
      <c r="R234" s="211">
        <v>3000</v>
      </c>
      <c r="S234" s="211">
        <v>3000</v>
      </c>
      <c r="T234" s="211">
        <v>3000</v>
      </c>
      <c r="U234" s="211">
        <v>3000</v>
      </c>
      <c r="V234" s="211">
        <v>3000</v>
      </c>
      <c r="X234" s="213"/>
    </row>
    <row r="235" spans="1:29" ht="24" customHeight="1">
      <c r="A235" s="396" t="s">
        <v>874</v>
      </c>
      <c r="B235" s="328"/>
      <c r="C235" s="328"/>
      <c r="D235" s="396" t="s">
        <v>875</v>
      </c>
      <c r="E235" s="541"/>
      <c r="F235" s="541"/>
      <c r="G235" s="541"/>
      <c r="H235" s="541"/>
      <c r="I235" s="541"/>
      <c r="J235" s="541"/>
      <c r="K235" s="541"/>
      <c r="L235" s="266"/>
      <c r="M235" s="251"/>
      <c r="N235" s="337">
        <v>18329</v>
      </c>
      <c r="O235" s="337">
        <v>13984</v>
      </c>
      <c r="P235" s="212">
        <v>22500</v>
      </c>
      <c r="Q235" s="212">
        <v>22500</v>
      </c>
      <c r="R235" s="211">
        <v>0</v>
      </c>
      <c r="S235" s="211">
        <v>0</v>
      </c>
      <c r="T235" s="211">
        <v>0</v>
      </c>
      <c r="U235" s="211">
        <v>0</v>
      </c>
      <c r="V235" s="211">
        <v>0</v>
      </c>
    </row>
    <row r="236" spans="1:29" ht="24" customHeight="1">
      <c r="A236" s="396" t="s">
        <v>756</v>
      </c>
      <c r="B236" s="399"/>
      <c r="C236" s="399"/>
      <c r="D236" s="396" t="s">
        <v>757</v>
      </c>
      <c r="E236" s="399"/>
      <c r="F236" s="399"/>
      <c r="G236" s="399"/>
      <c r="H236" s="399"/>
      <c r="I236" s="399"/>
      <c r="J236" s="399"/>
      <c r="K236" s="399"/>
      <c r="L236" s="236"/>
      <c r="M236" s="229"/>
      <c r="N236" s="337">
        <v>869</v>
      </c>
      <c r="O236" s="337">
        <v>110</v>
      </c>
      <c r="P236" s="212">
        <v>0</v>
      </c>
      <c r="Q236" s="212">
        <v>0</v>
      </c>
      <c r="R236" s="211">
        <v>0</v>
      </c>
      <c r="S236" s="211">
        <v>0</v>
      </c>
      <c r="T236" s="211">
        <v>0</v>
      </c>
      <c r="U236" s="211">
        <v>0</v>
      </c>
      <c r="V236" s="211">
        <v>0</v>
      </c>
      <c r="X236" s="213"/>
    </row>
    <row r="237" spans="1:29" ht="24" customHeight="1">
      <c r="A237" s="396" t="s">
        <v>273</v>
      </c>
      <c r="B237" s="328"/>
      <c r="C237" s="328"/>
      <c r="D237" s="396" t="s">
        <v>193</v>
      </c>
      <c r="E237" s="553"/>
      <c r="F237" s="553"/>
      <c r="G237" s="553"/>
      <c r="H237" s="553"/>
      <c r="I237" s="553"/>
      <c r="J237" s="553"/>
      <c r="K237" s="553"/>
      <c r="L237" s="209"/>
      <c r="M237" s="247"/>
      <c r="N237" s="339">
        <v>6500</v>
      </c>
      <c r="O237" s="339">
        <v>6730</v>
      </c>
      <c r="P237" s="216">
        <v>8000</v>
      </c>
      <c r="Q237" s="216">
        <v>8000</v>
      </c>
      <c r="R237" s="215">
        <v>8000</v>
      </c>
      <c r="S237" s="215">
        <f>ROUND(R237*1.05,0)</f>
        <v>8400</v>
      </c>
      <c r="T237" s="215">
        <f t="shared" ref="T237:V237" si="54">ROUND(S237*1.05,0)</f>
        <v>8820</v>
      </c>
      <c r="U237" s="215">
        <f t="shared" si="54"/>
        <v>9261</v>
      </c>
      <c r="V237" s="215">
        <f t="shared" si="54"/>
        <v>9724</v>
      </c>
      <c r="X237" s="217"/>
    </row>
    <row r="238" spans="1:29" ht="24" customHeight="1">
      <c r="A238" s="396" t="s">
        <v>269</v>
      </c>
      <c r="B238" s="328"/>
      <c r="C238" s="328"/>
      <c r="D238" s="396" t="s">
        <v>194</v>
      </c>
      <c r="E238" s="397"/>
      <c r="F238" s="397"/>
      <c r="G238" s="397"/>
      <c r="H238" s="397"/>
      <c r="I238" s="397"/>
      <c r="J238" s="397"/>
      <c r="K238" s="397"/>
      <c r="L238" s="218"/>
      <c r="M238" s="229"/>
      <c r="N238" s="337">
        <v>6025</v>
      </c>
      <c r="O238" s="337">
        <v>17080</v>
      </c>
      <c r="P238" s="216">
        <v>20000</v>
      </c>
      <c r="Q238" s="216">
        <v>20000</v>
      </c>
      <c r="R238" s="215">
        <v>30000</v>
      </c>
      <c r="S238" s="215">
        <v>20000</v>
      </c>
      <c r="T238" s="215">
        <v>20000</v>
      </c>
      <c r="U238" s="215">
        <v>20000</v>
      </c>
      <c r="V238" s="215">
        <v>20000</v>
      </c>
      <c r="X238" s="217"/>
    </row>
    <row r="239" spans="1:29" ht="24" customHeight="1">
      <c r="A239" s="396" t="s">
        <v>185</v>
      </c>
      <c r="B239" s="328"/>
      <c r="C239" s="328"/>
      <c r="D239" s="396" t="s">
        <v>10</v>
      </c>
      <c r="E239" s="328"/>
      <c r="F239" s="328"/>
      <c r="G239" s="328"/>
      <c r="H239" s="328"/>
      <c r="I239" s="328"/>
      <c r="J239" s="328"/>
      <c r="K239" s="328"/>
      <c r="L239" s="266"/>
      <c r="M239" s="267"/>
      <c r="N239" s="339">
        <f>970-600</f>
        <v>370</v>
      </c>
      <c r="O239" s="339">
        <v>773</v>
      </c>
      <c r="P239" s="216">
        <v>1000</v>
      </c>
      <c r="Q239" s="216">
        <v>1000</v>
      </c>
      <c r="R239" s="215">
        <f>1000</f>
        <v>1000</v>
      </c>
      <c r="S239" s="215">
        <f>1000</f>
        <v>1000</v>
      </c>
      <c r="T239" s="215">
        <f>1000</f>
        <v>1000</v>
      </c>
      <c r="U239" s="215">
        <f>1000</f>
        <v>1000</v>
      </c>
      <c r="V239" s="215">
        <f>1000</f>
        <v>1000</v>
      </c>
    </row>
    <row r="240" spans="1:29" ht="24" customHeight="1">
      <c r="A240" s="396" t="s">
        <v>184</v>
      </c>
      <c r="B240" s="609"/>
      <c r="C240" s="609"/>
      <c r="D240" s="396" t="s">
        <v>18</v>
      </c>
      <c r="E240" s="610"/>
      <c r="F240" s="610"/>
      <c r="G240" s="610"/>
      <c r="H240" s="610"/>
      <c r="I240" s="610"/>
      <c r="J240" s="610"/>
      <c r="K240" s="610"/>
      <c r="L240" s="266"/>
      <c r="M240" s="251"/>
      <c r="N240" s="339">
        <v>57145</v>
      </c>
      <c r="O240" s="339">
        <v>53803</v>
      </c>
      <c r="P240" s="216">
        <v>94500</v>
      </c>
      <c r="Q240" s="216">
        <v>90000</v>
      </c>
      <c r="R240" s="215">
        <v>0</v>
      </c>
      <c r="S240" s="215">
        <v>0</v>
      </c>
      <c r="T240" s="215">
        <v>0</v>
      </c>
      <c r="U240" s="215">
        <v>0</v>
      </c>
      <c r="V240" s="215">
        <v>0</v>
      </c>
      <c r="X240" s="217"/>
    </row>
    <row r="241" spans="1:28" ht="24" customHeight="1">
      <c r="A241" s="396" t="s">
        <v>183</v>
      </c>
      <c r="B241" s="397"/>
      <c r="C241" s="397"/>
      <c r="D241" s="396" t="s">
        <v>94</v>
      </c>
      <c r="E241" s="328"/>
      <c r="F241" s="328"/>
      <c r="G241" s="328"/>
      <c r="H241" s="328"/>
      <c r="I241" s="328"/>
      <c r="J241" s="328"/>
      <c r="K241" s="328"/>
      <c r="L241" s="266"/>
      <c r="M241" s="266"/>
      <c r="N241" s="360">
        <v>1051</v>
      </c>
      <c r="O241" s="360">
        <v>1181</v>
      </c>
      <c r="P241" s="269">
        <v>1100</v>
      </c>
      <c r="Q241" s="269">
        <v>1100</v>
      </c>
      <c r="R241" s="268">
        <v>1100</v>
      </c>
      <c r="S241" s="268">
        <v>1100</v>
      </c>
      <c r="T241" s="268">
        <v>1100</v>
      </c>
      <c r="U241" s="268">
        <v>1100</v>
      </c>
      <c r="V241" s="268">
        <v>1100</v>
      </c>
    </row>
    <row r="242" spans="1:28" ht="24" customHeight="1">
      <c r="A242" s="396" t="s">
        <v>1195</v>
      </c>
      <c r="B242" s="397"/>
      <c r="C242" s="397"/>
      <c r="D242" s="396" t="s">
        <v>1196</v>
      </c>
      <c r="E242" s="397"/>
      <c r="F242" s="397"/>
      <c r="G242" s="397"/>
      <c r="H242" s="397"/>
      <c r="I242" s="397"/>
      <c r="J242" s="397"/>
      <c r="K242" s="397"/>
      <c r="L242" s="218"/>
      <c r="M242" s="259"/>
      <c r="N242" s="356">
        <f>20886</f>
        <v>20886</v>
      </c>
      <c r="O242" s="356">
        <v>28769</v>
      </c>
      <c r="P242" s="270">
        <v>20000</v>
      </c>
      <c r="Q242" s="270">
        <v>20000</v>
      </c>
      <c r="R242" s="260">
        <v>25000</v>
      </c>
      <c r="S242" s="260">
        <v>25000</v>
      </c>
      <c r="T242" s="260">
        <v>25000</v>
      </c>
      <c r="U242" s="260">
        <v>25000</v>
      </c>
      <c r="V242" s="260">
        <v>25000</v>
      </c>
      <c r="X242" s="213"/>
    </row>
    <row r="243" spans="1:28" ht="24" customHeight="1">
      <c r="A243" s="396" t="s">
        <v>1374</v>
      </c>
      <c r="B243" s="535"/>
      <c r="C243" s="535"/>
      <c r="D243" s="396" t="s">
        <v>1375</v>
      </c>
      <c r="E243" s="552"/>
      <c r="F243" s="552"/>
      <c r="G243" s="552"/>
      <c r="H243" s="552"/>
      <c r="I243" s="552"/>
      <c r="J243" s="552"/>
      <c r="K243" s="552"/>
      <c r="L243" s="218"/>
      <c r="M243" s="259"/>
      <c r="N243" s="356">
        <f>600</f>
        <v>600</v>
      </c>
      <c r="O243" s="356">
        <v>0</v>
      </c>
      <c r="P243" s="270">
        <v>0</v>
      </c>
      <c r="Q243" s="270">
        <v>0</v>
      </c>
      <c r="R243" s="260">
        <v>2000</v>
      </c>
      <c r="S243" s="260">
        <v>2000</v>
      </c>
      <c r="T243" s="260">
        <v>2000</v>
      </c>
      <c r="U243" s="260">
        <v>2000</v>
      </c>
      <c r="V243" s="260">
        <v>2000</v>
      </c>
      <c r="X243" s="213"/>
    </row>
    <row r="244" spans="1:28" ht="24" customHeight="1">
      <c r="A244" s="396" t="s">
        <v>192</v>
      </c>
      <c r="B244" s="397"/>
      <c r="C244" s="397"/>
      <c r="D244" s="396" t="s">
        <v>105</v>
      </c>
      <c r="E244" s="397"/>
      <c r="F244" s="397"/>
      <c r="G244" s="397"/>
      <c r="H244" s="397"/>
      <c r="I244" s="397"/>
      <c r="J244" s="397"/>
      <c r="K244" s="397"/>
      <c r="L244" s="218"/>
      <c r="M244" s="229"/>
      <c r="N244" s="337">
        <v>2581</v>
      </c>
      <c r="O244" s="337">
        <v>2921</v>
      </c>
      <c r="P244" s="212">
        <v>4200</v>
      </c>
      <c r="Q244" s="212">
        <v>4200</v>
      </c>
      <c r="R244" s="211">
        <v>4200</v>
      </c>
      <c r="S244" s="211">
        <v>4200</v>
      </c>
      <c r="T244" s="211">
        <v>4200</v>
      </c>
      <c r="U244" s="211">
        <v>4200</v>
      </c>
      <c r="V244" s="211">
        <v>4200</v>
      </c>
    </row>
    <row r="245" spans="1:28" ht="24" customHeight="1">
      <c r="A245" s="396" t="s">
        <v>191</v>
      </c>
      <c r="B245" s="397"/>
      <c r="C245" s="397"/>
      <c r="D245" s="396" t="s">
        <v>12</v>
      </c>
      <c r="E245" s="552"/>
      <c r="F245" s="552"/>
      <c r="G245" s="552"/>
      <c r="H245" s="552"/>
      <c r="I245" s="552"/>
      <c r="J245" s="552"/>
      <c r="K245" s="552"/>
      <c r="L245" s="218"/>
      <c r="M245" s="247"/>
      <c r="N245" s="340">
        <v>10648</v>
      </c>
      <c r="O245" s="340">
        <v>7364</v>
      </c>
      <c r="P245" s="212">
        <v>9975</v>
      </c>
      <c r="Q245" s="212">
        <v>9975</v>
      </c>
      <c r="R245" s="211">
        <v>10000</v>
      </c>
      <c r="S245" s="211">
        <f>ROUND(R245*1.05,0)</f>
        <v>10500</v>
      </c>
      <c r="T245" s="211">
        <f>ROUND(S245*1.05,0)</f>
        <v>11025</v>
      </c>
      <c r="U245" s="211">
        <f t="shared" ref="U245:V245" si="55">ROUND(T245*1.05,0)</f>
        <v>11576</v>
      </c>
      <c r="V245" s="211">
        <f t="shared" si="55"/>
        <v>12155</v>
      </c>
      <c r="X245" s="263"/>
    </row>
    <row r="246" spans="1:28" ht="24" customHeight="1">
      <c r="A246" s="396" t="s">
        <v>190</v>
      </c>
      <c r="B246" s="397"/>
      <c r="C246" s="397"/>
      <c r="D246" s="396" t="s">
        <v>195</v>
      </c>
      <c r="E246" s="397"/>
      <c r="F246" s="397"/>
      <c r="G246" s="397"/>
      <c r="H246" s="397"/>
      <c r="I246" s="397"/>
      <c r="J246" s="397"/>
      <c r="K246" s="397"/>
      <c r="L246" s="218"/>
      <c r="M246" s="229"/>
      <c r="N246" s="337">
        <v>2041</v>
      </c>
      <c r="O246" s="337">
        <v>0</v>
      </c>
      <c r="P246" s="212">
        <v>0</v>
      </c>
      <c r="Q246" s="212">
        <v>0</v>
      </c>
      <c r="R246" s="211">
        <v>2000</v>
      </c>
      <c r="S246" s="211">
        <v>2000</v>
      </c>
      <c r="T246" s="211">
        <v>2000</v>
      </c>
      <c r="U246" s="211">
        <v>2000</v>
      </c>
      <c r="V246" s="211">
        <v>2000</v>
      </c>
      <c r="X246" s="213"/>
      <c r="AB246" s="213"/>
    </row>
    <row r="247" spans="1:28" ht="24" customHeight="1">
      <c r="A247" s="396" t="s">
        <v>1197</v>
      </c>
      <c r="B247" s="397"/>
      <c r="C247" s="397"/>
      <c r="D247" s="396" t="s">
        <v>1198</v>
      </c>
      <c r="E247" s="397"/>
      <c r="F247" s="397"/>
      <c r="G247" s="397"/>
      <c r="H247" s="397"/>
      <c r="I247" s="397"/>
      <c r="J247" s="397"/>
      <c r="K247" s="397"/>
      <c r="L247" s="218"/>
      <c r="M247" s="229"/>
      <c r="N247" s="337">
        <v>0</v>
      </c>
      <c r="O247" s="337">
        <v>0</v>
      </c>
      <c r="P247" s="212">
        <v>20000</v>
      </c>
      <c r="Q247" s="212">
        <v>20000</v>
      </c>
      <c r="R247" s="211">
        <v>25000</v>
      </c>
      <c r="S247" s="211">
        <v>25000</v>
      </c>
      <c r="T247" s="211">
        <v>25000</v>
      </c>
      <c r="U247" s="211">
        <v>25000</v>
      </c>
      <c r="V247" s="211">
        <v>25000</v>
      </c>
      <c r="X247" s="213"/>
      <c r="AB247" s="213"/>
    </row>
    <row r="248" spans="1:28" ht="24" customHeight="1">
      <c r="A248" s="396" t="s">
        <v>266</v>
      </c>
      <c r="B248" s="397"/>
      <c r="C248" s="397"/>
      <c r="D248" s="396" t="s">
        <v>17</v>
      </c>
      <c r="E248" s="552"/>
      <c r="F248" s="552"/>
      <c r="G248" s="552"/>
      <c r="H248" s="552"/>
      <c r="I248" s="552"/>
      <c r="J248" s="552"/>
      <c r="K248" s="552"/>
      <c r="L248" s="218"/>
      <c r="M248" s="247"/>
      <c r="N248" s="339">
        <v>7962</v>
      </c>
      <c r="O248" s="339">
        <v>2691</v>
      </c>
      <c r="P248" s="216">
        <v>1750</v>
      </c>
      <c r="Q248" s="216">
        <v>2750</v>
      </c>
      <c r="R248" s="215">
        <v>2000</v>
      </c>
      <c r="S248" s="215">
        <v>2000</v>
      </c>
      <c r="T248" s="215">
        <v>2000</v>
      </c>
      <c r="U248" s="215">
        <v>2000</v>
      </c>
      <c r="V248" s="215">
        <v>2000</v>
      </c>
    </row>
    <row r="249" spans="1:28" ht="24" customHeight="1">
      <c r="A249" s="396" t="s">
        <v>253</v>
      </c>
      <c r="B249" s="397"/>
      <c r="C249" s="397"/>
      <c r="D249" s="396" t="s">
        <v>1322</v>
      </c>
      <c r="E249" s="552"/>
      <c r="F249" s="552"/>
      <c r="G249" s="552"/>
      <c r="H249" s="552"/>
      <c r="I249" s="552"/>
      <c r="J249" s="552"/>
      <c r="K249" s="552"/>
      <c r="L249" s="218"/>
      <c r="M249" s="247"/>
      <c r="N249" s="339">
        <f>22671</f>
        <v>22671</v>
      </c>
      <c r="O249" s="339">
        <v>30984</v>
      </c>
      <c r="P249" s="216">
        <v>20000</v>
      </c>
      <c r="Q249" s="216">
        <v>20000</v>
      </c>
      <c r="R249" s="215">
        <v>20000</v>
      </c>
      <c r="S249" s="215">
        <v>20000</v>
      </c>
      <c r="T249" s="215">
        <v>20000</v>
      </c>
      <c r="U249" s="215">
        <v>20000</v>
      </c>
      <c r="V249" s="215">
        <v>20000</v>
      </c>
    </row>
    <row r="250" spans="1:28" ht="24" customHeight="1">
      <c r="A250" s="396" t="s">
        <v>189</v>
      </c>
      <c r="B250" s="328"/>
      <c r="C250" s="328"/>
      <c r="D250" s="396" t="s">
        <v>876</v>
      </c>
      <c r="E250" s="541"/>
      <c r="F250" s="541"/>
      <c r="G250" s="541"/>
      <c r="H250" s="541"/>
      <c r="I250" s="541"/>
      <c r="J250" s="541"/>
      <c r="K250" s="541"/>
      <c r="L250" s="209"/>
      <c r="M250" s="229"/>
      <c r="N250" s="337">
        <v>8240</v>
      </c>
      <c r="O250" s="337">
        <v>3894</v>
      </c>
      <c r="P250" s="216">
        <v>22500</v>
      </c>
      <c r="Q250" s="216">
        <v>22500</v>
      </c>
      <c r="R250" s="215">
        <v>0</v>
      </c>
      <c r="S250" s="215">
        <v>0</v>
      </c>
      <c r="T250" s="215">
        <v>0</v>
      </c>
      <c r="U250" s="215">
        <v>0</v>
      </c>
      <c r="V250" s="215">
        <v>0</v>
      </c>
    </row>
    <row r="251" spans="1:28" ht="24" customHeight="1">
      <c r="A251" s="396" t="s">
        <v>188</v>
      </c>
      <c r="B251" s="397"/>
      <c r="C251" s="397"/>
      <c r="D251" s="396" t="s">
        <v>161</v>
      </c>
      <c r="E251" s="542"/>
      <c r="F251" s="542"/>
      <c r="G251" s="542"/>
      <c r="H251" s="542"/>
      <c r="I251" s="542"/>
      <c r="J251" s="542"/>
      <c r="K251" s="542"/>
      <c r="L251" s="218"/>
      <c r="M251" s="232"/>
      <c r="N251" s="344">
        <v>31024</v>
      </c>
      <c r="O251" s="344">
        <v>23204</v>
      </c>
      <c r="P251" s="256">
        <v>25680</v>
      </c>
      <c r="Q251" s="256">
        <v>25680</v>
      </c>
      <c r="R251" s="255">
        <f>ROUND(Q251*1.07,0)</f>
        <v>27478</v>
      </c>
      <c r="S251" s="255">
        <f t="shared" ref="S251:V251" si="56">ROUND(R251*1.07,0)</f>
        <v>29401</v>
      </c>
      <c r="T251" s="255">
        <f t="shared" si="56"/>
        <v>31459</v>
      </c>
      <c r="U251" s="255">
        <f t="shared" si="56"/>
        <v>33661</v>
      </c>
      <c r="V251" s="255">
        <f t="shared" si="56"/>
        <v>36017</v>
      </c>
      <c r="X251" s="213"/>
      <c r="AA251" s="306"/>
    </row>
    <row r="252" spans="1:28" s="328" customFormat="1" ht="24" customHeight="1">
      <c r="A252" s="396"/>
      <c r="B252" s="399"/>
      <c r="C252" s="399"/>
      <c r="D252" s="396"/>
      <c r="E252" s="399"/>
      <c r="F252" s="399"/>
      <c r="G252" s="399"/>
      <c r="H252" s="399"/>
      <c r="I252" s="399"/>
      <c r="J252" s="399"/>
      <c r="K252" s="399"/>
      <c r="L252" s="429"/>
      <c r="M252" s="430"/>
      <c r="N252" s="362">
        <f t="shared" ref="N252" si="57">SUM(N222:N251)</f>
        <v>505482</v>
      </c>
      <c r="O252" s="362">
        <f t="shared" ref="O252:V252" si="58">SUM(O222:O251)</f>
        <v>604113</v>
      </c>
      <c r="P252" s="353">
        <f t="shared" ref="P252" si="59">SUM(P222:P251)</f>
        <v>932505</v>
      </c>
      <c r="Q252" s="353">
        <f>SUM(Q222:Q251)</f>
        <v>929005</v>
      </c>
      <c r="R252" s="362">
        <f t="shared" ref="R252:U252" si="60">SUM(R222:R251)</f>
        <v>798624</v>
      </c>
      <c r="S252" s="362">
        <f t="shared" si="60"/>
        <v>750371</v>
      </c>
      <c r="T252" s="362">
        <f t="shared" si="60"/>
        <v>779225</v>
      </c>
      <c r="U252" s="362">
        <f t="shared" si="60"/>
        <v>809817</v>
      </c>
      <c r="V252" s="362">
        <f t="shared" si="58"/>
        <v>842334</v>
      </c>
      <c r="W252" s="640"/>
    </row>
    <row r="253" spans="1:28" ht="15" customHeight="1">
      <c r="A253" s="396"/>
      <c r="B253" s="399"/>
      <c r="C253" s="399"/>
      <c r="D253" s="396"/>
      <c r="E253" s="399"/>
      <c r="F253" s="399"/>
      <c r="G253" s="399"/>
      <c r="H253" s="399"/>
      <c r="I253" s="399"/>
      <c r="J253" s="399"/>
      <c r="K253" s="399"/>
      <c r="L253" s="236"/>
      <c r="M253" s="229"/>
      <c r="N253" s="340"/>
      <c r="O253" s="340"/>
      <c r="P253" s="225"/>
      <c r="Q253" s="225"/>
      <c r="R253" s="221"/>
      <c r="S253" s="221"/>
      <c r="T253" s="221"/>
      <c r="U253" s="221"/>
      <c r="V253" s="221"/>
    </row>
    <row r="254" spans="1:28" ht="24" customHeight="1">
      <c r="A254" s="400" t="s">
        <v>1507</v>
      </c>
      <c r="B254" s="328"/>
      <c r="C254" s="328"/>
      <c r="D254" s="328"/>
      <c r="E254" s="328"/>
      <c r="F254" s="328"/>
      <c r="G254" s="328"/>
      <c r="H254" s="328"/>
      <c r="I254" s="328"/>
      <c r="J254" s="328"/>
      <c r="K254" s="328"/>
      <c r="L254" s="209"/>
      <c r="N254" s="346"/>
      <c r="O254" s="346"/>
      <c r="P254" s="238"/>
      <c r="Q254" s="238"/>
      <c r="R254" s="237"/>
      <c r="S254" s="237"/>
      <c r="T254" s="237"/>
      <c r="U254" s="237"/>
      <c r="V254" s="237"/>
    </row>
    <row r="255" spans="1:28" ht="24" customHeight="1">
      <c r="A255" s="328" t="s">
        <v>885</v>
      </c>
      <c r="B255" s="328"/>
      <c r="C255" s="328"/>
      <c r="D255" s="396" t="s">
        <v>886</v>
      </c>
      <c r="E255" s="328"/>
      <c r="F255" s="328"/>
      <c r="G255" s="328"/>
      <c r="H255" s="328"/>
      <c r="I255" s="328"/>
      <c r="J255" s="328"/>
      <c r="K255" s="328"/>
      <c r="L255" s="209"/>
      <c r="M255" s="229"/>
      <c r="N255" s="339">
        <v>0</v>
      </c>
      <c r="O255" s="339">
        <v>136335</v>
      </c>
      <c r="P255" s="216">
        <v>143000</v>
      </c>
      <c r="Q255" s="216">
        <v>143000</v>
      </c>
      <c r="R255" s="215">
        <v>75000</v>
      </c>
      <c r="S255" s="215">
        <v>75000</v>
      </c>
      <c r="T255" s="215">
        <v>75000</v>
      </c>
      <c r="U255" s="215">
        <v>75000</v>
      </c>
      <c r="V255" s="215">
        <v>75000</v>
      </c>
      <c r="X255" s="213"/>
    </row>
    <row r="256" spans="1:28" ht="24" customHeight="1">
      <c r="A256" s="396" t="s">
        <v>198</v>
      </c>
      <c r="B256" s="397"/>
      <c r="C256" s="397"/>
      <c r="D256" s="396" t="s">
        <v>200</v>
      </c>
      <c r="E256" s="542"/>
      <c r="F256" s="542"/>
      <c r="G256" s="542"/>
      <c r="H256" s="542"/>
      <c r="I256" s="542"/>
      <c r="J256" s="542"/>
      <c r="K256" s="542"/>
      <c r="L256" s="218"/>
      <c r="M256" s="229"/>
      <c r="N256" s="337">
        <v>1193400</v>
      </c>
      <c r="O256" s="337">
        <v>903061</v>
      </c>
      <c r="P256" s="212">
        <v>1023500</v>
      </c>
      <c r="Q256" s="212">
        <f>Q41</f>
        <v>1001651</v>
      </c>
      <c r="R256" s="211">
        <f t="shared" ref="R256:V256" si="61">R41</f>
        <v>1031701</v>
      </c>
      <c r="S256" s="211">
        <f>S41</f>
        <v>1062652</v>
      </c>
      <c r="T256" s="211">
        <f t="shared" si="61"/>
        <v>1094532</v>
      </c>
      <c r="U256" s="211">
        <f t="shared" si="61"/>
        <v>1127368</v>
      </c>
      <c r="V256" s="211">
        <f t="shared" si="61"/>
        <v>1161189</v>
      </c>
      <c r="X256" s="213"/>
    </row>
    <row r="257" spans="1:29" ht="24" customHeight="1">
      <c r="A257" s="396" t="s">
        <v>197</v>
      </c>
      <c r="B257" s="328"/>
      <c r="C257" s="328"/>
      <c r="D257" s="396" t="s">
        <v>199</v>
      </c>
      <c r="E257" s="328"/>
      <c r="F257" s="328"/>
      <c r="G257" s="328"/>
      <c r="H257" s="328"/>
      <c r="I257" s="328"/>
      <c r="J257" s="328"/>
      <c r="K257" s="328"/>
      <c r="L257" s="209"/>
      <c r="M257" s="271"/>
      <c r="N257" s="345">
        <v>4920</v>
      </c>
      <c r="O257" s="345">
        <v>4080</v>
      </c>
      <c r="P257" s="252">
        <v>6000</v>
      </c>
      <c r="Q257" s="252">
        <v>6000</v>
      </c>
      <c r="R257" s="233">
        <v>6000</v>
      </c>
      <c r="S257" s="233">
        <v>6000</v>
      </c>
      <c r="T257" s="233">
        <v>6000</v>
      </c>
      <c r="U257" s="233">
        <v>6000</v>
      </c>
      <c r="V257" s="233">
        <v>6000</v>
      </c>
      <c r="X257" s="213"/>
    </row>
    <row r="258" spans="1:29" s="328" customFormat="1" ht="24" customHeight="1">
      <c r="A258" s="396"/>
      <c r="D258" s="396"/>
      <c r="L258" s="424"/>
      <c r="M258" s="431"/>
      <c r="N258" s="363">
        <f t="shared" ref="N258" si="62">SUM(N255:N257)</f>
        <v>1198320</v>
      </c>
      <c r="O258" s="363">
        <f t="shared" ref="O258:V258" si="63">SUM(O255:O257)</f>
        <v>1043476</v>
      </c>
      <c r="P258" s="355">
        <f t="shared" ref="P258" si="64">SUM(P255:P257)</f>
        <v>1172500</v>
      </c>
      <c r="Q258" s="355">
        <f t="shared" si="63"/>
        <v>1150651</v>
      </c>
      <c r="R258" s="363">
        <f t="shared" ref="R258:U258" si="65">SUM(R255:R257)</f>
        <v>1112701</v>
      </c>
      <c r="S258" s="363">
        <f t="shared" si="65"/>
        <v>1143652</v>
      </c>
      <c r="T258" s="363">
        <f t="shared" si="65"/>
        <v>1175532</v>
      </c>
      <c r="U258" s="363">
        <f t="shared" si="65"/>
        <v>1208368</v>
      </c>
      <c r="V258" s="363">
        <f t="shared" si="63"/>
        <v>1242189</v>
      </c>
      <c r="W258" s="640"/>
    </row>
    <row r="259" spans="1:29" s="328" customFormat="1" ht="15" customHeight="1">
      <c r="A259" s="396"/>
      <c r="D259" s="396"/>
      <c r="L259" s="424"/>
      <c r="M259" s="431"/>
      <c r="N259" s="363"/>
      <c r="O259" s="363"/>
      <c r="P259" s="355"/>
      <c r="Q259" s="355"/>
      <c r="R259" s="363"/>
      <c r="S259" s="363"/>
      <c r="T259" s="363"/>
      <c r="U259" s="363"/>
      <c r="V259" s="363"/>
      <c r="W259" s="640"/>
    </row>
    <row r="260" spans="1:29" s="328" customFormat="1" ht="24" customHeight="1">
      <c r="A260" s="396"/>
      <c r="D260" s="396"/>
      <c r="F260" s="730" t="s">
        <v>1166</v>
      </c>
      <c r="G260" s="730"/>
      <c r="H260" s="730"/>
      <c r="I260" s="730"/>
      <c r="J260" s="730"/>
      <c r="K260" s="730"/>
      <c r="L260" s="432"/>
      <c r="M260" s="431"/>
      <c r="N260" s="363">
        <f t="shared" ref="N260" si="66">N252+N258</f>
        <v>1703802</v>
      </c>
      <c r="O260" s="363">
        <f t="shared" ref="O260:V260" si="67">O252+O258</f>
        <v>1647589</v>
      </c>
      <c r="P260" s="355">
        <f t="shared" ref="P260" si="68">P252+P258</f>
        <v>2105005</v>
      </c>
      <c r="Q260" s="355">
        <f t="shared" si="67"/>
        <v>2079656</v>
      </c>
      <c r="R260" s="363">
        <f t="shared" ref="R260:U260" si="69">R252+R258</f>
        <v>1911325</v>
      </c>
      <c r="S260" s="363">
        <f t="shared" si="69"/>
        <v>1894023</v>
      </c>
      <c r="T260" s="363">
        <f t="shared" si="69"/>
        <v>1954757</v>
      </c>
      <c r="U260" s="363">
        <f t="shared" si="69"/>
        <v>2018185</v>
      </c>
      <c r="V260" s="363">
        <f t="shared" si="67"/>
        <v>2084523</v>
      </c>
      <c r="W260" s="518"/>
    </row>
    <row r="261" spans="1:29" ht="15" customHeight="1">
      <c r="A261" s="396"/>
      <c r="B261" s="328"/>
      <c r="C261" s="328"/>
      <c r="D261" s="396"/>
      <c r="E261" s="328"/>
      <c r="F261" s="401"/>
      <c r="G261" s="401"/>
      <c r="H261" s="401"/>
      <c r="I261" s="401"/>
      <c r="J261" s="401"/>
      <c r="K261" s="401"/>
      <c r="L261" s="273"/>
      <c r="M261" s="272"/>
      <c r="N261" s="363"/>
      <c r="O261" s="363"/>
      <c r="P261" s="257"/>
      <c r="Q261" s="257"/>
      <c r="R261" s="258"/>
      <c r="S261" s="258"/>
      <c r="T261" s="258"/>
      <c r="U261" s="258"/>
      <c r="V261" s="258"/>
    </row>
    <row r="262" spans="1:29" ht="24" customHeight="1">
      <c r="A262" s="402" t="s">
        <v>733</v>
      </c>
      <c r="B262" s="328"/>
      <c r="C262" s="328"/>
      <c r="D262" s="396"/>
      <c r="E262" s="328"/>
      <c r="F262" s="328"/>
      <c r="G262" s="328"/>
      <c r="H262" s="328"/>
      <c r="I262" s="328"/>
      <c r="J262" s="328"/>
      <c r="K262" s="328"/>
      <c r="L262" s="209"/>
      <c r="M262" s="253"/>
      <c r="N262" s="340"/>
      <c r="O262" s="340"/>
      <c r="P262" s="225"/>
      <c r="Q262" s="225"/>
      <c r="R262" s="221"/>
      <c r="S262" s="221"/>
      <c r="T262" s="221"/>
      <c r="U262" s="221"/>
      <c r="V262" s="221"/>
    </row>
    <row r="263" spans="1:29" ht="24" customHeight="1">
      <c r="A263" s="396" t="s">
        <v>279</v>
      </c>
      <c r="B263" s="397"/>
      <c r="C263" s="397"/>
      <c r="D263" s="396" t="s">
        <v>280</v>
      </c>
      <c r="E263" s="397"/>
      <c r="F263" s="397"/>
      <c r="G263" s="397"/>
      <c r="H263" s="397"/>
      <c r="I263" s="397"/>
      <c r="J263" s="397"/>
      <c r="K263" s="397"/>
      <c r="L263" s="218"/>
      <c r="M263" s="247"/>
      <c r="N263" s="339">
        <v>350</v>
      </c>
      <c r="O263" s="339">
        <v>100</v>
      </c>
      <c r="P263" s="216">
        <v>500</v>
      </c>
      <c r="Q263" s="216">
        <f>Q47</f>
        <v>500</v>
      </c>
      <c r="R263" s="215">
        <f t="shared" ref="R263:V263" si="70">R47</f>
        <v>500</v>
      </c>
      <c r="S263" s="215">
        <f t="shared" si="70"/>
        <v>500</v>
      </c>
      <c r="T263" s="215">
        <f t="shared" si="70"/>
        <v>500</v>
      </c>
      <c r="U263" s="215">
        <f t="shared" si="70"/>
        <v>500</v>
      </c>
      <c r="V263" s="215">
        <f t="shared" si="70"/>
        <v>500</v>
      </c>
      <c r="X263" s="213"/>
    </row>
    <row r="264" spans="1:29" ht="24" customHeight="1">
      <c r="A264" s="396" t="s">
        <v>241</v>
      </c>
      <c r="B264" s="328"/>
      <c r="C264" s="328"/>
      <c r="D264" s="396" t="s">
        <v>13</v>
      </c>
      <c r="E264" s="328"/>
      <c r="F264" s="328"/>
      <c r="G264" s="328"/>
      <c r="H264" s="328"/>
      <c r="I264" s="328"/>
      <c r="J264" s="328"/>
      <c r="K264" s="328"/>
      <c r="L264" s="209"/>
      <c r="M264" s="247"/>
      <c r="N264" s="339">
        <v>1199018</v>
      </c>
      <c r="O264" s="339">
        <v>0</v>
      </c>
      <c r="P264" s="216">
        <v>0</v>
      </c>
      <c r="Q264" s="216">
        <v>0</v>
      </c>
      <c r="R264" s="215">
        <f>Q264*1.1</f>
        <v>0</v>
      </c>
      <c r="S264" s="215">
        <v>0</v>
      </c>
      <c r="T264" s="215">
        <v>0</v>
      </c>
      <c r="U264" s="215">
        <v>0</v>
      </c>
      <c r="V264" s="215">
        <v>0</v>
      </c>
      <c r="X264" s="213"/>
    </row>
    <row r="265" spans="1:29" ht="24" customHeight="1">
      <c r="A265" s="396" t="s">
        <v>205</v>
      </c>
      <c r="B265" s="328"/>
      <c r="C265" s="328"/>
      <c r="D265" s="396" t="s">
        <v>207</v>
      </c>
      <c r="E265" s="328"/>
      <c r="F265" s="328"/>
      <c r="G265" s="328"/>
      <c r="H265" s="328"/>
      <c r="I265" s="328"/>
      <c r="J265" s="328"/>
      <c r="K265" s="328"/>
      <c r="L265" s="209"/>
      <c r="M265" s="247"/>
      <c r="N265" s="339">
        <v>14022</v>
      </c>
      <c r="O265" s="339">
        <v>0</v>
      </c>
      <c r="P265" s="216">
        <v>0</v>
      </c>
      <c r="Q265" s="216">
        <v>0</v>
      </c>
      <c r="R265" s="215">
        <v>0</v>
      </c>
      <c r="S265" s="215">
        <v>0</v>
      </c>
      <c r="T265" s="215">
        <v>0</v>
      </c>
      <c r="U265" s="215">
        <v>0</v>
      </c>
      <c r="V265" s="215">
        <v>0</v>
      </c>
      <c r="X265" s="213"/>
    </row>
    <row r="266" spans="1:29" ht="24" customHeight="1">
      <c r="A266" s="396" t="s">
        <v>204</v>
      </c>
      <c r="B266" s="328"/>
      <c r="C266" s="328"/>
      <c r="D266" s="396" t="s">
        <v>714</v>
      </c>
      <c r="E266" s="328"/>
      <c r="F266" s="328"/>
      <c r="G266" s="328"/>
      <c r="H266" s="328"/>
      <c r="I266" s="328"/>
      <c r="J266" s="328"/>
      <c r="K266" s="328"/>
      <c r="L266" s="209"/>
      <c r="M266" s="247"/>
      <c r="N266" s="339">
        <v>86598</v>
      </c>
      <c r="O266" s="339">
        <v>0</v>
      </c>
      <c r="P266" s="216">
        <v>0</v>
      </c>
      <c r="Q266" s="216">
        <v>0</v>
      </c>
      <c r="R266" s="215">
        <v>0</v>
      </c>
      <c r="S266" s="215">
        <v>0</v>
      </c>
      <c r="T266" s="215">
        <v>0</v>
      </c>
      <c r="U266" s="215">
        <v>0</v>
      </c>
      <c r="V266" s="215">
        <v>0</v>
      </c>
      <c r="X266" s="213"/>
    </row>
    <row r="267" spans="1:29" ht="24" customHeight="1">
      <c r="A267" s="396" t="s">
        <v>203</v>
      </c>
      <c r="B267" s="328"/>
      <c r="C267" s="328"/>
      <c r="D267" s="396" t="s">
        <v>716</v>
      </c>
      <c r="E267" s="328"/>
      <c r="F267" s="328"/>
      <c r="G267" s="328"/>
      <c r="H267" s="328"/>
      <c r="I267" s="328"/>
      <c r="J267" s="328"/>
      <c r="K267" s="328"/>
      <c r="L267" s="209"/>
      <c r="M267" s="247"/>
      <c r="N267" s="339">
        <v>10117</v>
      </c>
      <c r="O267" s="339">
        <v>0</v>
      </c>
      <c r="P267" s="216">
        <v>0</v>
      </c>
      <c r="Q267" s="216">
        <v>0</v>
      </c>
      <c r="R267" s="215">
        <v>0</v>
      </c>
      <c r="S267" s="215">
        <v>0</v>
      </c>
      <c r="T267" s="215">
        <v>0</v>
      </c>
      <c r="U267" s="215">
        <v>0</v>
      </c>
      <c r="V267" s="215">
        <v>0</v>
      </c>
      <c r="X267" s="213"/>
    </row>
    <row r="268" spans="1:29" ht="24" customHeight="1">
      <c r="A268" s="396" t="s">
        <v>202</v>
      </c>
      <c r="B268" s="397"/>
      <c r="C268" s="397"/>
      <c r="D268" s="396" t="s">
        <v>206</v>
      </c>
      <c r="E268" s="542"/>
      <c r="F268" s="542"/>
      <c r="G268" s="542"/>
      <c r="H268" s="542"/>
      <c r="I268" s="542"/>
      <c r="J268" s="542"/>
      <c r="K268" s="542"/>
      <c r="L268" s="218"/>
      <c r="M268" s="247"/>
      <c r="N268" s="339">
        <v>91200</v>
      </c>
      <c r="O268" s="339">
        <v>7024</v>
      </c>
      <c r="P268" s="216">
        <v>45000</v>
      </c>
      <c r="Q268" s="216">
        <v>30000</v>
      </c>
      <c r="R268" s="215">
        <v>30000</v>
      </c>
      <c r="S268" s="215">
        <v>30000</v>
      </c>
      <c r="T268" s="215">
        <v>30000</v>
      </c>
      <c r="U268" s="215">
        <v>30000</v>
      </c>
      <c r="V268" s="215">
        <v>30000</v>
      </c>
    </row>
    <row r="269" spans="1:29" ht="24" customHeight="1">
      <c r="A269" s="396" t="s">
        <v>201</v>
      </c>
      <c r="B269" s="328"/>
      <c r="C269" s="328"/>
      <c r="D269" s="396" t="s">
        <v>270</v>
      </c>
      <c r="E269" s="543"/>
      <c r="F269" s="543"/>
      <c r="G269" s="543"/>
      <c r="H269" s="543"/>
      <c r="I269" s="543"/>
      <c r="J269" s="543"/>
      <c r="K269" s="396"/>
      <c r="L269" s="229"/>
      <c r="M269" s="247"/>
      <c r="N269" s="339">
        <v>308490</v>
      </c>
      <c r="O269" s="339">
        <v>213976</v>
      </c>
      <c r="P269" s="216">
        <v>261302</v>
      </c>
      <c r="Q269" s="216">
        <v>250000</v>
      </c>
      <c r="R269" s="215">
        <f>ROUND(Q269*1.06,0)</f>
        <v>265000</v>
      </c>
      <c r="S269" s="215">
        <f>ROUND(R269*1.06,0)</f>
        <v>280900</v>
      </c>
      <c r="T269" s="215">
        <f>ROUND(S269*1.06,0)</f>
        <v>297754</v>
      </c>
      <c r="U269" s="215">
        <f>ROUND(T269*1.06,0)</f>
        <v>315619</v>
      </c>
      <c r="V269" s="215">
        <f>ROUND(U269*1.06,0)</f>
        <v>334556</v>
      </c>
      <c r="X269" s="213"/>
    </row>
    <row r="270" spans="1:29" ht="24" customHeight="1">
      <c r="A270" s="396" t="s">
        <v>909</v>
      </c>
      <c r="B270" s="328"/>
      <c r="C270" s="328"/>
      <c r="D270" s="398" t="s">
        <v>912</v>
      </c>
      <c r="E270" s="328"/>
      <c r="F270" s="328"/>
      <c r="G270" s="328"/>
      <c r="H270" s="328"/>
      <c r="I270" s="328"/>
      <c r="J270" s="328"/>
      <c r="K270" s="328"/>
      <c r="L270" s="209"/>
      <c r="M270" s="229"/>
      <c r="N270" s="339">
        <v>0</v>
      </c>
      <c r="O270" s="339">
        <f>88460+408</f>
        <v>88868</v>
      </c>
      <c r="P270" s="216">
        <v>44723</v>
      </c>
      <c r="Q270" s="216">
        <v>44723</v>
      </c>
      <c r="R270" s="223">
        <v>47149</v>
      </c>
      <c r="S270" s="223">
        <f>ROUND(R270*1.08,0)-8900</f>
        <v>42021</v>
      </c>
      <c r="T270" s="223">
        <f t="shared" ref="T270:V270" si="71">ROUND(S270*1.08,0)</f>
        <v>45383</v>
      </c>
      <c r="U270" s="223">
        <f t="shared" si="71"/>
        <v>49014</v>
      </c>
      <c r="V270" s="223">
        <f t="shared" si="71"/>
        <v>52935</v>
      </c>
      <c r="X270" s="656"/>
      <c r="Y270" s="657"/>
      <c r="Z270" s="657"/>
      <c r="AA270" s="657"/>
      <c r="AC270" s="213"/>
    </row>
    <row r="271" spans="1:29" ht="24" customHeight="1">
      <c r="A271" s="396" t="s">
        <v>910</v>
      </c>
      <c r="B271" s="328"/>
      <c r="C271" s="328"/>
      <c r="D271" s="398" t="s">
        <v>913</v>
      </c>
      <c r="E271" s="328"/>
      <c r="F271" s="328"/>
      <c r="G271" s="328"/>
      <c r="H271" s="328"/>
      <c r="I271" s="328"/>
      <c r="J271" s="328"/>
      <c r="K271" s="328"/>
      <c r="L271" s="209"/>
      <c r="M271" s="229"/>
      <c r="N271" s="339">
        <v>0</v>
      </c>
      <c r="O271" s="339">
        <v>5025</v>
      </c>
      <c r="P271" s="216">
        <v>1333</v>
      </c>
      <c r="Q271" s="216">
        <v>1333</v>
      </c>
      <c r="R271" s="223">
        <v>1333</v>
      </c>
      <c r="S271" s="223">
        <f>ROUND(R271*1.05,0)-450</f>
        <v>950</v>
      </c>
      <c r="T271" s="223">
        <f t="shared" ref="T271" si="72">ROUND(S271*1.05,0)</f>
        <v>998</v>
      </c>
      <c r="U271" s="223">
        <v>1500</v>
      </c>
      <c r="V271" s="223">
        <v>1500</v>
      </c>
      <c r="X271" s="656"/>
      <c r="Y271" s="657"/>
      <c r="Z271" s="657"/>
      <c r="AA271" s="656"/>
      <c r="AC271" s="213"/>
    </row>
    <row r="272" spans="1:29" ht="24" customHeight="1">
      <c r="A272" s="396" t="s">
        <v>911</v>
      </c>
      <c r="B272" s="328"/>
      <c r="C272" s="328"/>
      <c r="D272" s="398" t="s">
        <v>914</v>
      </c>
      <c r="E272" s="328"/>
      <c r="F272" s="328"/>
      <c r="G272" s="328"/>
      <c r="H272" s="328"/>
      <c r="I272" s="328"/>
      <c r="J272" s="328"/>
      <c r="K272" s="328"/>
      <c r="L272" s="209"/>
      <c r="M272" s="229"/>
      <c r="N272" s="339">
        <v>0</v>
      </c>
      <c r="O272" s="339">
        <v>578</v>
      </c>
      <c r="P272" s="216">
        <v>160</v>
      </c>
      <c r="Q272" s="216">
        <v>160</v>
      </c>
      <c r="R272" s="223">
        <v>165</v>
      </c>
      <c r="S272" s="223">
        <f>ROUND(R272*1.03,0)-50</f>
        <v>120</v>
      </c>
      <c r="T272" s="223">
        <v>150</v>
      </c>
      <c r="U272" s="223">
        <v>150</v>
      </c>
      <c r="V272" s="223">
        <v>150</v>
      </c>
      <c r="X272" s="213"/>
      <c r="AA272" s="213"/>
      <c r="AC272" s="213"/>
    </row>
    <row r="273" spans="1:29" ht="24" customHeight="1">
      <c r="A273" s="396" t="s">
        <v>1237</v>
      </c>
      <c r="B273" s="328"/>
      <c r="C273" s="328"/>
      <c r="D273" s="396" t="s">
        <v>1238</v>
      </c>
      <c r="E273" s="328"/>
      <c r="F273" s="328"/>
      <c r="G273" s="328"/>
      <c r="H273" s="328"/>
      <c r="I273" s="328"/>
      <c r="J273" s="328"/>
      <c r="K273" s="396"/>
      <c r="L273" s="229"/>
      <c r="M273" s="247"/>
      <c r="N273" s="340">
        <v>0</v>
      </c>
      <c r="O273" s="340">
        <v>0</v>
      </c>
      <c r="P273" s="225">
        <v>25000</v>
      </c>
      <c r="Q273" s="225">
        <v>25000</v>
      </c>
      <c r="R273" s="215">
        <v>50000</v>
      </c>
      <c r="S273" s="215">
        <v>50000</v>
      </c>
      <c r="T273" s="215">
        <v>50000</v>
      </c>
      <c r="U273" s="215">
        <f>25000+12500</f>
        <v>37500</v>
      </c>
      <c r="V273" s="215">
        <f>25000+12500</f>
        <v>37500</v>
      </c>
      <c r="X273" s="274"/>
      <c r="AA273" s="213"/>
      <c r="AC273" s="213"/>
    </row>
    <row r="274" spans="1:29" ht="24" customHeight="1">
      <c r="A274" s="396" t="s">
        <v>805</v>
      </c>
      <c r="B274" s="328"/>
      <c r="C274" s="328"/>
      <c r="D274" s="396" t="s">
        <v>804</v>
      </c>
      <c r="E274" s="328"/>
      <c r="F274" s="328"/>
      <c r="G274" s="328"/>
      <c r="H274" s="328"/>
      <c r="I274" s="328"/>
      <c r="J274" s="328"/>
      <c r="K274" s="396"/>
      <c r="L274" s="229"/>
      <c r="M274" s="247"/>
      <c r="N274" s="340">
        <v>0</v>
      </c>
      <c r="O274" s="340">
        <v>22000</v>
      </c>
      <c r="P274" s="225">
        <v>26000</v>
      </c>
      <c r="Q274" s="225">
        <v>26000</v>
      </c>
      <c r="R274" s="215">
        <v>150000</v>
      </c>
      <c r="S274" s="215">
        <v>200000</v>
      </c>
      <c r="T274" s="215">
        <v>250000</v>
      </c>
      <c r="U274" s="215">
        <v>300000</v>
      </c>
      <c r="V274" s="215">
        <v>300000</v>
      </c>
      <c r="W274" s="326"/>
      <c r="X274" s="213"/>
    </row>
    <row r="275" spans="1:29" ht="24" customHeight="1">
      <c r="A275" s="396" t="s">
        <v>813</v>
      </c>
      <c r="B275" s="399"/>
      <c r="C275" s="399"/>
      <c r="D275" s="398" t="s">
        <v>814</v>
      </c>
      <c r="E275" s="399"/>
      <c r="F275" s="399"/>
      <c r="G275" s="399"/>
      <c r="H275" s="399"/>
      <c r="I275" s="399"/>
      <c r="J275" s="399"/>
      <c r="K275" s="399"/>
      <c r="L275" s="236"/>
      <c r="M275" s="247"/>
      <c r="N275" s="339">
        <v>55155</v>
      </c>
      <c r="O275" s="339">
        <v>86654</v>
      </c>
      <c r="P275" s="216">
        <v>90000</v>
      </c>
      <c r="Q275" s="216">
        <v>90000</v>
      </c>
      <c r="R275" s="215">
        <f>94500+30000+30000+20000</f>
        <v>174500</v>
      </c>
      <c r="S275" s="215">
        <f>ROUND(94500*1.05,0)</f>
        <v>99225</v>
      </c>
      <c r="T275" s="215">
        <f>ROUND(99225*1.05,0)</f>
        <v>104186</v>
      </c>
      <c r="U275" s="215">
        <f>ROUND(104186*1.05,0)</f>
        <v>109395</v>
      </c>
      <c r="V275" s="215">
        <f>ROUND(109395*1.05,0)</f>
        <v>114865</v>
      </c>
      <c r="W275" s="326"/>
      <c r="X275" s="274"/>
    </row>
    <row r="276" spans="1:29" ht="24" customHeight="1">
      <c r="A276" s="396" t="s">
        <v>242</v>
      </c>
      <c r="B276" s="399"/>
      <c r="C276" s="399"/>
      <c r="D276" s="396" t="s">
        <v>219</v>
      </c>
      <c r="E276" s="399"/>
      <c r="F276" s="399"/>
      <c r="G276" s="399"/>
      <c r="H276" s="399"/>
      <c r="I276" s="399"/>
      <c r="J276" s="399"/>
      <c r="K276" s="399"/>
      <c r="L276" s="236"/>
      <c r="M276" s="247"/>
      <c r="N276" s="339">
        <v>81998</v>
      </c>
      <c r="O276" s="339">
        <v>81042</v>
      </c>
      <c r="P276" s="216">
        <v>110000</v>
      </c>
      <c r="Q276" s="216">
        <v>110000</v>
      </c>
      <c r="R276" s="215">
        <f>ROUND(Q276*1.05,0)</f>
        <v>115500</v>
      </c>
      <c r="S276" s="215">
        <f t="shared" ref="S276:V276" si="73">ROUND(R276*1.05,0)</f>
        <v>121275</v>
      </c>
      <c r="T276" s="215">
        <f t="shared" si="73"/>
        <v>127339</v>
      </c>
      <c r="U276" s="215">
        <f t="shared" si="73"/>
        <v>133706</v>
      </c>
      <c r="V276" s="215">
        <f t="shared" si="73"/>
        <v>140391</v>
      </c>
      <c r="X276" s="274"/>
    </row>
    <row r="277" spans="1:29" ht="24" customHeight="1">
      <c r="A277" s="396" t="s">
        <v>214</v>
      </c>
      <c r="B277" s="399"/>
      <c r="C277" s="399"/>
      <c r="D277" s="396" t="s">
        <v>218</v>
      </c>
      <c r="E277" s="399"/>
      <c r="F277" s="399"/>
      <c r="G277" s="399"/>
      <c r="H277" s="399"/>
      <c r="I277" s="399"/>
      <c r="J277" s="399"/>
      <c r="K277" s="399"/>
      <c r="L277" s="236"/>
      <c r="M277" s="247"/>
      <c r="N277" s="339">
        <v>70469</v>
      </c>
      <c r="O277" s="339">
        <v>44826</v>
      </c>
      <c r="P277" s="216">
        <v>60000</v>
      </c>
      <c r="Q277" s="216">
        <v>60000</v>
      </c>
      <c r="R277" s="215">
        <v>60000</v>
      </c>
      <c r="S277" s="215">
        <v>60000</v>
      </c>
      <c r="T277" s="215">
        <v>60000</v>
      </c>
      <c r="U277" s="215">
        <v>60000</v>
      </c>
      <c r="V277" s="215">
        <v>60000</v>
      </c>
      <c r="X277" s="213"/>
    </row>
    <row r="278" spans="1:29" ht="24" customHeight="1">
      <c r="A278" s="396" t="s">
        <v>843</v>
      </c>
      <c r="B278" s="399"/>
      <c r="C278" s="399"/>
      <c r="D278" s="396" t="s">
        <v>10</v>
      </c>
      <c r="E278" s="399"/>
      <c r="F278" s="399"/>
      <c r="G278" s="399"/>
      <c r="H278" s="399"/>
      <c r="I278" s="399"/>
      <c r="J278" s="399"/>
      <c r="K278" s="399"/>
      <c r="L278" s="236"/>
      <c r="M278" s="247"/>
      <c r="N278" s="360">
        <v>450</v>
      </c>
      <c r="O278" s="360">
        <v>451</v>
      </c>
      <c r="P278" s="216">
        <v>500</v>
      </c>
      <c r="Q278" s="216">
        <v>153</v>
      </c>
      <c r="R278" s="215">
        <v>0</v>
      </c>
      <c r="S278" s="215">
        <v>0</v>
      </c>
      <c r="T278" s="215">
        <v>0</v>
      </c>
      <c r="U278" s="215">
        <v>0</v>
      </c>
      <c r="V278" s="215">
        <v>0</v>
      </c>
      <c r="X278" s="213"/>
    </row>
    <row r="279" spans="1:29" ht="24" customHeight="1">
      <c r="A279" s="396" t="s">
        <v>213</v>
      </c>
      <c r="B279" s="399"/>
      <c r="C279" s="399"/>
      <c r="D279" s="396" t="s">
        <v>217</v>
      </c>
      <c r="E279" s="399"/>
      <c r="F279" s="399"/>
      <c r="G279" s="399"/>
      <c r="H279" s="399"/>
      <c r="I279" s="399"/>
      <c r="J279" s="399"/>
      <c r="K279" s="399"/>
      <c r="L279" s="236"/>
      <c r="M279" s="247"/>
      <c r="N279" s="339">
        <v>25261</v>
      </c>
      <c r="O279" s="339">
        <v>2771</v>
      </c>
      <c r="P279" s="216">
        <v>25000</v>
      </c>
      <c r="Q279" s="216">
        <v>25000</v>
      </c>
      <c r="R279" s="215">
        <v>25000</v>
      </c>
      <c r="S279" s="215">
        <v>25000</v>
      </c>
      <c r="T279" s="215">
        <v>25000</v>
      </c>
      <c r="U279" s="215">
        <v>25000</v>
      </c>
      <c r="V279" s="215">
        <v>25000</v>
      </c>
      <c r="X279" s="213"/>
    </row>
    <row r="280" spans="1:29" ht="24" customHeight="1">
      <c r="A280" s="396" t="s">
        <v>301</v>
      </c>
      <c r="B280" s="399"/>
      <c r="C280" s="399"/>
      <c r="D280" s="396" t="s">
        <v>302</v>
      </c>
      <c r="E280" s="399"/>
      <c r="F280" s="399"/>
      <c r="G280" s="399"/>
      <c r="H280" s="399"/>
      <c r="I280" s="399"/>
      <c r="J280" s="399"/>
      <c r="K280" s="399"/>
      <c r="L280" s="236"/>
      <c r="M280" s="253"/>
      <c r="N280" s="340">
        <v>222269</v>
      </c>
      <c r="O280" s="340">
        <v>406630</v>
      </c>
      <c r="P280" s="225">
        <v>180000</v>
      </c>
      <c r="Q280" s="225">
        <v>290000</v>
      </c>
      <c r="R280" s="221">
        <v>290000</v>
      </c>
      <c r="S280" s="221">
        <v>290000</v>
      </c>
      <c r="T280" s="221">
        <v>290000</v>
      </c>
      <c r="U280" s="221">
        <v>290000</v>
      </c>
      <c r="V280" s="221">
        <v>290000</v>
      </c>
      <c r="X280" s="213"/>
    </row>
    <row r="281" spans="1:29" ht="24" customHeight="1">
      <c r="A281" s="396" t="s">
        <v>212</v>
      </c>
      <c r="B281" s="399"/>
      <c r="C281" s="399"/>
      <c r="D281" s="396" t="s">
        <v>216</v>
      </c>
      <c r="E281" s="399"/>
      <c r="F281" s="399"/>
      <c r="G281" s="399"/>
      <c r="H281" s="399"/>
      <c r="I281" s="399"/>
      <c r="J281" s="399"/>
      <c r="K281" s="399"/>
      <c r="L281" s="236"/>
      <c r="M281" s="247"/>
      <c r="N281" s="339">
        <v>93150</v>
      </c>
      <c r="O281" s="339">
        <v>70613</v>
      </c>
      <c r="P281" s="216">
        <v>85000</v>
      </c>
      <c r="Q281" s="216">
        <v>85000</v>
      </c>
      <c r="R281" s="215">
        <v>85000</v>
      </c>
      <c r="S281" s="215">
        <v>85000</v>
      </c>
      <c r="T281" s="215">
        <v>85000</v>
      </c>
      <c r="U281" s="215">
        <v>85000</v>
      </c>
      <c r="V281" s="215">
        <v>85000</v>
      </c>
    </row>
    <row r="282" spans="1:29" ht="24" customHeight="1">
      <c r="A282" s="396" t="s">
        <v>861</v>
      </c>
      <c r="B282" s="399"/>
      <c r="C282" s="399"/>
      <c r="D282" s="396" t="s">
        <v>121</v>
      </c>
      <c r="E282" s="399"/>
      <c r="F282" s="399"/>
      <c r="G282" s="399"/>
      <c r="H282" s="399"/>
      <c r="I282" s="399"/>
      <c r="J282" s="399"/>
      <c r="K282" s="399"/>
      <c r="L282" s="236"/>
      <c r="M282" s="247"/>
      <c r="N282" s="339">
        <v>440</v>
      </c>
      <c r="O282" s="339">
        <v>0</v>
      </c>
      <c r="P282" s="216">
        <v>0</v>
      </c>
      <c r="Q282" s="216">
        <v>0</v>
      </c>
      <c r="R282" s="215">
        <v>0</v>
      </c>
      <c r="S282" s="215">
        <v>0</v>
      </c>
      <c r="T282" s="215">
        <v>0</v>
      </c>
      <c r="U282" s="215">
        <v>0</v>
      </c>
      <c r="V282" s="215">
        <v>0</v>
      </c>
      <c r="X282" s="213"/>
    </row>
    <row r="283" spans="1:29" ht="24" customHeight="1">
      <c r="A283" s="396" t="s">
        <v>243</v>
      </c>
      <c r="B283" s="399"/>
      <c r="C283" s="399"/>
      <c r="D283" s="396" t="s">
        <v>857</v>
      </c>
      <c r="E283" s="399"/>
      <c r="F283" s="399"/>
      <c r="G283" s="399"/>
      <c r="H283" s="399"/>
      <c r="I283" s="399"/>
      <c r="J283" s="399"/>
      <c r="K283" s="399"/>
      <c r="L283" s="236"/>
      <c r="M283" s="247"/>
      <c r="N283" s="339">
        <v>45926</v>
      </c>
      <c r="O283" s="339">
        <v>48473</v>
      </c>
      <c r="P283" s="216">
        <v>45000</v>
      </c>
      <c r="Q283" s="216">
        <f>ROUND(Q19*0.9,0)</f>
        <v>54000</v>
      </c>
      <c r="R283" s="215">
        <f t="shared" ref="R283:V283" si="74">ROUND(R19*0.9,0)</f>
        <v>54000</v>
      </c>
      <c r="S283" s="215">
        <f t="shared" si="74"/>
        <v>54000</v>
      </c>
      <c r="T283" s="215">
        <f t="shared" si="74"/>
        <v>54000</v>
      </c>
      <c r="U283" s="215">
        <f t="shared" si="74"/>
        <v>58500</v>
      </c>
      <c r="V283" s="215">
        <f t="shared" si="74"/>
        <v>58500</v>
      </c>
      <c r="X283" s="213"/>
    </row>
    <row r="284" spans="1:29" ht="24" customHeight="1">
      <c r="A284" s="396" t="s">
        <v>211</v>
      </c>
      <c r="B284" s="399"/>
      <c r="C284" s="399"/>
      <c r="D284" s="396" t="s">
        <v>290</v>
      </c>
      <c r="E284" s="399"/>
      <c r="F284" s="399"/>
      <c r="G284" s="399"/>
      <c r="H284" s="399"/>
      <c r="I284" s="399"/>
      <c r="J284" s="399"/>
      <c r="K284" s="399"/>
      <c r="L284" s="236"/>
      <c r="M284" s="229"/>
      <c r="N284" s="337">
        <v>1532</v>
      </c>
      <c r="O284" s="337">
        <v>1196</v>
      </c>
      <c r="P284" s="212">
        <v>1500</v>
      </c>
      <c r="Q284" s="212">
        <v>1369</v>
      </c>
      <c r="R284" s="211">
        <v>1500</v>
      </c>
      <c r="S284" s="211">
        <v>1500</v>
      </c>
      <c r="T284" s="211">
        <v>1500</v>
      </c>
      <c r="U284" s="211">
        <v>1500</v>
      </c>
      <c r="V284" s="211">
        <v>1500</v>
      </c>
    </row>
    <row r="285" spans="1:29" ht="24" customHeight="1">
      <c r="A285" s="396" t="s">
        <v>210</v>
      </c>
      <c r="B285" s="399"/>
      <c r="C285" s="399"/>
      <c r="D285" s="396" t="s">
        <v>215</v>
      </c>
      <c r="E285" s="399"/>
      <c r="F285" s="399"/>
      <c r="G285" s="399"/>
      <c r="H285" s="399"/>
      <c r="I285" s="399"/>
      <c r="J285" s="399"/>
      <c r="K285" s="399"/>
      <c r="L285" s="236"/>
      <c r="M285" s="247"/>
      <c r="N285" s="337">
        <v>1024421</v>
      </c>
      <c r="O285" s="337">
        <v>745572</v>
      </c>
      <c r="P285" s="216">
        <v>832240</v>
      </c>
      <c r="Q285" s="216">
        <v>850000</v>
      </c>
      <c r="R285" s="215">
        <f>ROUND(Q285*1.01,0)</f>
        <v>858500</v>
      </c>
      <c r="S285" s="215">
        <f>ROUND(R285*1.01,0)</f>
        <v>867085</v>
      </c>
      <c r="T285" s="215">
        <f>ROUND(S285*1.01,0)</f>
        <v>875756</v>
      </c>
      <c r="U285" s="215">
        <f>ROUND(T285*1.01,0)</f>
        <v>884514</v>
      </c>
      <c r="V285" s="215">
        <f>ROUND(U285*1.01,0)</f>
        <v>893359</v>
      </c>
      <c r="X285" s="213"/>
    </row>
    <row r="286" spans="1:29" ht="24" customHeight="1">
      <c r="A286" s="396" t="s">
        <v>209</v>
      </c>
      <c r="B286" s="399"/>
      <c r="C286" s="399"/>
      <c r="D286" s="396" t="s">
        <v>1262</v>
      </c>
      <c r="E286" s="399"/>
      <c r="F286" s="399"/>
      <c r="G286" s="399"/>
      <c r="H286" s="399"/>
      <c r="I286" s="399"/>
      <c r="J286" s="399"/>
      <c r="K286" s="399"/>
      <c r="L286" s="236"/>
      <c r="M286" s="229"/>
      <c r="N286" s="337">
        <v>305908</v>
      </c>
      <c r="O286" s="337">
        <v>314385</v>
      </c>
      <c r="P286" s="212">
        <v>300000</v>
      </c>
      <c r="Q286" s="212">
        <f>Q22</f>
        <v>315000</v>
      </c>
      <c r="R286" s="211">
        <f t="shared" ref="R286:V286" si="75">R22</f>
        <v>317529</v>
      </c>
      <c r="S286" s="211">
        <f t="shared" si="75"/>
        <v>320704</v>
      </c>
      <c r="T286" s="211">
        <f t="shared" si="75"/>
        <v>323911</v>
      </c>
      <c r="U286" s="211">
        <f t="shared" si="75"/>
        <v>327150</v>
      </c>
      <c r="V286" s="211">
        <f t="shared" si="75"/>
        <v>330422</v>
      </c>
      <c r="X286" s="217"/>
      <c r="AB286" s="213"/>
    </row>
    <row r="287" spans="1:29" ht="24" customHeight="1">
      <c r="A287" s="396" t="s">
        <v>208</v>
      </c>
      <c r="B287" s="399"/>
      <c r="C287" s="399"/>
      <c r="D287" s="396" t="s">
        <v>281</v>
      </c>
      <c r="E287" s="399"/>
      <c r="F287" s="399"/>
      <c r="G287" s="399"/>
      <c r="H287" s="399"/>
      <c r="I287" s="399"/>
      <c r="J287" s="399"/>
      <c r="K287" s="399"/>
      <c r="L287" s="236"/>
      <c r="M287" s="247"/>
      <c r="N287" s="339">
        <v>104845</v>
      </c>
      <c r="O287" s="339">
        <v>119199</v>
      </c>
      <c r="P287" s="216">
        <v>104500</v>
      </c>
      <c r="Q287" s="216">
        <f>Q21</f>
        <v>103720</v>
      </c>
      <c r="R287" s="215">
        <f t="shared" ref="R287:V287" si="76">R21</f>
        <v>105000</v>
      </c>
      <c r="S287" s="215">
        <f t="shared" si="76"/>
        <v>105000</v>
      </c>
      <c r="T287" s="215">
        <f t="shared" si="76"/>
        <v>105000</v>
      </c>
      <c r="U287" s="215">
        <f t="shared" si="76"/>
        <v>105000</v>
      </c>
      <c r="V287" s="215">
        <f t="shared" si="76"/>
        <v>105000</v>
      </c>
      <c r="X287" s="213"/>
    </row>
    <row r="288" spans="1:29" ht="24" customHeight="1">
      <c r="A288" s="396" t="s">
        <v>220</v>
      </c>
      <c r="B288" s="328"/>
      <c r="C288" s="328"/>
      <c r="D288" s="396" t="s">
        <v>19</v>
      </c>
      <c r="E288" s="328"/>
      <c r="F288" s="328"/>
      <c r="G288" s="328"/>
      <c r="H288" s="328"/>
      <c r="I288" s="328"/>
      <c r="J288" s="328"/>
      <c r="K288" s="328"/>
      <c r="L288" s="209"/>
      <c r="M288" s="247"/>
      <c r="N288" s="339">
        <v>154569</v>
      </c>
      <c r="O288" s="339">
        <v>3248</v>
      </c>
      <c r="P288" s="216">
        <v>5000</v>
      </c>
      <c r="Q288" s="216">
        <v>5000</v>
      </c>
      <c r="R288" s="215">
        <v>5000</v>
      </c>
      <c r="S288" s="215">
        <v>5000</v>
      </c>
      <c r="T288" s="215">
        <v>5000</v>
      </c>
      <c r="U288" s="215">
        <v>5000</v>
      </c>
      <c r="V288" s="215">
        <v>5000</v>
      </c>
    </row>
    <row r="289" spans="1:24" ht="24" customHeight="1">
      <c r="A289" s="396" t="s">
        <v>293</v>
      </c>
      <c r="B289" s="399"/>
      <c r="C289" s="399"/>
      <c r="D289" s="396" t="s">
        <v>294</v>
      </c>
      <c r="E289" s="328"/>
      <c r="F289" s="399"/>
      <c r="G289" s="399"/>
      <c r="H289" s="399"/>
      <c r="I289" s="399"/>
      <c r="J289" s="399"/>
      <c r="K289" s="399"/>
      <c r="L289" s="236"/>
      <c r="M289" s="247"/>
      <c r="N289" s="339">
        <v>2910</v>
      </c>
      <c r="O289" s="339">
        <v>25649</v>
      </c>
      <c r="P289" s="216">
        <v>5000</v>
      </c>
      <c r="Q289" s="216">
        <v>5000</v>
      </c>
      <c r="R289" s="215">
        <f>R56</f>
        <v>5000</v>
      </c>
      <c r="S289" s="215">
        <f>S56</f>
        <v>5000</v>
      </c>
      <c r="T289" s="215">
        <f>T56</f>
        <v>5000</v>
      </c>
      <c r="U289" s="215">
        <f>U56</f>
        <v>5000</v>
      </c>
      <c r="V289" s="215">
        <f>V56</f>
        <v>5000</v>
      </c>
      <c r="X289" s="230"/>
    </row>
    <row r="290" spans="1:24" ht="24" customHeight="1">
      <c r="A290" s="396" t="s">
        <v>221</v>
      </c>
      <c r="B290" s="328"/>
      <c r="C290" s="328"/>
      <c r="D290" s="396" t="s">
        <v>104</v>
      </c>
      <c r="E290" s="328"/>
      <c r="F290" s="328"/>
      <c r="G290" s="328"/>
      <c r="H290" s="328"/>
      <c r="I290" s="328"/>
      <c r="J290" s="328"/>
      <c r="K290" s="328"/>
      <c r="L290" s="209"/>
      <c r="M290" s="247"/>
      <c r="N290" s="339">
        <v>52075</v>
      </c>
      <c r="O290" s="339">
        <v>0</v>
      </c>
      <c r="P290" s="216">
        <v>50000</v>
      </c>
      <c r="Q290" s="216">
        <f>11334+341</f>
        <v>11675</v>
      </c>
      <c r="R290" s="215">
        <v>0</v>
      </c>
      <c r="S290" s="215">
        <v>0</v>
      </c>
      <c r="T290" s="215">
        <v>0</v>
      </c>
      <c r="U290" s="215">
        <v>0</v>
      </c>
      <c r="V290" s="215">
        <v>0</v>
      </c>
      <c r="X290" s="213"/>
    </row>
    <row r="291" spans="1:24" ht="24" customHeight="1">
      <c r="A291" s="396" t="s">
        <v>1123</v>
      </c>
      <c r="B291" s="328"/>
      <c r="C291" s="328"/>
      <c r="D291" s="396" t="s">
        <v>1124</v>
      </c>
      <c r="E291" s="543"/>
      <c r="F291" s="543"/>
      <c r="G291" s="543"/>
      <c r="H291" s="543"/>
      <c r="I291" s="543"/>
      <c r="J291" s="543"/>
      <c r="K291" s="543"/>
      <c r="L291" s="209"/>
      <c r="M291" s="264"/>
      <c r="N291" s="341">
        <v>0</v>
      </c>
      <c r="O291" s="341">
        <v>0</v>
      </c>
      <c r="P291" s="224">
        <v>573374</v>
      </c>
      <c r="Q291" s="224">
        <f>Q384</f>
        <v>571615</v>
      </c>
      <c r="R291" s="223">
        <v>0</v>
      </c>
      <c r="S291" s="223">
        <v>0</v>
      </c>
      <c r="T291" s="223">
        <v>0</v>
      </c>
      <c r="U291" s="223">
        <v>0</v>
      </c>
      <c r="V291" s="223">
        <v>0</v>
      </c>
      <c r="X291" s="213"/>
    </row>
    <row r="292" spans="1:24" ht="24" customHeight="1">
      <c r="A292" s="396" t="s">
        <v>1440</v>
      </c>
      <c r="B292" s="600"/>
      <c r="C292" s="600"/>
      <c r="D292" s="396" t="s">
        <v>1500</v>
      </c>
      <c r="E292" s="600"/>
      <c r="F292" s="600"/>
      <c r="G292" s="600"/>
      <c r="H292" s="600"/>
      <c r="I292" s="600"/>
      <c r="J292" s="600"/>
      <c r="K292" s="600"/>
      <c r="L292" s="209"/>
      <c r="M292" s="264"/>
      <c r="N292" s="341">
        <v>0</v>
      </c>
      <c r="O292" s="341">
        <v>0</v>
      </c>
      <c r="P292" s="224">
        <v>0</v>
      </c>
      <c r="Q292" s="224">
        <f>Q385</f>
        <v>0</v>
      </c>
      <c r="R292" s="223">
        <f>R414</f>
        <v>105000</v>
      </c>
      <c r="S292" s="223">
        <f t="shared" ref="S292:V292" si="77">S414</f>
        <v>55000</v>
      </c>
      <c r="T292" s="223">
        <f t="shared" si="77"/>
        <v>60000</v>
      </c>
      <c r="U292" s="223">
        <f t="shared" si="77"/>
        <v>60000</v>
      </c>
      <c r="V292" s="223">
        <f t="shared" si="77"/>
        <v>60000</v>
      </c>
      <c r="X292" s="213"/>
    </row>
    <row r="293" spans="1:24" ht="24" customHeight="1">
      <c r="A293" s="396" t="s">
        <v>1441</v>
      </c>
      <c r="B293" s="328"/>
      <c r="C293" s="328"/>
      <c r="D293" s="396" t="s">
        <v>244</v>
      </c>
      <c r="E293" s="555"/>
      <c r="F293" s="555"/>
      <c r="G293" s="555"/>
      <c r="H293" s="555"/>
      <c r="I293" s="555"/>
      <c r="J293" s="555"/>
      <c r="K293" s="555"/>
      <c r="L293" s="209"/>
      <c r="M293" s="264"/>
      <c r="N293" s="341">
        <v>125000</v>
      </c>
      <c r="O293" s="341">
        <v>419332</v>
      </c>
      <c r="P293" s="224">
        <v>270401</v>
      </c>
      <c r="Q293" s="224">
        <v>270401</v>
      </c>
      <c r="R293" s="223">
        <f t="shared" ref="R293:U293" si="78">R415</f>
        <v>0</v>
      </c>
      <c r="S293" s="223">
        <f t="shared" si="78"/>
        <v>0</v>
      </c>
      <c r="T293" s="223">
        <f t="shared" si="78"/>
        <v>0</v>
      </c>
      <c r="U293" s="223">
        <f t="shared" si="78"/>
        <v>39241</v>
      </c>
      <c r="V293" s="223">
        <f>V415</f>
        <v>87765</v>
      </c>
      <c r="X293" s="213"/>
    </row>
    <row r="294" spans="1:24" ht="24" customHeight="1">
      <c r="A294" s="396" t="s">
        <v>226</v>
      </c>
      <c r="B294" s="397"/>
      <c r="C294" s="397"/>
      <c r="D294" s="396" t="s">
        <v>245</v>
      </c>
      <c r="E294" s="542"/>
      <c r="F294" s="542"/>
      <c r="G294" s="542"/>
      <c r="H294" s="542"/>
      <c r="I294" s="542"/>
      <c r="J294" s="542"/>
      <c r="K294" s="542"/>
      <c r="L294" s="218"/>
      <c r="M294" s="253"/>
      <c r="N294" s="340">
        <v>103740</v>
      </c>
      <c r="O294" s="340">
        <v>99465</v>
      </c>
      <c r="P294" s="225">
        <v>0</v>
      </c>
      <c r="Q294" s="225">
        <v>0</v>
      </c>
      <c r="R294" s="221">
        <f>R545</f>
        <v>0</v>
      </c>
      <c r="S294" s="221">
        <f>S545</f>
        <v>91547</v>
      </c>
      <c r="T294" s="221">
        <f>T545</f>
        <v>191854</v>
      </c>
      <c r="U294" s="221">
        <f>U545</f>
        <v>284854</v>
      </c>
      <c r="V294" s="221">
        <f>V545</f>
        <v>338694</v>
      </c>
      <c r="W294" s="520"/>
      <c r="X294" s="213"/>
    </row>
    <row r="295" spans="1:24" ht="24" customHeight="1">
      <c r="A295" s="396" t="s">
        <v>227</v>
      </c>
      <c r="B295" s="397"/>
      <c r="C295" s="397"/>
      <c r="D295" s="396" t="s">
        <v>247</v>
      </c>
      <c r="E295" s="542"/>
      <c r="F295" s="542"/>
      <c r="G295" s="542"/>
      <c r="H295" s="542"/>
      <c r="I295" s="542"/>
      <c r="J295" s="542"/>
      <c r="K295" s="542"/>
      <c r="L295" s="218"/>
      <c r="M295" s="247"/>
      <c r="N295" s="341">
        <v>0</v>
      </c>
      <c r="O295" s="341">
        <v>0</v>
      </c>
      <c r="P295" s="216">
        <v>1137220</v>
      </c>
      <c r="Q295" s="216">
        <f t="shared" ref="Q295:V295" si="79">Q732+Q733</f>
        <v>1137220</v>
      </c>
      <c r="R295" s="215">
        <f t="shared" si="79"/>
        <v>1133972</v>
      </c>
      <c r="S295" s="215">
        <f t="shared" si="79"/>
        <v>1134654</v>
      </c>
      <c r="T295" s="215">
        <f t="shared" si="79"/>
        <v>1134052</v>
      </c>
      <c r="U295" s="215">
        <f t="shared" si="79"/>
        <v>1137166</v>
      </c>
      <c r="V295" s="215">
        <f t="shared" si="79"/>
        <v>1133782</v>
      </c>
      <c r="X295" s="213"/>
    </row>
    <row r="296" spans="1:24" ht="24" customHeight="1">
      <c r="A296" s="396" t="s">
        <v>228</v>
      </c>
      <c r="B296" s="397"/>
      <c r="C296" s="397"/>
      <c r="D296" s="396" t="s">
        <v>1121</v>
      </c>
      <c r="E296" s="558"/>
      <c r="F296" s="558"/>
      <c r="G296" s="558"/>
      <c r="H296" s="558"/>
      <c r="I296" s="558"/>
      <c r="J296" s="558"/>
      <c r="K296" s="558"/>
      <c r="L296" s="218"/>
      <c r="M296" s="247"/>
      <c r="N296" s="339">
        <v>736710</v>
      </c>
      <c r="O296" s="339">
        <v>955886</v>
      </c>
      <c r="P296" s="216">
        <v>1765504</v>
      </c>
      <c r="Q296" s="216">
        <v>1765504</v>
      </c>
      <c r="R296" s="215">
        <f t="shared" ref="R296:U296" si="80">R803</f>
        <v>1277606</v>
      </c>
      <c r="S296" s="215">
        <f t="shared" si="80"/>
        <v>1339594</v>
      </c>
      <c r="T296" s="215">
        <f t="shared" si="80"/>
        <v>1401968</v>
      </c>
      <c r="U296" s="215">
        <f t="shared" si="80"/>
        <v>1460826</v>
      </c>
      <c r="V296" s="215">
        <f>V803</f>
        <v>1531004</v>
      </c>
      <c r="X296" s="213"/>
    </row>
    <row r="297" spans="1:24" ht="24" customHeight="1">
      <c r="A297" s="396" t="s">
        <v>663</v>
      </c>
      <c r="B297" s="563"/>
      <c r="C297" s="563"/>
      <c r="D297" s="745" t="s">
        <v>1468</v>
      </c>
      <c r="E297" s="745"/>
      <c r="F297" s="745"/>
      <c r="G297" s="745"/>
      <c r="H297" s="745"/>
      <c r="I297" s="745"/>
      <c r="J297" s="745"/>
      <c r="K297" s="745"/>
      <c r="L297" s="218"/>
      <c r="M297" s="254"/>
      <c r="N297" s="341">
        <f>N951</f>
        <v>0</v>
      </c>
      <c r="O297" s="341">
        <f t="shared" ref="O297:V297" si="81">O951</f>
        <v>0</v>
      </c>
      <c r="P297" s="679">
        <f t="shared" si="81"/>
        <v>21490</v>
      </c>
      <c r="Q297" s="679">
        <f t="shared" si="81"/>
        <v>21490</v>
      </c>
      <c r="R297" s="341">
        <f t="shared" si="81"/>
        <v>0</v>
      </c>
      <c r="S297" s="341">
        <f t="shared" si="81"/>
        <v>0</v>
      </c>
      <c r="T297" s="341">
        <f t="shared" si="81"/>
        <v>0</v>
      </c>
      <c r="U297" s="341">
        <f t="shared" si="81"/>
        <v>0</v>
      </c>
      <c r="V297" s="341">
        <f t="shared" si="81"/>
        <v>0</v>
      </c>
      <c r="X297" s="263"/>
    </row>
    <row r="298" spans="1:24" ht="24" customHeight="1">
      <c r="A298" s="396" t="s">
        <v>663</v>
      </c>
      <c r="B298" s="397"/>
      <c r="C298" s="397"/>
      <c r="D298" s="396" t="s">
        <v>664</v>
      </c>
      <c r="E298" s="563"/>
      <c r="F298" s="563"/>
      <c r="G298" s="563"/>
      <c r="H298" s="563"/>
      <c r="I298" s="563"/>
      <c r="J298" s="563"/>
      <c r="K298" s="563"/>
      <c r="L298" s="218"/>
      <c r="M298" s="254"/>
      <c r="N298" s="357">
        <v>332500</v>
      </c>
      <c r="O298" s="357">
        <v>26819</v>
      </c>
      <c r="P298" s="256">
        <f>52174-P297</f>
        <v>30684</v>
      </c>
      <c r="Q298" s="256">
        <f>52174-Q297</f>
        <v>30684</v>
      </c>
      <c r="R298" s="255">
        <f>R952</f>
        <v>32375</v>
      </c>
      <c r="S298" s="255">
        <f>S952</f>
        <v>34168</v>
      </c>
      <c r="T298" s="255">
        <f>T952</f>
        <v>36068</v>
      </c>
      <c r="U298" s="255">
        <f>U952</f>
        <v>38082</v>
      </c>
      <c r="V298" s="255">
        <f>V952</f>
        <v>38082</v>
      </c>
      <c r="X298" s="263"/>
    </row>
    <row r="299" spans="1:24" s="328" customFormat="1" ht="24" customHeight="1">
      <c r="A299" s="396"/>
      <c r="B299" s="397"/>
      <c r="C299" s="397"/>
      <c r="D299" s="396"/>
      <c r="E299" s="397"/>
      <c r="F299" s="397"/>
      <c r="G299" s="397"/>
      <c r="H299" s="397"/>
      <c r="I299" s="397"/>
      <c r="J299" s="397"/>
      <c r="K299" s="397"/>
      <c r="L299" s="428"/>
      <c r="M299" s="433"/>
      <c r="N299" s="350">
        <f t="shared" ref="N299" si="82">SUM(N263:N298)</f>
        <v>5249123</v>
      </c>
      <c r="O299" s="350">
        <f t="shared" ref="O299:V299" si="83">SUM(O263:O298)</f>
        <v>3789782</v>
      </c>
      <c r="P299" s="358">
        <f t="shared" ref="P299" si="84">SUM(P263:P298)</f>
        <v>6096431</v>
      </c>
      <c r="Q299" s="358">
        <f t="shared" si="83"/>
        <v>6180547</v>
      </c>
      <c r="R299" s="359">
        <f t="shared" ref="R299:U299" si="85">SUM(R263:R298)</f>
        <v>5189629</v>
      </c>
      <c r="S299" s="359">
        <f t="shared" si="85"/>
        <v>5298243</v>
      </c>
      <c r="T299" s="359">
        <f t="shared" si="85"/>
        <v>5560419</v>
      </c>
      <c r="U299" s="359">
        <f t="shared" si="85"/>
        <v>5844217</v>
      </c>
      <c r="V299" s="359">
        <f t="shared" si="83"/>
        <v>6060505</v>
      </c>
      <c r="W299" s="640"/>
    </row>
    <row r="300" spans="1:24" s="328" customFormat="1" ht="15" customHeight="1">
      <c r="A300" s="396"/>
      <c r="B300" s="397"/>
      <c r="C300" s="397"/>
      <c r="D300" s="396"/>
      <c r="E300" s="397"/>
      <c r="F300" s="397"/>
      <c r="G300" s="397"/>
      <c r="H300" s="397"/>
      <c r="I300" s="397"/>
      <c r="J300" s="397"/>
      <c r="K300" s="397"/>
      <c r="L300" s="428"/>
      <c r="M300" s="434"/>
      <c r="N300" s="340"/>
      <c r="O300" s="340"/>
      <c r="P300" s="342"/>
      <c r="Q300" s="342"/>
      <c r="R300" s="340"/>
      <c r="S300" s="340"/>
      <c r="T300" s="340"/>
      <c r="U300" s="340"/>
      <c r="V300" s="340"/>
      <c r="W300" s="640"/>
    </row>
    <row r="301" spans="1:24" s="328" customFormat="1" ht="15" customHeight="1">
      <c r="L301" s="424"/>
      <c r="M301" s="435"/>
      <c r="N301" s="346"/>
      <c r="O301" s="346"/>
      <c r="P301" s="347"/>
      <c r="Q301" s="347"/>
      <c r="R301" s="346"/>
      <c r="S301" s="346"/>
      <c r="T301" s="346"/>
      <c r="U301" s="346"/>
      <c r="V301" s="346"/>
      <c r="W301" s="640"/>
    </row>
    <row r="302" spans="1:24" s="400" customFormat="1" ht="24" customHeight="1">
      <c r="K302" s="400" t="s">
        <v>659</v>
      </c>
      <c r="L302" s="422"/>
      <c r="M302" s="423"/>
      <c r="N302" s="348">
        <f t="shared" ref="N302:V302" si="86">N105+N128+N146+N190+N219+N299+N260</f>
        <v>10969330</v>
      </c>
      <c r="O302" s="348">
        <f t="shared" si="86"/>
        <v>10361617</v>
      </c>
      <c r="P302" s="349">
        <f t="shared" si="86"/>
        <v>13902593</v>
      </c>
      <c r="Q302" s="349">
        <f t="shared" si="86"/>
        <v>13848143</v>
      </c>
      <c r="R302" s="348">
        <f t="shared" si="86"/>
        <v>13570112</v>
      </c>
      <c r="S302" s="348">
        <f t="shared" si="86"/>
        <v>14092321</v>
      </c>
      <c r="T302" s="348">
        <f t="shared" si="86"/>
        <v>14616560</v>
      </c>
      <c r="U302" s="348">
        <f t="shared" si="86"/>
        <v>15224214</v>
      </c>
      <c r="V302" s="348">
        <f t="shared" si="86"/>
        <v>15810807</v>
      </c>
      <c r="W302" s="640"/>
    </row>
    <row r="303" spans="1:24" s="400" customFormat="1" ht="15" customHeight="1">
      <c r="A303" s="403"/>
      <c r="L303" s="422"/>
      <c r="M303" s="436"/>
      <c r="N303" s="348"/>
      <c r="O303" s="348"/>
      <c r="P303" s="349"/>
      <c r="Q303" s="349"/>
      <c r="R303" s="348"/>
      <c r="S303" s="348"/>
      <c r="T303" s="348"/>
      <c r="U303" s="348"/>
      <c r="V303" s="348"/>
      <c r="W303" s="640"/>
    </row>
    <row r="304" spans="1:24" s="400" customFormat="1" ht="24" customHeight="1">
      <c r="A304" s="404"/>
      <c r="K304" s="400" t="s">
        <v>660</v>
      </c>
      <c r="L304" s="422"/>
      <c r="M304" s="423"/>
      <c r="N304" s="348">
        <f t="shared" ref="N304:V304" si="87">N66-N302</f>
        <v>1542522</v>
      </c>
      <c r="O304" s="348">
        <f t="shared" si="87"/>
        <v>2953193</v>
      </c>
      <c r="P304" s="349">
        <f t="shared" si="87"/>
        <v>-893104</v>
      </c>
      <c r="Q304" s="349">
        <f t="shared" si="87"/>
        <v>-506280</v>
      </c>
      <c r="R304" s="348">
        <f t="shared" si="87"/>
        <v>156513</v>
      </c>
      <c r="S304" s="348">
        <f t="shared" si="87"/>
        <v>-233768</v>
      </c>
      <c r="T304" s="348">
        <f t="shared" si="87"/>
        <v>-548420</v>
      </c>
      <c r="U304" s="348">
        <f t="shared" si="87"/>
        <v>-1005794</v>
      </c>
      <c r="V304" s="348">
        <f t="shared" si="87"/>
        <v>-1444377</v>
      </c>
      <c r="W304" s="640"/>
    </row>
    <row r="305" spans="1:29" s="400" customFormat="1" ht="15" customHeight="1">
      <c r="A305" s="404"/>
      <c r="L305" s="422"/>
      <c r="M305" s="436"/>
      <c r="N305" s="348"/>
      <c r="O305" s="348"/>
      <c r="P305" s="349"/>
      <c r="Q305" s="349"/>
      <c r="R305" s="348"/>
      <c r="S305" s="348"/>
      <c r="T305" s="348"/>
      <c r="U305" s="348"/>
      <c r="V305" s="348"/>
      <c r="W305" s="640"/>
    </row>
    <row r="306" spans="1:29" s="405" customFormat="1" ht="24" customHeight="1">
      <c r="K306" s="405" t="s">
        <v>662</v>
      </c>
      <c r="L306" s="422"/>
      <c r="M306" s="422"/>
      <c r="N306" s="365">
        <v>1270623</v>
      </c>
      <c r="O306" s="365">
        <v>4223820</v>
      </c>
      <c r="P306" s="366">
        <v>2541653</v>
      </c>
      <c r="Q306" s="366">
        <f>O306+Q304</f>
        <v>3717540</v>
      </c>
      <c r="R306" s="365">
        <f>Q306+R304</f>
        <v>3874053</v>
      </c>
      <c r="S306" s="365">
        <f>R306+S304</f>
        <v>3640285</v>
      </c>
      <c r="T306" s="365">
        <f>S306+T304</f>
        <v>3091865</v>
      </c>
      <c r="U306" s="365">
        <f>T306+U304</f>
        <v>2086071</v>
      </c>
      <c r="V306" s="365">
        <f>U306+V304</f>
        <v>641694</v>
      </c>
      <c r="W306" s="521"/>
    </row>
    <row r="307" spans="1:29" s="406" customFormat="1" ht="24" customHeight="1">
      <c r="L307" s="437"/>
      <c r="M307" s="438"/>
      <c r="N307" s="367">
        <f t="shared" ref="N307" si="88">N306/N302</f>
        <v>0.11583414848491203</v>
      </c>
      <c r="O307" s="367">
        <f t="shared" ref="O307:V307" si="89">O306/O302</f>
        <v>0.40764100815538734</v>
      </c>
      <c r="P307" s="368">
        <f t="shared" ref="P307" si="90">P306/P302</f>
        <v>0.1828186295894586</v>
      </c>
      <c r="Q307" s="368">
        <f t="shared" si="89"/>
        <v>0.26845043411235714</v>
      </c>
      <c r="R307" s="367">
        <f t="shared" ref="R307:U307" si="91">R306/R302</f>
        <v>0.28548423181768878</v>
      </c>
      <c r="S307" s="367">
        <f t="shared" si="91"/>
        <v>0.25831692309591869</v>
      </c>
      <c r="T307" s="367">
        <f t="shared" si="91"/>
        <v>0.21153164629707674</v>
      </c>
      <c r="U307" s="367">
        <f t="shared" si="91"/>
        <v>0.13702323154417037</v>
      </c>
      <c r="V307" s="367">
        <f t="shared" si="89"/>
        <v>4.0585784141188998E-2</v>
      </c>
      <c r="W307" s="522"/>
    </row>
    <row r="308" spans="1:29" s="239" customFormat="1" ht="15" customHeight="1">
      <c r="A308" s="400"/>
      <c r="B308" s="400"/>
      <c r="C308" s="400"/>
      <c r="D308" s="400"/>
      <c r="E308" s="400"/>
      <c r="F308" s="400"/>
      <c r="G308" s="400"/>
      <c r="H308" s="400"/>
      <c r="I308" s="400"/>
      <c r="J308" s="400"/>
      <c r="K308" s="400"/>
      <c r="L308" s="240"/>
      <c r="M308" s="277"/>
      <c r="N308" s="568"/>
      <c r="O308" s="568"/>
      <c r="P308" s="622"/>
      <c r="Q308" s="622"/>
      <c r="R308" s="623"/>
      <c r="S308" s="623"/>
      <c r="T308" s="623"/>
      <c r="U308" s="623"/>
      <c r="V308" s="623"/>
      <c r="W308" s="324"/>
      <c r="X308" s="748"/>
      <c r="Y308" s="748"/>
      <c r="Z308" s="748"/>
      <c r="AA308" s="748"/>
      <c r="AB308" s="748"/>
      <c r="AC308" s="748"/>
    </row>
    <row r="309" spans="1:29" s="239" customFormat="1" ht="24" customHeight="1">
      <c r="A309" s="407" t="s">
        <v>675</v>
      </c>
      <c r="B309" s="400"/>
      <c r="C309" s="400"/>
      <c r="D309" s="400"/>
      <c r="E309" s="400"/>
      <c r="F309" s="400"/>
      <c r="G309" s="400"/>
      <c r="H309" s="400"/>
      <c r="I309" s="400"/>
      <c r="J309" s="400"/>
      <c r="K309" s="400"/>
      <c r="L309" s="240"/>
      <c r="M309" s="277"/>
      <c r="N309" s="568"/>
      <c r="O309" s="568"/>
      <c r="P309" s="622"/>
      <c r="Q309" s="622"/>
      <c r="R309" s="623"/>
      <c r="S309" s="623"/>
      <c r="T309" s="623"/>
      <c r="U309" s="623"/>
      <c r="V309" s="623"/>
      <c r="W309" s="324"/>
      <c r="X309" s="282"/>
      <c r="Y309" s="322"/>
      <c r="Z309" s="322"/>
      <c r="AA309" s="322"/>
      <c r="AB309" s="322"/>
      <c r="AC309" s="322"/>
    </row>
    <row r="310" spans="1:29" s="239" customFormat="1" ht="15" customHeight="1">
      <c r="A310" s="400"/>
      <c r="B310" s="400"/>
      <c r="C310" s="400"/>
      <c r="D310" s="400"/>
      <c r="E310" s="400"/>
      <c r="F310" s="400"/>
      <c r="G310" s="400"/>
      <c r="H310" s="400"/>
      <c r="I310" s="400"/>
      <c r="J310" s="400"/>
      <c r="K310" s="400"/>
      <c r="L310" s="240"/>
      <c r="M310" s="277"/>
      <c r="N310" s="568"/>
      <c r="O310" s="568"/>
      <c r="P310" s="622"/>
      <c r="Q310" s="622"/>
      <c r="R310" s="623"/>
      <c r="S310" s="623"/>
      <c r="T310" s="623"/>
      <c r="U310" s="623"/>
      <c r="V310" s="623"/>
      <c r="W310" s="324"/>
    </row>
    <row r="311" spans="1:29" s="239" customFormat="1" ht="24" customHeight="1">
      <c r="A311" s="555" t="s">
        <v>1396</v>
      </c>
      <c r="B311" s="328"/>
      <c r="C311" s="328"/>
      <c r="D311" s="555" t="s">
        <v>1397</v>
      </c>
      <c r="E311" s="328"/>
      <c r="F311" s="328"/>
      <c r="G311" s="328"/>
      <c r="H311" s="328"/>
      <c r="I311" s="328"/>
      <c r="J311" s="328"/>
      <c r="K311" s="328"/>
      <c r="L311" s="209"/>
      <c r="M311" s="214"/>
      <c r="N311" s="339">
        <v>3786</v>
      </c>
      <c r="O311" s="339">
        <v>3786</v>
      </c>
      <c r="P311" s="216">
        <v>3786</v>
      </c>
      <c r="Q311" s="216">
        <v>3786</v>
      </c>
      <c r="R311" s="215">
        <v>8536</v>
      </c>
      <c r="S311" s="215">
        <v>8536</v>
      </c>
      <c r="T311" s="215">
        <v>8536</v>
      </c>
      <c r="U311" s="215">
        <v>8536</v>
      </c>
      <c r="V311" s="215">
        <v>8536</v>
      </c>
      <c r="W311" s="324"/>
      <c r="X311" s="266"/>
      <c r="Y311" s="266"/>
      <c r="Z311" s="266"/>
      <c r="AA311" s="266"/>
      <c r="AB311" s="266"/>
      <c r="AC311" s="266"/>
    </row>
    <row r="312" spans="1:29" s="239" customFormat="1" ht="24" customHeight="1">
      <c r="A312" s="328" t="s">
        <v>798</v>
      </c>
      <c r="B312" s="328"/>
      <c r="C312" s="328"/>
      <c r="D312" s="328" t="s">
        <v>6</v>
      </c>
      <c r="E312" s="328"/>
      <c r="F312" s="328"/>
      <c r="G312" s="328"/>
      <c r="H312" s="328"/>
      <c r="I312" s="328"/>
      <c r="J312" s="328"/>
      <c r="K312" s="328"/>
      <c r="L312" s="209"/>
      <c r="M312" s="246"/>
      <c r="N312" s="345">
        <v>7</v>
      </c>
      <c r="O312" s="345">
        <v>10</v>
      </c>
      <c r="P312" s="235">
        <v>0</v>
      </c>
      <c r="Q312" s="235">
        <v>1</v>
      </c>
      <c r="R312" s="234">
        <v>0</v>
      </c>
      <c r="S312" s="234">
        <v>0</v>
      </c>
      <c r="T312" s="234">
        <v>0</v>
      </c>
      <c r="U312" s="234">
        <v>0</v>
      </c>
      <c r="V312" s="234">
        <v>0</v>
      </c>
      <c r="W312" s="324"/>
      <c r="X312" s="283"/>
      <c r="Y312" s="283"/>
      <c r="Z312" s="283"/>
      <c r="AA312" s="283"/>
      <c r="AB312" s="283"/>
      <c r="AC312" s="283"/>
    </row>
    <row r="313" spans="1:29" s="239" customFormat="1" ht="15" customHeight="1">
      <c r="A313" s="328"/>
      <c r="B313" s="328"/>
      <c r="C313" s="328"/>
      <c r="D313" s="328"/>
      <c r="E313" s="328"/>
      <c r="F313" s="328"/>
      <c r="G313" s="328"/>
      <c r="H313" s="328"/>
      <c r="I313" s="328"/>
      <c r="J313" s="328"/>
      <c r="K313" s="328"/>
      <c r="L313" s="209"/>
      <c r="M313" s="220"/>
      <c r="N313" s="340"/>
      <c r="O313" s="340"/>
      <c r="P313" s="225"/>
      <c r="Q313" s="225"/>
      <c r="R313" s="221"/>
      <c r="S313" s="221"/>
      <c r="T313" s="221"/>
      <c r="U313" s="221"/>
      <c r="V313" s="221"/>
      <c r="W313" s="324"/>
    </row>
    <row r="314" spans="1:29" s="400" customFormat="1" ht="24" customHeight="1">
      <c r="K314" s="400" t="s">
        <v>656</v>
      </c>
      <c r="L314" s="422"/>
      <c r="M314" s="423"/>
      <c r="N314" s="348">
        <f t="shared" ref="N314" si="92">SUM(N311:N313)</f>
        <v>3793</v>
      </c>
      <c r="O314" s="348">
        <f t="shared" ref="O314" si="93">SUM(O311:O313)</f>
        <v>3796</v>
      </c>
      <c r="P314" s="349">
        <f t="shared" ref="P314" si="94">SUM(P311:P313)</f>
        <v>3786</v>
      </c>
      <c r="Q314" s="349">
        <f>SUM(Q311:Q313)</f>
        <v>3787</v>
      </c>
      <c r="R314" s="348">
        <f t="shared" ref="R314:T314" si="95">SUM(R311:R313)</f>
        <v>8536</v>
      </c>
      <c r="S314" s="348">
        <f t="shared" si="95"/>
        <v>8536</v>
      </c>
      <c r="T314" s="348">
        <f t="shared" si="95"/>
        <v>8536</v>
      </c>
      <c r="U314" s="348">
        <f>SUM(U311:U313)</f>
        <v>8536</v>
      </c>
      <c r="V314" s="348">
        <f>SUM(V311:V313)</f>
        <v>8536</v>
      </c>
      <c r="W314" s="640"/>
      <c r="X314" s="439"/>
      <c r="Y314" s="439"/>
      <c r="Z314" s="439"/>
      <c r="AA314" s="439"/>
      <c r="AB314" s="439"/>
      <c r="AC314" s="439"/>
    </row>
    <row r="315" spans="1:29" s="239" customFormat="1" ht="15" customHeight="1">
      <c r="A315" s="400"/>
      <c r="B315" s="400"/>
      <c r="C315" s="400"/>
      <c r="D315" s="400"/>
      <c r="E315" s="400"/>
      <c r="F315" s="400"/>
      <c r="G315" s="400"/>
      <c r="H315" s="400"/>
      <c r="I315" s="400"/>
      <c r="J315" s="400"/>
      <c r="K315" s="400"/>
      <c r="L315" s="240"/>
      <c r="M315" s="276"/>
      <c r="N315" s="364"/>
      <c r="O315" s="364"/>
      <c r="P315" s="243"/>
      <c r="Q315" s="243"/>
      <c r="R315" s="242"/>
      <c r="S315" s="242"/>
      <c r="T315" s="242"/>
      <c r="U315" s="242"/>
      <c r="V315" s="242"/>
      <c r="W315" s="324"/>
    </row>
    <row r="316" spans="1:29" s="239" customFormat="1" ht="24" customHeight="1">
      <c r="A316" s="396" t="s">
        <v>1223</v>
      </c>
      <c r="B316" s="408"/>
      <c r="C316" s="408"/>
      <c r="D316" s="398" t="s">
        <v>1222</v>
      </c>
      <c r="E316" s="408"/>
      <c r="F316" s="408"/>
      <c r="G316" s="408"/>
      <c r="H316" s="408"/>
      <c r="I316" s="408"/>
      <c r="J316" s="408"/>
      <c r="K316" s="408"/>
      <c r="L316" s="284"/>
      <c r="M316" s="285"/>
      <c r="N316" s="356">
        <v>0</v>
      </c>
      <c r="O316" s="356">
        <v>0</v>
      </c>
      <c r="P316" s="270">
        <v>0</v>
      </c>
      <c r="Q316" s="270">
        <v>0</v>
      </c>
      <c r="R316" s="260">
        <v>15000</v>
      </c>
      <c r="S316" s="260">
        <v>15000</v>
      </c>
      <c r="T316" s="260">
        <v>0</v>
      </c>
      <c r="U316" s="260">
        <v>0</v>
      </c>
      <c r="V316" s="260">
        <v>0</v>
      </c>
      <c r="W316" s="324"/>
      <c r="X316" s="286"/>
      <c r="Y316" s="286"/>
      <c r="Z316" s="286"/>
      <c r="AA316" s="286"/>
      <c r="AB316" s="286"/>
      <c r="AC316" s="286"/>
    </row>
    <row r="317" spans="1:29" s="239" customFormat="1" ht="24" customHeight="1">
      <c r="A317" s="396" t="s">
        <v>1384</v>
      </c>
      <c r="B317" s="408"/>
      <c r="C317" s="408"/>
      <c r="D317" s="398" t="s">
        <v>152</v>
      </c>
      <c r="E317" s="408"/>
      <c r="F317" s="408"/>
      <c r="G317" s="408"/>
      <c r="H317" s="408"/>
      <c r="I317" s="408"/>
      <c r="J317" s="408"/>
      <c r="K317" s="408"/>
      <c r="L317" s="284"/>
      <c r="M317" s="285"/>
      <c r="N317" s="356">
        <v>0</v>
      </c>
      <c r="O317" s="356">
        <v>0</v>
      </c>
      <c r="P317" s="270">
        <v>0</v>
      </c>
      <c r="Q317" s="270">
        <v>190</v>
      </c>
      <c r="R317" s="260">
        <v>0</v>
      </c>
      <c r="S317" s="260">
        <v>0</v>
      </c>
      <c r="T317" s="260">
        <v>0</v>
      </c>
      <c r="U317" s="260">
        <v>0</v>
      </c>
      <c r="V317" s="260">
        <v>0</v>
      </c>
      <c r="W317" s="324"/>
      <c r="X317" s="286"/>
      <c r="Y317" s="286"/>
      <c r="Z317" s="286"/>
      <c r="AA317" s="286"/>
      <c r="AB317" s="286"/>
      <c r="AC317" s="286"/>
    </row>
    <row r="318" spans="1:29" s="239" customFormat="1" ht="24" customHeight="1">
      <c r="A318" s="396" t="s">
        <v>305</v>
      </c>
      <c r="B318" s="397"/>
      <c r="C318" s="397"/>
      <c r="D318" s="396" t="s">
        <v>1323</v>
      </c>
      <c r="E318" s="397"/>
      <c r="F318" s="397"/>
      <c r="G318" s="397"/>
      <c r="H318" s="397"/>
      <c r="I318" s="397"/>
      <c r="J318" s="397"/>
      <c r="K318" s="397"/>
      <c r="L318" s="218"/>
      <c r="M318" s="287"/>
      <c r="N318" s="369">
        <v>4664</v>
      </c>
      <c r="O318" s="369">
        <v>5743</v>
      </c>
      <c r="P318" s="289">
        <v>7500</v>
      </c>
      <c r="Q318" s="289">
        <v>7500</v>
      </c>
      <c r="R318" s="288">
        <v>4603</v>
      </c>
      <c r="S318" s="288">
        <v>4603</v>
      </c>
      <c r="T318" s="288">
        <v>4603</v>
      </c>
      <c r="U318" s="288">
        <v>4603</v>
      </c>
      <c r="V318" s="288">
        <v>4603</v>
      </c>
      <c r="W318" s="324"/>
      <c r="X318" s="290"/>
      <c r="Y318" s="290"/>
      <c r="Z318" s="290"/>
      <c r="AA318" s="290"/>
      <c r="AB318" s="290"/>
      <c r="AC318" s="290"/>
    </row>
    <row r="319" spans="1:29" s="239" customFormat="1" ht="15" customHeight="1">
      <c r="A319" s="396"/>
      <c r="B319" s="397"/>
      <c r="C319" s="397"/>
      <c r="D319" s="396"/>
      <c r="E319" s="397"/>
      <c r="F319" s="397"/>
      <c r="G319" s="397"/>
      <c r="H319" s="397"/>
      <c r="I319" s="397"/>
      <c r="J319" s="397"/>
      <c r="K319" s="397"/>
      <c r="L319" s="218"/>
      <c r="M319" s="259"/>
      <c r="N319" s="356"/>
      <c r="O319" s="356"/>
      <c r="P319" s="270"/>
      <c r="Q319" s="270"/>
      <c r="R319" s="260"/>
      <c r="S319" s="260"/>
      <c r="T319" s="260"/>
      <c r="U319" s="260"/>
      <c r="V319" s="260"/>
      <c r="W319" s="324"/>
    </row>
    <row r="320" spans="1:29" s="400" customFormat="1" ht="24" customHeight="1">
      <c r="A320" s="396"/>
      <c r="B320" s="397"/>
      <c r="C320" s="397"/>
      <c r="D320" s="396"/>
      <c r="E320" s="397"/>
      <c r="F320" s="397"/>
      <c r="G320" s="397"/>
      <c r="H320" s="397"/>
      <c r="I320" s="397"/>
      <c r="J320" s="397"/>
      <c r="K320" s="400" t="s">
        <v>659</v>
      </c>
      <c r="L320" s="422"/>
      <c r="M320" s="423"/>
      <c r="N320" s="348">
        <f t="shared" ref="N320" si="96">SUM(N316:N319)</f>
        <v>4664</v>
      </c>
      <c r="O320" s="348">
        <f>SUM(O316:O319)</f>
        <v>5743</v>
      </c>
      <c r="P320" s="349">
        <f t="shared" ref="P320" si="97">SUM(P316:P319)</f>
        <v>7500</v>
      </c>
      <c r="Q320" s="349">
        <f t="shared" ref="Q320:V320" si="98">SUM(Q316:Q319)</f>
        <v>7690</v>
      </c>
      <c r="R320" s="348">
        <f t="shared" ref="R320:U320" si="99">SUM(R316:R319)</f>
        <v>19603</v>
      </c>
      <c r="S320" s="348">
        <f t="shared" si="99"/>
        <v>19603</v>
      </c>
      <c r="T320" s="348">
        <f t="shared" si="99"/>
        <v>4603</v>
      </c>
      <c r="U320" s="348">
        <f t="shared" si="99"/>
        <v>4603</v>
      </c>
      <c r="V320" s="348">
        <f t="shared" si="98"/>
        <v>4603</v>
      </c>
      <c r="W320" s="523"/>
      <c r="X320" s="405"/>
      <c r="Y320" s="405"/>
      <c r="Z320" s="405"/>
      <c r="AA320" s="405"/>
      <c r="AB320" s="405"/>
      <c r="AC320" s="405"/>
    </row>
    <row r="321" spans="1:29" s="400" customFormat="1" ht="15" customHeight="1">
      <c r="L321" s="422"/>
      <c r="M321" s="436"/>
      <c r="N321" s="348"/>
      <c r="O321" s="348"/>
      <c r="P321" s="349"/>
      <c r="Q321" s="349"/>
      <c r="R321" s="348"/>
      <c r="S321" s="348"/>
      <c r="T321" s="348"/>
      <c r="U321" s="348"/>
      <c r="V321" s="348"/>
      <c r="W321" s="640"/>
    </row>
    <row r="322" spans="1:29" s="400" customFormat="1" ht="24" customHeight="1">
      <c r="K322" s="400" t="s">
        <v>660</v>
      </c>
      <c r="L322" s="422"/>
      <c r="M322" s="423"/>
      <c r="N322" s="348">
        <f>N314-N320</f>
        <v>-871</v>
      </c>
      <c r="O322" s="348">
        <f t="shared" ref="O322:V322" si="100">O314-O320</f>
        <v>-1947</v>
      </c>
      <c r="P322" s="349">
        <f t="shared" ref="P322" si="101">P314-P320</f>
        <v>-3714</v>
      </c>
      <c r="Q322" s="349">
        <f t="shared" si="100"/>
        <v>-3903</v>
      </c>
      <c r="R322" s="348">
        <f t="shared" ref="R322:U322" si="102">R314-R320</f>
        <v>-11067</v>
      </c>
      <c r="S322" s="348">
        <f t="shared" si="102"/>
        <v>-11067</v>
      </c>
      <c r="T322" s="348">
        <f t="shared" si="102"/>
        <v>3933</v>
      </c>
      <c r="U322" s="348">
        <f t="shared" si="102"/>
        <v>3933</v>
      </c>
      <c r="V322" s="348">
        <f t="shared" si="100"/>
        <v>3933</v>
      </c>
      <c r="W322" s="640"/>
      <c r="X322" s="439"/>
      <c r="Y322" s="439"/>
      <c r="Z322" s="439"/>
      <c r="AA322" s="439"/>
      <c r="AB322" s="439"/>
      <c r="AC322" s="439"/>
    </row>
    <row r="323" spans="1:29" s="400" customFormat="1" ht="15" customHeight="1">
      <c r="L323" s="422"/>
      <c r="M323" s="436"/>
      <c r="N323" s="348"/>
      <c r="O323" s="348"/>
      <c r="P323" s="349"/>
      <c r="Q323" s="349"/>
      <c r="R323" s="348"/>
      <c r="S323" s="348"/>
      <c r="T323" s="348"/>
      <c r="U323" s="348"/>
      <c r="V323" s="348"/>
      <c r="W323" s="640"/>
    </row>
    <row r="324" spans="1:29" s="400" customFormat="1" ht="24" customHeight="1">
      <c r="K324" s="405" t="s">
        <v>662</v>
      </c>
      <c r="L324" s="422"/>
      <c r="M324" s="422"/>
      <c r="N324" s="365">
        <v>17071</v>
      </c>
      <c r="O324" s="365">
        <v>15124</v>
      </c>
      <c r="P324" s="366">
        <v>11677</v>
      </c>
      <c r="Q324" s="366">
        <f>O324+Q322</f>
        <v>11221</v>
      </c>
      <c r="R324" s="365">
        <f>Q324+R322</f>
        <v>154</v>
      </c>
      <c r="S324" s="365">
        <f>R324+S322</f>
        <v>-10913</v>
      </c>
      <c r="T324" s="365">
        <f>S324+T322</f>
        <v>-6980</v>
      </c>
      <c r="U324" s="365">
        <f>T324+U322</f>
        <v>-3047</v>
      </c>
      <c r="V324" s="365">
        <f>U324+V322</f>
        <v>886</v>
      </c>
      <c r="W324" s="640"/>
      <c r="X324" s="439"/>
      <c r="Y324" s="439"/>
      <c r="Z324" s="439"/>
      <c r="AA324" s="439"/>
      <c r="AB324" s="439"/>
      <c r="AC324" s="439"/>
    </row>
    <row r="325" spans="1:29" s="406" customFormat="1" ht="24" customHeight="1">
      <c r="L325" s="437"/>
      <c r="M325" s="438"/>
      <c r="N325" s="367">
        <f t="shared" ref="N325" si="103">N324/N320</f>
        <v>3.6601629502572899</v>
      </c>
      <c r="O325" s="367">
        <f t="shared" ref="O325:V325" si="104">O324/O320</f>
        <v>2.6334668291833538</v>
      </c>
      <c r="P325" s="368">
        <f t="shared" ref="P325" si="105">P324/P320</f>
        <v>1.5569333333333333</v>
      </c>
      <c r="Q325" s="368">
        <f t="shared" si="104"/>
        <v>1.4591677503250975</v>
      </c>
      <c r="R325" s="367">
        <f t="shared" ref="R325:U325" si="106">R324/R320</f>
        <v>7.8559404172830697E-3</v>
      </c>
      <c r="S325" s="367">
        <f t="shared" si="106"/>
        <v>-0.55670050502474111</v>
      </c>
      <c r="T325" s="367">
        <f t="shared" si="106"/>
        <v>-1.516402346295894</v>
      </c>
      <c r="U325" s="367">
        <f t="shared" si="106"/>
        <v>-0.66195959157071471</v>
      </c>
      <c r="V325" s="367">
        <f t="shared" si="104"/>
        <v>0.19248316315446448</v>
      </c>
      <c r="W325" s="522"/>
      <c r="X325" s="367"/>
      <c r="Y325" s="367"/>
      <c r="Z325" s="367"/>
      <c r="AA325" s="367"/>
      <c r="AB325" s="367"/>
      <c r="AC325" s="367"/>
    </row>
    <row r="326" spans="1:29" ht="15" customHeight="1">
      <c r="A326" s="328"/>
      <c r="B326" s="328"/>
      <c r="C326" s="328"/>
      <c r="D326" s="328"/>
      <c r="E326" s="328"/>
      <c r="F326" s="328"/>
      <c r="G326" s="328"/>
      <c r="H326" s="328"/>
      <c r="I326" s="328"/>
      <c r="J326" s="328"/>
      <c r="K326" s="328"/>
      <c r="L326" s="209"/>
      <c r="N326" s="394"/>
      <c r="O326" s="394"/>
      <c r="P326" s="618"/>
      <c r="Q326" s="618"/>
      <c r="R326" s="619"/>
      <c r="S326" s="619"/>
      <c r="T326" s="619"/>
      <c r="U326" s="619"/>
      <c r="V326" s="619"/>
      <c r="X326" s="748" t="s">
        <v>1230</v>
      </c>
      <c r="Y326" s="748"/>
      <c r="Z326" s="748"/>
      <c r="AA326" s="748"/>
      <c r="AB326" s="748"/>
      <c r="AC326" s="748"/>
    </row>
    <row r="327" spans="1:29" ht="24" customHeight="1">
      <c r="A327" s="407" t="s">
        <v>676</v>
      </c>
      <c r="B327" s="328"/>
      <c r="C327" s="328"/>
      <c r="D327" s="328"/>
      <c r="E327" s="328"/>
      <c r="F327" s="328"/>
      <c r="G327" s="328"/>
      <c r="H327" s="328"/>
      <c r="I327" s="328"/>
      <c r="J327" s="328"/>
      <c r="K327" s="328"/>
      <c r="L327" s="209"/>
      <c r="N327" s="394"/>
      <c r="O327" s="394"/>
      <c r="P327" s="618"/>
      <c r="Q327" s="618"/>
      <c r="R327" s="619"/>
      <c r="S327" s="619"/>
      <c r="T327" s="619"/>
      <c r="U327" s="619"/>
      <c r="V327" s="619"/>
      <c r="X327" s="291" t="s">
        <v>1224</v>
      </c>
      <c r="Y327" s="322" t="s">
        <v>1225</v>
      </c>
      <c r="Z327" s="322" t="s">
        <v>1226</v>
      </c>
      <c r="AA327" s="322" t="s">
        <v>1227</v>
      </c>
      <c r="AB327" s="322" t="s">
        <v>1228</v>
      </c>
      <c r="AC327" s="322" t="s">
        <v>1229</v>
      </c>
    </row>
    <row r="328" spans="1:29" ht="15" customHeight="1">
      <c r="A328" s="328"/>
      <c r="B328" s="328"/>
      <c r="C328" s="328"/>
      <c r="D328" s="328"/>
      <c r="E328" s="328"/>
      <c r="F328" s="328"/>
      <c r="G328" s="328"/>
      <c r="H328" s="328"/>
      <c r="I328" s="328"/>
      <c r="J328" s="328"/>
      <c r="K328" s="328"/>
      <c r="L328" s="209"/>
      <c r="N328" s="394"/>
      <c r="O328" s="394"/>
      <c r="P328" s="618"/>
      <c r="Q328" s="618"/>
      <c r="R328" s="619"/>
      <c r="S328" s="619"/>
      <c r="T328" s="619"/>
      <c r="U328" s="619"/>
      <c r="V328" s="619"/>
      <c r="X328" s="239"/>
      <c r="Y328" s="239"/>
      <c r="Z328" s="239"/>
      <c r="AA328" s="239"/>
      <c r="AB328" s="239"/>
      <c r="AC328" s="239"/>
    </row>
    <row r="329" spans="1:29" ht="24" customHeight="1">
      <c r="A329" s="555" t="s">
        <v>1394</v>
      </c>
      <c r="B329" s="328"/>
      <c r="C329" s="328"/>
      <c r="D329" s="555" t="s">
        <v>1395</v>
      </c>
      <c r="E329" s="328"/>
      <c r="F329" s="328"/>
      <c r="G329" s="328"/>
      <c r="H329" s="328"/>
      <c r="I329" s="328"/>
      <c r="J329" s="328"/>
      <c r="K329" s="328"/>
      <c r="L329" s="209"/>
      <c r="M329" s="214"/>
      <c r="N329" s="340">
        <v>7530</v>
      </c>
      <c r="O329" s="340">
        <v>7530</v>
      </c>
      <c r="P329" s="270">
        <v>7531</v>
      </c>
      <c r="Q329" s="270">
        <v>7467</v>
      </c>
      <c r="R329" s="260">
        <v>17416</v>
      </c>
      <c r="S329" s="260">
        <v>17416</v>
      </c>
      <c r="T329" s="260">
        <v>17416</v>
      </c>
      <c r="U329" s="260">
        <v>17416</v>
      </c>
      <c r="V329" s="260">
        <v>17416</v>
      </c>
      <c r="X329" s="266">
        <v>17416</v>
      </c>
      <c r="Y329" s="266">
        <v>17416</v>
      </c>
      <c r="Z329" s="266">
        <v>17416</v>
      </c>
      <c r="AA329" s="266">
        <v>17416</v>
      </c>
      <c r="AB329" s="266">
        <v>17416</v>
      </c>
      <c r="AC329" s="266">
        <v>17416</v>
      </c>
    </row>
    <row r="330" spans="1:29" ht="24" customHeight="1">
      <c r="A330" s="328" t="s">
        <v>799</v>
      </c>
      <c r="B330" s="328"/>
      <c r="C330" s="328"/>
      <c r="D330" s="328" t="s">
        <v>6</v>
      </c>
      <c r="E330" s="328"/>
      <c r="F330" s="328"/>
      <c r="G330" s="328"/>
      <c r="H330" s="328"/>
      <c r="I330" s="328"/>
      <c r="J330" s="328"/>
      <c r="K330" s="328"/>
      <c r="L330" s="209"/>
      <c r="M330" s="246"/>
      <c r="N330" s="345">
        <v>7</v>
      </c>
      <c r="O330" s="345">
        <v>14</v>
      </c>
      <c r="P330" s="235">
        <v>0</v>
      </c>
      <c r="Q330" s="235">
        <v>2</v>
      </c>
      <c r="R330" s="234">
        <v>0</v>
      </c>
      <c r="S330" s="234">
        <v>0</v>
      </c>
      <c r="T330" s="234">
        <v>0</v>
      </c>
      <c r="U330" s="234">
        <v>0</v>
      </c>
      <c r="V330" s="234">
        <v>0</v>
      </c>
      <c r="X330" s="283">
        <v>0</v>
      </c>
      <c r="Y330" s="283">
        <v>0</v>
      </c>
      <c r="Z330" s="283">
        <v>0</v>
      </c>
      <c r="AA330" s="283">
        <v>0</v>
      </c>
      <c r="AB330" s="283">
        <v>0</v>
      </c>
      <c r="AC330" s="283">
        <v>0</v>
      </c>
    </row>
    <row r="331" spans="1:29" ht="15" customHeight="1">
      <c r="A331" s="328"/>
      <c r="B331" s="328"/>
      <c r="C331" s="328"/>
      <c r="D331" s="328"/>
      <c r="E331" s="328"/>
      <c r="F331" s="328"/>
      <c r="G331" s="328"/>
      <c r="H331" s="328"/>
      <c r="I331" s="328"/>
      <c r="J331" s="328"/>
      <c r="K331" s="328"/>
      <c r="L331" s="209"/>
      <c r="M331" s="220"/>
      <c r="N331" s="340"/>
      <c r="O331" s="340"/>
      <c r="P331" s="225"/>
      <c r="Q331" s="225"/>
      <c r="R331" s="221"/>
      <c r="S331" s="221"/>
      <c r="T331" s="221"/>
      <c r="U331" s="221"/>
      <c r="V331" s="221"/>
      <c r="X331" s="239"/>
      <c r="Y331" s="239"/>
      <c r="Z331" s="239"/>
      <c r="AA331" s="239"/>
      <c r="AB331" s="239"/>
      <c r="AC331" s="239"/>
    </row>
    <row r="332" spans="1:29" s="328" customFormat="1" ht="24" customHeight="1">
      <c r="K332" s="400" t="s">
        <v>656</v>
      </c>
      <c r="L332" s="422"/>
      <c r="M332" s="423"/>
      <c r="N332" s="348">
        <f t="shared" ref="N332" si="107">SUM(N329:N331)</f>
        <v>7537</v>
      </c>
      <c r="O332" s="348">
        <f t="shared" ref="O332" si="108">SUM(O329:O331)</f>
        <v>7544</v>
      </c>
      <c r="P332" s="349">
        <f t="shared" ref="P332" si="109">SUM(P329:P331)</f>
        <v>7531</v>
      </c>
      <c r="Q332" s="349">
        <f>SUM(Q329:Q331)</f>
        <v>7469</v>
      </c>
      <c r="R332" s="348">
        <f t="shared" ref="R332:T332" si="110">SUM(R329:R331)</f>
        <v>17416</v>
      </c>
      <c r="S332" s="348">
        <f t="shared" si="110"/>
        <v>17416</v>
      </c>
      <c r="T332" s="348">
        <f t="shared" si="110"/>
        <v>17416</v>
      </c>
      <c r="U332" s="348">
        <f>SUM(U329:U331)</f>
        <v>17416</v>
      </c>
      <c r="V332" s="348">
        <f>SUM(V329:V331)</f>
        <v>17416</v>
      </c>
      <c r="W332" s="640"/>
      <c r="X332" s="439">
        <f t="shared" ref="X332:AC332" si="111">SUM(X329:X331)</f>
        <v>17416</v>
      </c>
      <c r="Y332" s="439">
        <f t="shared" si="111"/>
        <v>17416</v>
      </c>
      <c r="Z332" s="439">
        <f t="shared" si="111"/>
        <v>17416</v>
      </c>
      <c r="AA332" s="439">
        <f t="shared" si="111"/>
        <v>17416</v>
      </c>
      <c r="AB332" s="439">
        <f t="shared" si="111"/>
        <v>17416</v>
      </c>
      <c r="AC332" s="439">
        <f t="shared" si="111"/>
        <v>17416</v>
      </c>
    </row>
    <row r="333" spans="1:29" ht="15" customHeight="1">
      <c r="A333" s="328"/>
      <c r="B333" s="328"/>
      <c r="C333" s="328"/>
      <c r="D333" s="328"/>
      <c r="E333" s="328"/>
      <c r="F333" s="328"/>
      <c r="G333" s="328"/>
      <c r="H333" s="328"/>
      <c r="I333" s="328"/>
      <c r="J333" s="328"/>
      <c r="K333" s="400"/>
      <c r="L333" s="240"/>
      <c r="M333" s="241"/>
      <c r="N333" s="348"/>
      <c r="O333" s="348"/>
      <c r="P333" s="243"/>
      <c r="Q333" s="243"/>
      <c r="R333" s="242"/>
      <c r="S333" s="242"/>
      <c r="T333" s="242"/>
      <c r="U333" s="242"/>
      <c r="V333" s="242"/>
      <c r="X333" s="239"/>
      <c r="Y333" s="239"/>
      <c r="Z333" s="239"/>
      <c r="AA333" s="239"/>
      <c r="AB333" s="239"/>
      <c r="AC333" s="239"/>
    </row>
    <row r="334" spans="1:29" ht="24" customHeight="1">
      <c r="A334" s="396" t="s">
        <v>1220</v>
      </c>
      <c r="B334" s="408"/>
      <c r="C334" s="408"/>
      <c r="D334" s="398" t="s">
        <v>1221</v>
      </c>
      <c r="E334" s="408"/>
      <c r="F334" s="408"/>
      <c r="G334" s="408"/>
      <c r="H334" s="408"/>
      <c r="I334" s="408"/>
      <c r="J334" s="408"/>
      <c r="K334" s="408"/>
      <c r="L334" s="284"/>
      <c r="M334" s="285"/>
      <c r="N334" s="356">
        <v>0</v>
      </c>
      <c r="O334" s="356">
        <v>0</v>
      </c>
      <c r="P334" s="270">
        <v>0</v>
      </c>
      <c r="Q334" s="270">
        <v>0</v>
      </c>
      <c r="R334" s="260">
        <v>25000</v>
      </c>
      <c r="S334" s="260">
        <v>25000</v>
      </c>
      <c r="T334" s="260">
        <v>0</v>
      </c>
      <c r="U334" s="260">
        <v>0</v>
      </c>
      <c r="V334" s="260">
        <v>0</v>
      </c>
      <c r="X334" s="286">
        <v>0</v>
      </c>
      <c r="Y334" s="286">
        <v>0</v>
      </c>
      <c r="Z334" s="286">
        <v>0</v>
      </c>
      <c r="AA334" s="286">
        <v>0</v>
      </c>
      <c r="AB334" s="286">
        <v>0</v>
      </c>
      <c r="AC334" s="286">
        <v>0</v>
      </c>
    </row>
    <row r="335" spans="1:29" ht="24" customHeight="1">
      <c r="A335" s="396" t="s">
        <v>304</v>
      </c>
      <c r="B335" s="397"/>
      <c r="C335" s="397"/>
      <c r="D335" s="396" t="s">
        <v>1323</v>
      </c>
      <c r="E335" s="397"/>
      <c r="F335" s="397"/>
      <c r="G335" s="397"/>
      <c r="H335" s="397"/>
      <c r="I335" s="397"/>
      <c r="J335" s="397"/>
      <c r="K335" s="397"/>
      <c r="L335" s="218"/>
      <c r="M335" s="287"/>
      <c r="N335" s="369">
        <v>7272</v>
      </c>
      <c r="O335" s="369">
        <v>11992</v>
      </c>
      <c r="P335" s="289">
        <v>14985</v>
      </c>
      <c r="Q335" s="289">
        <v>14985</v>
      </c>
      <c r="R335" s="288">
        <v>10985</v>
      </c>
      <c r="S335" s="288">
        <v>10985</v>
      </c>
      <c r="T335" s="288">
        <v>10985</v>
      </c>
      <c r="U335" s="288">
        <v>10985</v>
      </c>
      <c r="V335" s="288">
        <v>10985</v>
      </c>
      <c r="X335" s="290">
        <v>12000</v>
      </c>
      <c r="Y335" s="290">
        <v>12000</v>
      </c>
      <c r="Z335" s="290">
        <v>14000</v>
      </c>
      <c r="AA335" s="290">
        <v>14000</v>
      </c>
      <c r="AB335" s="290">
        <v>15000</v>
      </c>
      <c r="AC335" s="290">
        <v>15000</v>
      </c>
    </row>
    <row r="336" spans="1:29" ht="15" customHeight="1">
      <c r="A336" s="396"/>
      <c r="B336" s="397"/>
      <c r="C336" s="397"/>
      <c r="D336" s="396"/>
      <c r="E336" s="397"/>
      <c r="F336" s="397"/>
      <c r="G336" s="397"/>
      <c r="H336" s="397"/>
      <c r="I336" s="397"/>
      <c r="J336" s="397"/>
      <c r="K336" s="397"/>
      <c r="L336" s="218"/>
      <c r="M336" s="259"/>
      <c r="N336" s="356"/>
      <c r="O336" s="356"/>
      <c r="P336" s="270"/>
      <c r="Q336" s="270"/>
      <c r="R336" s="260"/>
      <c r="S336" s="260"/>
      <c r="T336" s="260"/>
      <c r="U336" s="260"/>
      <c r="V336" s="260"/>
      <c r="X336" s="239"/>
      <c r="Y336" s="239"/>
      <c r="Z336" s="239"/>
      <c r="AA336" s="239"/>
      <c r="AB336" s="239"/>
      <c r="AC336" s="239"/>
    </row>
    <row r="337" spans="1:29" s="328" customFormat="1" ht="24" customHeight="1">
      <c r="A337" s="396"/>
      <c r="B337" s="397"/>
      <c r="C337" s="397"/>
      <c r="D337" s="396"/>
      <c r="E337" s="397"/>
      <c r="F337" s="397"/>
      <c r="G337" s="397"/>
      <c r="H337" s="397"/>
      <c r="I337" s="397"/>
      <c r="J337" s="397"/>
      <c r="K337" s="400" t="s">
        <v>659</v>
      </c>
      <c r="L337" s="422"/>
      <c r="M337" s="423"/>
      <c r="N337" s="348">
        <f t="shared" ref="N337" si="112">SUM(N334:N336)</f>
        <v>7272</v>
      </c>
      <c r="O337" s="348">
        <f t="shared" ref="O337:V337" si="113">SUM(O334:O336)</f>
        <v>11992</v>
      </c>
      <c r="P337" s="349">
        <f t="shared" ref="P337" si="114">SUM(P334:P336)</f>
        <v>14985</v>
      </c>
      <c r="Q337" s="349">
        <f t="shared" si="113"/>
        <v>14985</v>
      </c>
      <c r="R337" s="348">
        <f t="shared" ref="R337:U337" si="115">SUM(R334:R336)</f>
        <v>35985</v>
      </c>
      <c r="S337" s="348">
        <f t="shared" si="115"/>
        <v>35985</v>
      </c>
      <c r="T337" s="348">
        <f t="shared" si="115"/>
        <v>10985</v>
      </c>
      <c r="U337" s="348">
        <f t="shared" si="115"/>
        <v>10985</v>
      </c>
      <c r="V337" s="348">
        <f t="shared" si="113"/>
        <v>10985</v>
      </c>
      <c r="W337" s="640"/>
      <c r="X337" s="405">
        <f t="shared" ref="X337:AC337" si="116">SUM(X334:X336)</f>
        <v>12000</v>
      </c>
      <c r="Y337" s="405">
        <f t="shared" si="116"/>
        <v>12000</v>
      </c>
      <c r="Z337" s="405">
        <f t="shared" si="116"/>
        <v>14000</v>
      </c>
      <c r="AA337" s="405">
        <f t="shared" si="116"/>
        <v>14000</v>
      </c>
      <c r="AB337" s="405">
        <f t="shared" si="116"/>
        <v>15000</v>
      </c>
      <c r="AC337" s="405">
        <f t="shared" si="116"/>
        <v>15000</v>
      </c>
    </row>
    <row r="338" spans="1:29" s="328" customFormat="1" ht="15" customHeight="1">
      <c r="L338" s="424"/>
      <c r="M338" s="435"/>
      <c r="N338" s="346"/>
      <c r="O338" s="346"/>
      <c r="P338" s="347"/>
      <c r="Q338" s="347"/>
      <c r="R338" s="346"/>
      <c r="S338" s="346"/>
      <c r="T338" s="346"/>
      <c r="U338" s="346"/>
      <c r="V338" s="346"/>
      <c r="W338" s="640"/>
      <c r="X338" s="400"/>
      <c r="Y338" s="400"/>
      <c r="Z338" s="400"/>
      <c r="AA338" s="400"/>
      <c r="AB338" s="400"/>
      <c r="AC338" s="400"/>
    </row>
    <row r="339" spans="1:29" s="328" customFormat="1" ht="24" customHeight="1">
      <c r="K339" s="400" t="s">
        <v>660</v>
      </c>
      <c r="L339" s="422"/>
      <c r="M339" s="422"/>
      <c r="N339" s="365">
        <f t="shared" ref="N339" si="117">N332-N337</f>
        <v>265</v>
      </c>
      <c r="O339" s="365">
        <f t="shared" ref="O339:V339" si="118">O332-O337</f>
        <v>-4448</v>
      </c>
      <c r="P339" s="366">
        <f t="shared" ref="P339" si="119">P332-P337</f>
        <v>-7454</v>
      </c>
      <c r="Q339" s="366">
        <f t="shared" si="118"/>
        <v>-7516</v>
      </c>
      <c r="R339" s="365">
        <f t="shared" ref="R339:U339" si="120">R332-R337</f>
        <v>-18569</v>
      </c>
      <c r="S339" s="365">
        <f t="shared" si="120"/>
        <v>-18569</v>
      </c>
      <c r="T339" s="365">
        <f t="shared" si="120"/>
        <v>6431</v>
      </c>
      <c r="U339" s="365">
        <f t="shared" si="120"/>
        <v>6431</v>
      </c>
      <c r="V339" s="365">
        <f t="shared" si="118"/>
        <v>6431</v>
      </c>
      <c r="W339" s="640"/>
      <c r="X339" s="439">
        <f t="shared" ref="X339:AC339" si="121">X332-X337</f>
        <v>5416</v>
      </c>
      <c r="Y339" s="439">
        <f t="shared" si="121"/>
        <v>5416</v>
      </c>
      <c r="Z339" s="439">
        <f t="shared" si="121"/>
        <v>3416</v>
      </c>
      <c r="AA339" s="439">
        <f t="shared" si="121"/>
        <v>3416</v>
      </c>
      <c r="AB339" s="439">
        <f t="shared" si="121"/>
        <v>2416</v>
      </c>
      <c r="AC339" s="439">
        <f t="shared" si="121"/>
        <v>2416</v>
      </c>
    </row>
    <row r="340" spans="1:29" s="328" customFormat="1" ht="15" customHeight="1">
      <c r="L340" s="424"/>
      <c r="M340" s="422"/>
      <c r="N340" s="365"/>
      <c r="O340" s="365"/>
      <c r="P340" s="366"/>
      <c r="Q340" s="366"/>
      <c r="R340" s="365"/>
      <c r="S340" s="365"/>
      <c r="T340" s="365"/>
      <c r="U340" s="365"/>
      <c r="V340" s="365"/>
      <c r="W340" s="640"/>
      <c r="X340" s="400"/>
      <c r="Y340" s="400"/>
      <c r="Z340" s="400"/>
      <c r="AA340" s="400"/>
      <c r="AB340" s="400"/>
      <c r="AC340" s="400"/>
    </row>
    <row r="341" spans="1:29" s="328" customFormat="1" ht="24" customHeight="1">
      <c r="K341" s="405" t="s">
        <v>662</v>
      </c>
      <c r="L341" s="422"/>
      <c r="M341" s="422"/>
      <c r="N341" s="365">
        <v>12188</v>
      </c>
      <c r="O341" s="365">
        <v>7740</v>
      </c>
      <c r="P341" s="366">
        <v>560</v>
      </c>
      <c r="Q341" s="366">
        <f>O341+Q339</f>
        <v>224</v>
      </c>
      <c r="R341" s="365">
        <f>Q341+R339</f>
        <v>-18345</v>
      </c>
      <c r="S341" s="365">
        <f>R341+S339</f>
        <v>-36914</v>
      </c>
      <c r="T341" s="365">
        <f>S341+T339</f>
        <v>-30483</v>
      </c>
      <c r="U341" s="365">
        <f>T341+U339</f>
        <v>-24052</v>
      </c>
      <c r="V341" s="365">
        <f>U341+V339</f>
        <v>-17621</v>
      </c>
      <c r="W341" s="640"/>
      <c r="X341" s="439">
        <f>V341+X339</f>
        <v>-12205</v>
      </c>
      <c r="Y341" s="439">
        <f>X341+Y339</f>
        <v>-6789</v>
      </c>
      <c r="Z341" s="439">
        <f>Y341+Z339</f>
        <v>-3373</v>
      </c>
      <c r="AA341" s="439">
        <f>Z341+AA339</f>
        <v>43</v>
      </c>
      <c r="AB341" s="439">
        <f>AA341+AB339</f>
        <v>2459</v>
      </c>
      <c r="AC341" s="439">
        <f>AB341+AC339</f>
        <v>4875</v>
      </c>
    </row>
    <row r="342" spans="1:29" s="409" customFormat="1" ht="24" customHeight="1">
      <c r="L342" s="440"/>
      <c r="M342" s="438"/>
      <c r="N342" s="367">
        <f t="shared" ref="N342" si="122">N341/N337</f>
        <v>1.676017601760176</v>
      </c>
      <c r="O342" s="367">
        <f t="shared" ref="O342:V342" si="123">O341/O337</f>
        <v>0.64543028685790527</v>
      </c>
      <c r="P342" s="368">
        <f t="shared" ref="P342" si="124">P341/P337</f>
        <v>3.7370704037370701E-2</v>
      </c>
      <c r="Q342" s="368">
        <f t="shared" si="123"/>
        <v>1.4948281614948282E-2</v>
      </c>
      <c r="R342" s="367">
        <f t="shared" ref="R342:U342" si="125">R341/R337</f>
        <v>-0.50979574822842855</v>
      </c>
      <c r="S342" s="367">
        <f t="shared" si="125"/>
        <v>-1.0258163123523691</v>
      </c>
      <c r="T342" s="367">
        <f t="shared" si="125"/>
        <v>-2.774965862539827</v>
      </c>
      <c r="U342" s="367">
        <f t="shared" si="125"/>
        <v>-2.1895311788802911</v>
      </c>
      <c r="V342" s="367">
        <f t="shared" si="123"/>
        <v>-1.6040964952207555</v>
      </c>
      <c r="W342" s="522"/>
      <c r="X342" s="367">
        <f t="shared" ref="X342:AC342" si="126">X341/X337</f>
        <v>-1.0170833333333333</v>
      </c>
      <c r="Y342" s="367">
        <f t="shared" si="126"/>
        <v>-0.56574999999999998</v>
      </c>
      <c r="Z342" s="367">
        <f t="shared" si="126"/>
        <v>-0.24092857142857144</v>
      </c>
      <c r="AA342" s="367">
        <f t="shared" si="126"/>
        <v>3.0714285714285713E-3</v>
      </c>
      <c r="AB342" s="367">
        <f t="shared" si="126"/>
        <v>0.16393333333333332</v>
      </c>
      <c r="AC342" s="367">
        <f t="shared" si="126"/>
        <v>0.32500000000000001</v>
      </c>
    </row>
    <row r="343" spans="1:29" ht="15" customHeight="1">
      <c r="A343" s="328"/>
      <c r="B343" s="328"/>
      <c r="C343" s="328"/>
      <c r="D343" s="328"/>
      <c r="E343" s="328"/>
      <c r="F343" s="328"/>
      <c r="G343" s="328"/>
      <c r="H343" s="328"/>
      <c r="I343" s="328"/>
      <c r="J343" s="328"/>
      <c r="K343" s="328"/>
      <c r="L343" s="209"/>
      <c r="N343" s="394"/>
      <c r="O343" s="394"/>
      <c r="P343" s="618"/>
      <c r="Q343" s="618"/>
      <c r="R343" s="619"/>
      <c r="S343" s="619"/>
      <c r="T343" s="619"/>
      <c r="U343" s="619"/>
      <c r="V343" s="619"/>
    </row>
    <row r="344" spans="1:29" ht="24" customHeight="1">
      <c r="A344" s="407" t="s">
        <v>1051</v>
      </c>
      <c r="B344" s="328"/>
      <c r="C344" s="328"/>
      <c r="D344" s="328"/>
      <c r="E344" s="328"/>
      <c r="F344" s="328"/>
      <c r="G344" s="328"/>
      <c r="H344" s="328"/>
      <c r="I344" s="328"/>
      <c r="J344" s="328"/>
      <c r="K344" s="328"/>
      <c r="L344" s="209"/>
      <c r="N344" s="394"/>
      <c r="O344" s="394"/>
      <c r="P344" s="618"/>
      <c r="Q344" s="618"/>
      <c r="R344" s="619"/>
      <c r="S344" s="619"/>
      <c r="T344" s="619"/>
      <c r="U344" s="619"/>
      <c r="V344" s="619"/>
    </row>
    <row r="345" spans="1:29" ht="15" customHeight="1">
      <c r="A345" s="328"/>
      <c r="B345" s="328"/>
      <c r="C345" s="328"/>
      <c r="D345" s="328"/>
      <c r="E345" s="328"/>
      <c r="F345" s="328"/>
      <c r="G345" s="328"/>
      <c r="H345" s="328"/>
      <c r="I345" s="328"/>
      <c r="J345" s="328"/>
      <c r="K345" s="328"/>
      <c r="L345" s="209"/>
      <c r="N345" s="394"/>
      <c r="O345" s="394"/>
      <c r="P345" s="618"/>
      <c r="Q345" s="618"/>
      <c r="R345" s="619"/>
      <c r="S345" s="619"/>
      <c r="T345" s="619"/>
      <c r="U345" s="619"/>
      <c r="V345" s="619"/>
    </row>
    <row r="346" spans="1:29" ht="24" customHeight="1">
      <c r="A346" s="396" t="s">
        <v>306</v>
      </c>
      <c r="B346" s="328"/>
      <c r="C346" s="328"/>
      <c r="D346" s="396" t="s">
        <v>307</v>
      </c>
      <c r="E346" s="328"/>
      <c r="F346" s="328"/>
      <c r="G346" s="328"/>
      <c r="H346" s="328"/>
      <c r="I346" s="328"/>
      <c r="J346" s="328"/>
      <c r="K346" s="328"/>
      <c r="L346" s="209">
        <v>292372</v>
      </c>
      <c r="M346" s="229">
        <v>409576</v>
      </c>
      <c r="N346" s="340">
        <v>417416</v>
      </c>
      <c r="O346" s="340">
        <v>402932</v>
      </c>
      <c r="P346" s="225">
        <v>410000</v>
      </c>
      <c r="Q346" s="225">
        <v>400000</v>
      </c>
      <c r="R346" s="221">
        <v>400000</v>
      </c>
      <c r="S346" s="221">
        <v>400000</v>
      </c>
      <c r="T346" s="221">
        <v>400000</v>
      </c>
      <c r="U346" s="221">
        <v>400000</v>
      </c>
      <c r="V346" s="221">
        <v>400000</v>
      </c>
    </row>
    <row r="347" spans="1:29" ht="24" customHeight="1">
      <c r="A347" s="396" t="s">
        <v>308</v>
      </c>
      <c r="B347" s="328"/>
      <c r="C347" s="328"/>
      <c r="D347" s="178" t="s">
        <v>309</v>
      </c>
      <c r="E347" s="328"/>
      <c r="F347" s="328"/>
      <c r="G347" s="328"/>
      <c r="H347" s="328"/>
      <c r="I347" s="328"/>
      <c r="J347" s="328"/>
      <c r="K347" s="328"/>
      <c r="L347" s="209">
        <v>15510</v>
      </c>
      <c r="M347" s="214">
        <v>24687</v>
      </c>
      <c r="N347" s="339">
        <v>39197</v>
      </c>
      <c r="O347" s="339">
        <v>39164</v>
      </c>
      <c r="P347" s="216">
        <v>40000</v>
      </c>
      <c r="Q347" s="216">
        <v>41814</v>
      </c>
      <c r="R347" s="215">
        <v>40000</v>
      </c>
      <c r="S347" s="215">
        <v>40000</v>
      </c>
      <c r="T347" s="215">
        <v>40000</v>
      </c>
      <c r="U347" s="215">
        <v>40000</v>
      </c>
      <c r="V347" s="215">
        <v>40000</v>
      </c>
      <c r="X347" s="219"/>
    </row>
    <row r="348" spans="1:29" ht="24" customHeight="1">
      <c r="A348" s="396" t="s">
        <v>310</v>
      </c>
      <c r="B348" s="328"/>
      <c r="C348" s="328"/>
      <c r="D348" s="178" t="s">
        <v>311</v>
      </c>
      <c r="E348" s="328"/>
      <c r="F348" s="328"/>
      <c r="G348" s="328"/>
      <c r="H348" s="328"/>
      <c r="I348" s="328"/>
      <c r="J348" s="328"/>
      <c r="K348" s="328"/>
      <c r="L348" s="209"/>
      <c r="M348" s="222"/>
      <c r="N348" s="341">
        <v>73122</v>
      </c>
      <c r="O348" s="341">
        <v>73122</v>
      </c>
      <c r="P348" s="224">
        <v>0</v>
      </c>
      <c r="Q348" s="224">
        <v>73122</v>
      </c>
      <c r="R348" s="223">
        <v>0</v>
      </c>
      <c r="S348" s="223">
        <v>0</v>
      </c>
      <c r="T348" s="223">
        <v>0</v>
      </c>
      <c r="U348" s="223">
        <v>0</v>
      </c>
      <c r="V348" s="223">
        <v>0</v>
      </c>
    </row>
    <row r="349" spans="1:29" ht="24" customHeight="1">
      <c r="A349" s="396" t="s">
        <v>1444</v>
      </c>
      <c r="B349" s="601"/>
      <c r="C349" s="601"/>
      <c r="D349" s="396" t="s">
        <v>1511</v>
      </c>
      <c r="E349" s="693"/>
      <c r="F349" s="693"/>
      <c r="G349" s="693"/>
      <c r="H349" s="693"/>
      <c r="I349" s="693"/>
      <c r="J349" s="693"/>
      <c r="K349" s="693"/>
      <c r="L349" s="209"/>
      <c r="M349" s="220"/>
      <c r="N349" s="340">
        <v>30293</v>
      </c>
      <c r="O349" s="340">
        <v>0</v>
      </c>
      <c r="P349" s="225">
        <v>0</v>
      </c>
      <c r="Q349" s="225">
        <f>ROUND(Q369/2,0)</f>
        <v>106250</v>
      </c>
      <c r="R349" s="221">
        <v>0</v>
      </c>
      <c r="S349" s="221">
        <v>0</v>
      </c>
      <c r="T349" s="221">
        <v>0</v>
      </c>
      <c r="U349" s="221">
        <v>0</v>
      </c>
      <c r="V349" s="221">
        <v>0</v>
      </c>
    </row>
    <row r="350" spans="1:29" ht="24" customHeight="1">
      <c r="A350" s="396" t="s">
        <v>1446</v>
      </c>
      <c r="B350" s="605"/>
      <c r="C350" s="605"/>
      <c r="D350" s="745" t="s">
        <v>1460</v>
      </c>
      <c r="E350" s="745"/>
      <c r="F350" s="745"/>
      <c r="G350" s="745"/>
      <c r="H350" s="745"/>
      <c r="I350" s="745"/>
      <c r="J350" s="745"/>
      <c r="K350" s="745"/>
      <c r="L350" s="209"/>
      <c r="M350" s="220"/>
      <c r="N350" s="340">
        <v>0</v>
      </c>
      <c r="O350" s="340">
        <v>0</v>
      </c>
      <c r="P350" s="225">
        <v>492000</v>
      </c>
      <c r="Q350" s="225">
        <v>492000</v>
      </c>
      <c r="R350" s="221">
        <v>0</v>
      </c>
      <c r="S350" s="221">
        <v>0</v>
      </c>
      <c r="T350" s="221">
        <v>0</v>
      </c>
      <c r="U350" s="221">
        <v>0</v>
      </c>
      <c r="V350" s="221">
        <v>0</v>
      </c>
    </row>
    <row r="351" spans="1:29" ht="24" customHeight="1">
      <c r="A351" s="396" t="s">
        <v>1450</v>
      </c>
      <c r="B351" s="608"/>
      <c r="C351" s="608"/>
      <c r="D351" s="745" t="s">
        <v>1461</v>
      </c>
      <c r="E351" s="745"/>
      <c r="F351" s="745"/>
      <c r="G351" s="745"/>
      <c r="H351" s="745"/>
      <c r="I351" s="745"/>
      <c r="J351" s="745"/>
      <c r="K351" s="745"/>
      <c r="L351" s="209"/>
      <c r="M351" s="220"/>
      <c r="N351" s="340">
        <v>0</v>
      </c>
      <c r="O351" s="340">
        <v>0</v>
      </c>
      <c r="P351" s="225">
        <v>0</v>
      </c>
      <c r="Q351" s="225">
        <v>0</v>
      </c>
      <c r="R351" s="221">
        <v>40000</v>
      </c>
      <c r="S351" s="221">
        <v>0</v>
      </c>
      <c r="T351" s="221">
        <v>0</v>
      </c>
      <c r="U351" s="221">
        <v>0</v>
      </c>
      <c r="V351" s="221">
        <v>0</v>
      </c>
    </row>
    <row r="352" spans="1:29" ht="24" customHeight="1">
      <c r="A352" s="396" t="s">
        <v>312</v>
      </c>
      <c r="B352" s="397"/>
      <c r="C352" s="397"/>
      <c r="D352" s="735" t="s">
        <v>6</v>
      </c>
      <c r="E352" s="735"/>
      <c r="F352" s="735"/>
      <c r="G352" s="735"/>
      <c r="H352" s="735"/>
      <c r="I352" s="735"/>
      <c r="J352" s="735"/>
      <c r="K352" s="735"/>
      <c r="L352" s="218"/>
      <c r="M352" s="253"/>
      <c r="N352" s="340">
        <v>570</v>
      </c>
      <c r="O352" s="340">
        <v>3368</v>
      </c>
      <c r="P352" s="225">
        <v>2000</v>
      </c>
      <c r="Q352" s="225">
        <v>3500</v>
      </c>
      <c r="R352" s="221">
        <v>3000</v>
      </c>
      <c r="S352" s="221">
        <v>3000</v>
      </c>
      <c r="T352" s="221">
        <v>3000</v>
      </c>
      <c r="U352" s="221">
        <v>3000</v>
      </c>
      <c r="V352" s="221">
        <v>3000</v>
      </c>
    </row>
    <row r="353" spans="1:24" ht="24" customHeight="1">
      <c r="A353" s="396" t="s">
        <v>1189</v>
      </c>
      <c r="B353" s="328"/>
      <c r="C353" s="328"/>
      <c r="D353" s="396" t="s">
        <v>67</v>
      </c>
      <c r="E353" s="328"/>
      <c r="F353" s="328"/>
      <c r="G353" s="328"/>
      <c r="H353" s="328"/>
      <c r="I353" s="328"/>
      <c r="J353" s="328"/>
      <c r="K353" s="328"/>
      <c r="L353" s="209"/>
      <c r="M353" s="229"/>
      <c r="N353" s="345">
        <v>0</v>
      </c>
      <c r="O353" s="345">
        <v>257</v>
      </c>
      <c r="P353" s="235">
        <v>0</v>
      </c>
      <c r="Q353" s="235">
        <v>110</v>
      </c>
      <c r="R353" s="234">
        <v>0</v>
      </c>
      <c r="S353" s="234">
        <v>0</v>
      </c>
      <c r="T353" s="234">
        <v>0</v>
      </c>
      <c r="U353" s="234">
        <v>0</v>
      </c>
      <c r="V353" s="234">
        <v>0</v>
      </c>
    </row>
    <row r="354" spans="1:24" ht="15" customHeight="1">
      <c r="A354" s="328"/>
      <c r="B354" s="328"/>
      <c r="C354" s="328"/>
      <c r="D354" s="328"/>
      <c r="E354" s="328"/>
      <c r="F354" s="328"/>
      <c r="G354" s="328"/>
      <c r="H354" s="328"/>
      <c r="I354" s="328"/>
      <c r="J354" s="328"/>
      <c r="K354" s="328"/>
      <c r="L354" s="209"/>
      <c r="N354" s="346"/>
      <c r="O354" s="346"/>
      <c r="P354" s="238"/>
      <c r="Q354" s="238"/>
      <c r="R354" s="237"/>
      <c r="S354" s="237"/>
      <c r="T354" s="237"/>
      <c r="U354" s="237"/>
      <c r="V354" s="237"/>
    </row>
    <row r="355" spans="1:24" s="328" customFormat="1" ht="24" customHeight="1">
      <c r="K355" s="400" t="s">
        <v>656</v>
      </c>
      <c r="L355" s="422"/>
      <c r="M355" s="441"/>
      <c r="N355" s="348">
        <f t="shared" ref="N355:V355" si="127">SUM(N346:N354)</f>
        <v>560598</v>
      </c>
      <c r="O355" s="348">
        <f t="shared" si="127"/>
        <v>518843</v>
      </c>
      <c r="P355" s="349">
        <f t="shared" si="127"/>
        <v>944000</v>
      </c>
      <c r="Q355" s="349">
        <f t="shared" si="127"/>
        <v>1116796</v>
      </c>
      <c r="R355" s="348">
        <f t="shared" si="127"/>
        <v>483000</v>
      </c>
      <c r="S355" s="348">
        <f t="shared" si="127"/>
        <v>443000</v>
      </c>
      <c r="T355" s="348">
        <f t="shared" si="127"/>
        <v>443000</v>
      </c>
      <c r="U355" s="348">
        <f t="shared" si="127"/>
        <v>443000</v>
      </c>
      <c r="V355" s="348">
        <f t="shared" si="127"/>
        <v>443000</v>
      </c>
      <c r="W355" s="640"/>
    </row>
    <row r="356" spans="1:24" ht="15" customHeight="1">
      <c r="A356" s="328"/>
      <c r="B356" s="328"/>
      <c r="C356" s="328"/>
      <c r="D356" s="328"/>
      <c r="E356" s="328"/>
      <c r="F356" s="328"/>
      <c r="G356" s="328"/>
      <c r="H356" s="328"/>
      <c r="I356" s="328"/>
      <c r="J356" s="328"/>
      <c r="K356" s="328"/>
      <c r="L356" s="209"/>
      <c r="M356" s="292"/>
      <c r="N356" s="348"/>
      <c r="O356" s="348"/>
      <c r="P356" s="243"/>
      <c r="Q356" s="243"/>
      <c r="R356" s="242"/>
      <c r="S356" s="242"/>
      <c r="T356" s="242"/>
      <c r="U356" s="242"/>
      <c r="V356" s="242"/>
    </row>
    <row r="357" spans="1:24" ht="24" customHeight="1">
      <c r="A357" s="396" t="s">
        <v>1178</v>
      </c>
      <c r="B357" s="397"/>
      <c r="C357" s="397"/>
      <c r="D357" s="396" t="s">
        <v>1179</v>
      </c>
      <c r="E357" s="397"/>
      <c r="F357" s="397"/>
      <c r="G357" s="399"/>
      <c r="H357" s="399"/>
      <c r="I357" s="399"/>
      <c r="J357" s="399"/>
      <c r="K357" s="399"/>
      <c r="L357" s="236"/>
      <c r="M357" s="259"/>
      <c r="N357" s="356">
        <v>0</v>
      </c>
      <c r="O357" s="356">
        <v>7500</v>
      </c>
      <c r="P357" s="270">
        <v>7500</v>
      </c>
      <c r="Q357" s="270">
        <v>7500</v>
      </c>
      <c r="R357" s="260">
        <v>7500</v>
      </c>
      <c r="S357" s="260">
        <v>7500</v>
      </c>
      <c r="T357" s="260">
        <v>7500</v>
      </c>
      <c r="U357" s="260">
        <v>7500</v>
      </c>
      <c r="V357" s="260">
        <v>0</v>
      </c>
      <c r="X357" s="213"/>
    </row>
    <row r="358" spans="1:24" ht="24" customHeight="1">
      <c r="A358" s="396" t="s">
        <v>1453</v>
      </c>
      <c r="B358" s="609"/>
      <c r="C358" s="609"/>
      <c r="D358" s="396" t="s">
        <v>1454</v>
      </c>
      <c r="E358" s="609"/>
      <c r="F358" s="609"/>
      <c r="G358" s="399"/>
      <c r="H358" s="399"/>
      <c r="I358" s="399"/>
      <c r="J358" s="399"/>
      <c r="K358" s="399"/>
      <c r="L358" s="236"/>
      <c r="M358" s="259"/>
      <c r="N358" s="356">
        <v>0</v>
      </c>
      <c r="O358" s="356">
        <v>0</v>
      </c>
      <c r="P358" s="270">
        <v>0</v>
      </c>
      <c r="Q358" s="270">
        <v>0</v>
      </c>
      <c r="R358" s="215">
        <f>ROUND(Q240*1.15,0)</f>
        <v>103500</v>
      </c>
      <c r="S358" s="215">
        <f>ROUND(R358*1.06,0)</f>
        <v>109710</v>
      </c>
      <c r="T358" s="215">
        <f>ROUND(S358*1.06,0)</f>
        <v>116293</v>
      </c>
      <c r="U358" s="215">
        <f>ROUND(T358*1.06,0)</f>
        <v>123271</v>
      </c>
      <c r="V358" s="215">
        <f>ROUND(U358*1.06,0)</f>
        <v>130667</v>
      </c>
      <c r="X358" s="213"/>
    </row>
    <row r="359" spans="1:24" ht="24" customHeight="1">
      <c r="A359" s="396" t="s">
        <v>314</v>
      </c>
      <c r="B359" s="397"/>
      <c r="C359" s="397"/>
      <c r="D359" s="396" t="s">
        <v>1323</v>
      </c>
      <c r="E359" s="540"/>
      <c r="F359" s="540"/>
      <c r="G359" s="540"/>
      <c r="H359" s="540"/>
      <c r="I359" s="540"/>
      <c r="J359" s="540"/>
      <c r="K359" s="540"/>
      <c r="L359" s="218"/>
      <c r="M359" s="259"/>
      <c r="N359" s="356">
        <v>0</v>
      </c>
      <c r="O359" s="356">
        <v>0</v>
      </c>
      <c r="P359" s="270">
        <v>16000</v>
      </c>
      <c r="Q359" s="270">
        <v>16000</v>
      </c>
      <c r="R359" s="260">
        <v>0</v>
      </c>
      <c r="S359" s="260">
        <v>0</v>
      </c>
      <c r="T359" s="260">
        <v>0</v>
      </c>
      <c r="U359" s="260">
        <v>0</v>
      </c>
      <c r="V359" s="260">
        <v>0</v>
      </c>
    </row>
    <row r="360" spans="1:24" ht="24" customHeight="1">
      <c r="A360" s="396" t="s">
        <v>315</v>
      </c>
      <c r="B360" s="397"/>
      <c r="C360" s="397"/>
      <c r="D360" s="396" t="s">
        <v>316</v>
      </c>
      <c r="E360" s="552"/>
      <c r="F360" s="552"/>
      <c r="G360" s="552"/>
      <c r="H360" s="552"/>
      <c r="I360" s="552"/>
      <c r="J360" s="552"/>
      <c r="K360" s="552"/>
      <c r="L360" s="218"/>
      <c r="M360" s="229"/>
      <c r="N360" s="340">
        <v>129391</v>
      </c>
      <c r="O360" s="340">
        <v>58875</v>
      </c>
      <c r="P360" s="225">
        <v>126000</v>
      </c>
      <c r="Q360" s="225">
        <v>100000</v>
      </c>
      <c r="R360" s="221">
        <v>132300</v>
      </c>
      <c r="S360" s="221">
        <v>138915</v>
      </c>
      <c r="T360" s="221">
        <v>145861</v>
      </c>
      <c r="U360" s="221">
        <f>153154</f>
        <v>153154</v>
      </c>
      <c r="V360" s="221">
        <f>153154</f>
        <v>153154</v>
      </c>
      <c r="X360" s="217"/>
    </row>
    <row r="361" spans="1:24" ht="24" customHeight="1">
      <c r="A361" s="396" t="s">
        <v>317</v>
      </c>
      <c r="B361" s="397"/>
      <c r="C361" s="397"/>
      <c r="D361" s="396" t="s">
        <v>318</v>
      </c>
      <c r="E361" s="397"/>
      <c r="F361" s="397"/>
      <c r="G361" s="397"/>
      <c r="H361" s="397"/>
      <c r="I361" s="397"/>
      <c r="J361" s="397"/>
      <c r="K361" s="397"/>
      <c r="L361" s="218"/>
      <c r="M361" s="229"/>
      <c r="N361" s="340">
        <v>6732</v>
      </c>
      <c r="O361" s="340">
        <v>15943</v>
      </c>
      <c r="P361" s="225">
        <v>15000</v>
      </c>
      <c r="Q361" s="225">
        <v>15000</v>
      </c>
      <c r="R361" s="221">
        <v>15000</v>
      </c>
      <c r="S361" s="221">
        <v>15000</v>
      </c>
      <c r="T361" s="221">
        <v>15000</v>
      </c>
      <c r="U361" s="221">
        <v>15000</v>
      </c>
      <c r="V361" s="221">
        <v>15000</v>
      </c>
      <c r="W361" s="520"/>
      <c r="X361" s="213"/>
    </row>
    <row r="362" spans="1:24" ht="24" customHeight="1">
      <c r="A362" s="396" t="s">
        <v>319</v>
      </c>
      <c r="B362" s="397"/>
      <c r="C362" s="397"/>
      <c r="D362" s="396" t="s">
        <v>320</v>
      </c>
      <c r="E362" s="397"/>
      <c r="F362" s="397"/>
      <c r="G362" s="397"/>
      <c r="H362" s="397"/>
      <c r="I362" s="397"/>
      <c r="J362" s="397"/>
      <c r="K362" s="397"/>
      <c r="L362" s="218"/>
      <c r="M362" s="229"/>
      <c r="N362" s="340">
        <v>47093</v>
      </c>
      <c r="O362" s="340">
        <v>47007</v>
      </c>
      <c r="P362" s="225">
        <v>50000</v>
      </c>
      <c r="Q362" s="225">
        <v>0</v>
      </c>
      <c r="R362" s="221">
        <v>0</v>
      </c>
      <c r="S362" s="221">
        <v>0</v>
      </c>
      <c r="T362" s="221">
        <v>0</v>
      </c>
      <c r="U362" s="221">
        <v>0</v>
      </c>
      <c r="V362" s="221">
        <v>0</v>
      </c>
    </row>
    <row r="363" spans="1:24" ht="24" customHeight="1">
      <c r="A363" s="396" t="s">
        <v>321</v>
      </c>
      <c r="B363" s="397"/>
      <c r="C363" s="397"/>
      <c r="D363" s="396" t="s">
        <v>322</v>
      </c>
      <c r="E363" s="397"/>
      <c r="F363" s="397"/>
      <c r="G363" s="397"/>
      <c r="H363" s="397"/>
      <c r="I363" s="397"/>
      <c r="J363" s="397"/>
      <c r="K363" s="397"/>
      <c r="L363" s="218"/>
      <c r="M363" s="229"/>
      <c r="N363" s="337">
        <v>5855</v>
      </c>
      <c r="O363" s="337">
        <v>10621</v>
      </c>
      <c r="P363" s="212">
        <v>12826</v>
      </c>
      <c r="Q363" s="212">
        <v>12826</v>
      </c>
      <c r="R363" s="211">
        <f t="shared" ref="R363:T364" si="128">ROUND(Q363*1.1,0)</f>
        <v>14109</v>
      </c>
      <c r="S363" s="211">
        <f t="shared" si="128"/>
        <v>15520</v>
      </c>
      <c r="T363" s="211">
        <f t="shared" si="128"/>
        <v>17072</v>
      </c>
      <c r="U363" s="211">
        <f t="shared" ref="U363" si="129">ROUND(T363*1.1,0)</f>
        <v>18779</v>
      </c>
      <c r="V363" s="211">
        <f>ROUND(U363*1.1,0)</f>
        <v>20657</v>
      </c>
    </row>
    <row r="364" spans="1:24" ht="24" customHeight="1">
      <c r="A364" s="396" t="s">
        <v>323</v>
      </c>
      <c r="B364" s="397"/>
      <c r="C364" s="397"/>
      <c r="D364" s="396" t="s">
        <v>324</v>
      </c>
      <c r="E364" s="397"/>
      <c r="F364" s="397"/>
      <c r="G364" s="397"/>
      <c r="H364" s="397"/>
      <c r="I364" s="397"/>
      <c r="J364" s="397"/>
      <c r="K364" s="397"/>
      <c r="L364" s="218"/>
      <c r="M364" s="229"/>
      <c r="N364" s="337">
        <v>11284</v>
      </c>
      <c r="O364" s="337">
        <v>10327</v>
      </c>
      <c r="P364" s="212">
        <v>15730</v>
      </c>
      <c r="Q364" s="212">
        <v>15730</v>
      </c>
      <c r="R364" s="211">
        <f t="shared" si="128"/>
        <v>17303</v>
      </c>
      <c r="S364" s="211">
        <f t="shared" si="128"/>
        <v>19033</v>
      </c>
      <c r="T364" s="211">
        <f t="shared" si="128"/>
        <v>20936</v>
      </c>
      <c r="U364" s="211">
        <f t="shared" ref="U364:V364" si="130">ROUND(T364*1.1,0)</f>
        <v>23030</v>
      </c>
      <c r="V364" s="211">
        <f t="shared" si="130"/>
        <v>25333</v>
      </c>
    </row>
    <row r="365" spans="1:24" ht="24" customHeight="1">
      <c r="A365" s="396" t="s">
        <v>1204</v>
      </c>
      <c r="B365" s="397"/>
      <c r="C365" s="397"/>
      <c r="D365" s="396" t="s">
        <v>1205</v>
      </c>
      <c r="E365" s="397"/>
      <c r="F365" s="397"/>
      <c r="G365" s="397"/>
      <c r="H365" s="397"/>
      <c r="I365" s="397"/>
      <c r="J365" s="397"/>
      <c r="K365" s="397"/>
      <c r="L365" s="218"/>
      <c r="M365" s="229"/>
      <c r="N365" s="340">
        <v>0</v>
      </c>
      <c r="O365" s="340">
        <v>0</v>
      </c>
      <c r="P365" s="225">
        <v>75000</v>
      </c>
      <c r="Q365" s="225">
        <v>0</v>
      </c>
      <c r="R365" s="221">
        <v>75000</v>
      </c>
      <c r="S365" s="221">
        <v>0</v>
      </c>
      <c r="T365" s="221">
        <v>0</v>
      </c>
      <c r="U365" s="221">
        <v>0</v>
      </c>
      <c r="V365" s="221">
        <v>0</v>
      </c>
    </row>
    <row r="366" spans="1:24" ht="24" customHeight="1">
      <c r="A366" s="396" t="s">
        <v>1380</v>
      </c>
      <c r="B366" s="540"/>
      <c r="C366" s="540"/>
      <c r="D366" s="396" t="s">
        <v>1381</v>
      </c>
      <c r="E366" s="540"/>
      <c r="F366" s="540"/>
      <c r="G366" s="540"/>
      <c r="H366" s="540"/>
      <c r="I366" s="540"/>
      <c r="J366" s="540"/>
      <c r="K366" s="540"/>
      <c r="L366" s="218"/>
      <c r="M366" s="229"/>
      <c r="N366" s="340">
        <v>0</v>
      </c>
      <c r="O366" s="340">
        <v>0</v>
      </c>
      <c r="P366" s="225">
        <v>0</v>
      </c>
      <c r="Q366" s="225">
        <v>0</v>
      </c>
      <c r="R366" s="221">
        <v>50000</v>
      </c>
      <c r="S366" s="221">
        <v>0</v>
      </c>
      <c r="T366" s="221">
        <v>0</v>
      </c>
      <c r="U366" s="221">
        <v>0</v>
      </c>
      <c r="V366" s="221">
        <v>0</v>
      </c>
    </row>
    <row r="367" spans="1:24" ht="24" customHeight="1">
      <c r="A367" s="396" t="s">
        <v>1206</v>
      </c>
      <c r="B367" s="397"/>
      <c r="C367" s="397"/>
      <c r="D367" s="398" t="s">
        <v>1331</v>
      </c>
      <c r="E367" s="397"/>
      <c r="F367" s="397"/>
      <c r="G367" s="397"/>
      <c r="H367" s="397"/>
      <c r="I367" s="397"/>
      <c r="J367" s="397"/>
      <c r="K367" s="397"/>
      <c r="L367" s="218"/>
      <c r="M367" s="229"/>
      <c r="N367" s="340">
        <v>0</v>
      </c>
      <c r="O367" s="340">
        <v>0</v>
      </c>
      <c r="P367" s="225">
        <v>250000</v>
      </c>
      <c r="Q367" s="225">
        <v>250000</v>
      </c>
      <c r="R367" s="221">
        <v>275000</v>
      </c>
      <c r="S367" s="221">
        <f t="shared" ref="S367:T367" si="131">250000+50000</f>
        <v>300000</v>
      </c>
      <c r="T367" s="221">
        <f t="shared" si="131"/>
        <v>300000</v>
      </c>
      <c r="U367" s="221">
        <v>154000</v>
      </c>
      <c r="V367" s="221">
        <v>104000</v>
      </c>
    </row>
    <row r="368" spans="1:24" ht="24" customHeight="1">
      <c r="A368" s="396" t="s">
        <v>325</v>
      </c>
      <c r="B368" s="399"/>
      <c r="C368" s="399"/>
      <c r="D368" s="396" t="s">
        <v>326</v>
      </c>
      <c r="E368" s="399"/>
      <c r="F368" s="399"/>
      <c r="G368" s="399"/>
      <c r="H368" s="399"/>
      <c r="I368" s="399"/>
      <c r="J368" s="399"/>
      <c r="K368" s="399"/>
      <c r="L368" s="236"/>
      <c r="M368" s="229"/>
      <c r="N368" s="340">
        <v>875</v>
      </c>
      <c r="O368" s="340">
        <v>24271</v>
      </c>
      <c r="P368" s="225">
        <v>492000</v>
      </c>
      <c r="Q368" s="225">
        <v>492000</v>
      </c>
      <c r="R368" s="221">
        <v>0</v>
      </c>
      <c r="S368" s="221">
        <v>0</v>
      </c>
      <c r="T368" s="221">
        <v>0</v>
      </c>
      <c r="U368" s="221">
        <v>0</v>
      </c>
      <c r="V368" s="221">
        <v>0</v>
      </c>
      <c r="X368" s="213"/>
    </row>
    <row r="369" spans="1:25" ht="24" customHeight="1">
      <c r="A369" s="396" t="s">
        <v>327</v>
      </c>
      <c r="B369" s="399"/>
      <c r="C369" s="399"/>
      <c r="D369" s="396" t="s">
        <v>328</v>
      </c>
      <c r="E369" s="399"/>
      <c r="F369" s="399"/>
      <c r="G369" s="399"/>
      <c r="H369" s="399"/>
      <c r="I369" s="399"/>
      <c r="J369" s="399"/>
      <c r="K369" s="399"/>
      <c r="L369" s="611"/>
      <c r="M369" s="251"/>
      <c r="N369" s="340">
        <v>68086</v>
      </c>
      <c r="O369" s="340">
        <v>30000</v>
      </c>
      <c r="P369" s="225">
        <v>212500</v>
      </c>
      <c r="Q369" s="225">
        <v>212500</v>
      </c>
      <c r="R369" s="221">
        <v>0</v>
      </c>
      <c r="S369" s="221">
        <v>0</v>
      </c>
      <c r="T369" s="221">
        <v>0</v>
      </c>
      <c r="U369" s="221">
        <v>0</v>
      </c>
      <c r="V369" s="221">
        <v>0</v>
      </c>
      <c r="X369" s="213"/>
    </row>
    <row r="370" spans="1:25" ht="24" customHeight="1">
      <c r="A370" s="396" t="s">
        <v>792</v>
      </c>
      <c r="B370" s="399"/>
      <c r="C370" s="399"/>
      <c r="D370" s="396" t="s">
        <v>355</v>
      </c>
      <c r="E370" s="399"/>
      <c r="F370" s="399"/>
      <c r="G370" s="399"/>
      <c r="H370" s="399"/>
      <c r="I370" s="399"/>
      <c r="J370" s="399"/>
      <c r="K370" s="399"/>
      <c r="L370" s="236"/>
      <c r="M370" s="229"/>
      <c r="N370" s="340">
        <v>6825</v>
      </c>
      <c r="O370" s="340">
        <v>0</v>
      </c>
      <c r="P370" s="225">
        <v>0</v>
      </c>
      <c r="Q370" s="225">
        <v>0</v>
      </c>
      <c r="R370" s="221">
        <v>0</v>
      </c>
      <c r="S370" s="221">
        <v>0</v>
      </c>
      <c r="T370" s="221">
        <v>0</v>
      </c>
      <c r="U370" s="221">
        <v>0</v>
      </c>
      <c r="V370" s="221">
        <v>0</v>
      </c>
      <c r="X370" s="213"/>
    </row>
    <row r="371" spans="1:25" ht="24" customHeight="1">
      <c r="A371" s="396" t="s">
        <v>329</v>
      </c>
      <c r="B371" s="399"/>
      <c r="C371" s="399"/>
      <c r="D371" s="396" t="s">
        <v>330</v>
      </c>
      <c r="E371" s="399"/>
      <c r="F371" s="399"/>
      <c r="G371" s="399"/>
      <c r="H371" s="399"/>
      <c r="I371" s="399"/>
      <c r="J371" s="399"/>
      <c r="K371" s="399"/>
      <c r="L371" s="236"/>
      <c r="M371" s="229"/>
      <c r="N371" s="337">
        <v>0</v>
      </c>
      <c r="O371" s="337">
        <v>76652</v>
      </c>
      <c r="P371" s="212">
        <v>121900</v>
      </c>
      <c r="Q371" s="212">
        <v>121900</v>
      </c>
      <c r="R371" s="211">
        <v>73787</v>
      </c>
      <c r="S371" s="211">
        <v>73787</v>
      </c>
      <c r="T371" s="211">
        <v>73787</v>
      </c>
      <c r="U371" s="211">
        <v>73787</v>
      </c>
      <c r="V371" s="211">
        <v>73787</v>
      </c>
      <c r="W371" s="517"/>
      <c r="X371" s="293"/>
      <c r="Y371" s="251"/>
    </row>
    <row r="372" spans="1:25" ht="24" customHeight="1">
      <c r="A372" s="396" t="s">
        <v>1207</v>
      </c>
      <c r="B372" s="399"/>
      <c r="C372" s="399"/>
      <c r="D372" s="396" t="s">
        <v>1208</v>
      </c>
      <c r="E372" s="399"/>
      <c r="F372" s="399"/>
      <c r="G372" s="399"/>
      <c r="H372" s="399"/>
      <c r="I372" s="399"/>
      <c r="J372" s="399"/>
      <c r="K372" s="399"/>
      <c r="L372" s="236"/>
      <c r="M372" s="229"/>
      <c r="N372" s="344">
        <v>0</v>
      </c>
      <c r="O372" s="344">
        <v>0</v>
      </c>
      <c r="P372" s="252">
        <v>35000</v>
      </c>
      <c r="Q372" s="252">
        <v>35000</v>
      </c>
      <c r="R372" s="233">
        <v>100000</v>
      </c>
      <c r="S372" s="233">
        <v>0</v>
      </c>
      <c r="T372" s="233">
        <v>0</v>
      </c>
      <c r="U372" s="233">
        <v>0</v>
      </c>
      <c r="V372" s="233">
        <v>0</v>
      </c>
      <c r="W372" s="517"/>
      <c r="X372" s="293"/>
      <c r="Y372" s="251"/>
    </row>
    <row r="373" spans="1:25" ht="15" customHeight="1">
      <c r="A373" s="396"/>
      <c r="B373" s="328"/>
      <c r="C373" s="328"/>
      <c r="D373" s="396"/>
      <c r="E373" s="328"/>
      <c r="F373" s="328"/>
      <c r="G373" s="328"/>
      <c r="H373" s="328"/>
      <c r="I373" s="328"/>
      <c r="J373" s="328"/>
      <c r="K373" s="328"/>
      <c r="L373" s="236"/>
      <c r="M373" s="229"/>
      <c r="N373" s="337"/>
      <c r="O373" s="337"/>
      <c r="P373" s="212"/>
      <c r="Q373" s="212"/>
      <c r="R373" s="211"/>
      <c r="S373" s="211"/>
      <c r="T373" s="211"/>
      <c r="U373" s="211"/>
      <c r="V373" s="211"/>
    </row>
    <row r="374" spans="1:25" s="328" customFormat="1" ht="24" customHeight="1">
      <c r="K374" s="400" t="s">
        <v>659</v>
      </c>
      <c r="L374" s="422"/>
      <c r="M374" s="442"/>
      <c r="N374" s="365">
        <f t="shared" ref="N374:V374" si="132">SUM(N357:N373)</f>
        <v>276141</v>
      </c>
      <c r="O374" s="365">
        <f t="shared" si="132"/>
        <v>281196</v>
      </c>
      <c r="P374" s="366">
        <f t="shared" si="132"/>
        <v>1429456</v>
      </c>
      <c r="Q374" s="366">
        <f t="shared" si="132"/>
        <v>1278456</v>
      </c>
      <c r="R374" s="365">
        <f t="shared" si="132"/>
        <v>863499</v>
      </c>
      <c r="S374" s="365">
        <f t="shared" si="132"/>
        <v>679465</v>
      </c>
      <c r="T374" s="365">
        <f t="shared" si="132"/>
        <v>696449</v>
      </c>
      <c r="U374" s="365">
        <f t="shared" si="132"/>
        <v>568521</v>
      </c>
      <c r="V374" s="365">
        <f t="shared" si="132"/>
        <v>522598</v>
      </c>
      <c r="W374" s="640"/>
    </row>
    <row r="375" spans="1:25" s="328" customFormat="1" ht="15" customHeight="1">
      <c r="L375" s="424"/>
      <c r="M375" s="422"/>
      <c r="N375" s="365"/>
      <c r="O375" s="365"/>
      <c r="P375" s="366"/>
      <c r="Q375" s="366"/>
      <c r="R375" s="365"/>
      <c r="S375" s="365"/>
      <c r="T375" s="365"/>
      <c r="U375" s="365"/>
      <c r="V375" s="365"/>
      <c r="W375" s="640"/>
    </row>
    <row r="376" spans="1:25" s="328" customFormat="1" ht="24" customHeight="1">
      <c r="K376" s="400" t="s">
        <v>660</v>
      </c>
      <c r="L376" s="422"/>
      <c r="M376" s="422"/>
      <c r="N376" s="365">
        <f t="shared" ref="N376:V376" si="133">N355-N374</f>
        <v>284457</v>
      </c>
      <c r="O376" s="365">
        <f t="shared" si="133"/>
        <v>237647</v>
      </c>
      <c r="P376" s="366">
        <f t="shared" si="133"/>
        <v>-485456</v>
      </c>
      <c r="Q376" s="366">
        <f t="shared" si="133"/>
        <v>-161660</v>
      </c>
      <c r="R376" s="365">
        <f t="shared" si="133"/>
        <v>-380499</v>
      </c>
      <c r="S376" s="365">
        <f t="shared" si="133"/>
        <v>-236465</v>
      </c>
      <c r="T376" s="365">
        <f t="shared" si="133"/>
        <v>-253449</v>
      </c>
      <c r="U376" s="365">
        <f t="shared" si="133"/>
        <v>-125521</v>
      </c>
      <c r="V376" s="365">
        <f t="shared" si="133"/>
        <v>-79598</v>
      </c>
      <c r="W376" s="640"/>
    </row>
    <row r="377" spans="1:25" s="328" customFormat="1" ht="15" customHeight="1">
      <c r="L377" s="424"/>
      <c r="M377" s="422"/>
      <c r="N377" s="365"/>
      <c r="O377" s="365"/>
      <c r="P377" s="366"/>
      <c r="Q377" s="366"/>
      <c r="R377" s="365"/>
      <c r="S377" s="365"/>
      <c r="T377" s="365"/>
      <c r="U377" s="365"/>
      <c r="V377" s="365"/>
      <c r="W377" s="640"/>
    </row>
    <row r="378" spans="1:25" s="328" customFormat="1" ht="24" customHeight="1">
      <c r="K378" s="405" t="s">
        <v>662</v>
      </c>
      <c r="L378" s="422"/>
      <c r="M378" s="422"/>
      <c r="N378" s="365">
        <v>924857</v>
      </c>
      <c r="O378" s="365">
        <v>1162506</v>
      </c>
      <c r="P378" s="366">
        <v>605132</v>
      </c>
      <c r="Q378" s="366">
        <f>O378+Q376</f>
        <v>1000846</v>
      </c>
      <c r="R378" s="365">
        <f>Q378+R376</f>
        <v>620347</v>
      </c>
      <c r="S378" s="365">
        <f>R378+S376</f>
        <v>383882</v>
      </c>
      <c r="T378" s="365">
        <f>S378+T376</f>
        <v>130433</v>
      </c>
      <c r="U378" s="365">
        <f>T378+U376</f>
        <v>4912</v>
      </c>
      <c r="V378" s="365">
        <f>U378+V376</f>
        <v>-74686</v>
      </c>
      <c r="W378" s="640"/>
    </row>
    <row r="379" spans="1:25" ht="15" customHeight="1">
      <c r="A379" s="328"/>
      <c r="B379" s="328"/>
      <c r="C379" s="328"/>
      <c r="D379" s="328"/>
      <c r="E379" s="328"/>
      <c r="F379" s="328"/>
      <c r="G379" s="328"/>
      <c r="H379" s="328"/>
      <c r="I379" s="328"/>
      <c r="J379" s="328"/>
      <c r="K379" s="328"/>
      <c r="L379" s="209"/>
      <c r="M379" s="240"/>
      <c r="N379" s="620"/>
      <c r="O379" s="620"/>
      <c r="P379" s="624"/>
      <c r="Q379" s="624"/>
      <c r="R379" s="625"/>
      <c r="S379" s="625"/>
      <c r="T379" s="625"/>
      <c r="U379" s="625"/>
      <c r="V379" s="625"/>
    </row>
    <row r="380" spans="1:25" ht="24" customHeight="1">
      <c r="A380" s="407" t="s">
        <v>677</v>
      </c>
      <c r="B380" s="328"/>
      <c r="C380" s="328"/>
      <c r="D380" s="328"/>
      <c r="E380" s="328"/>
      <c r="F380" s="328"/>
      <c r="G380" s="328"/>
      <c r="H380" s="328"/>
      <c r="I380" s="328"/>
      <c r="J380" s="328"/>
      <c r="K380" s="328"/>
      <c r="L380" s="209"/>
      <c r="M380" s="240"/>
      <c r="N380" s="620"/>
      <c r="O380" s="620"/>
      <c r="P380" s="624"/>
      <c r="Q380" s="624"/>
      <c r="R380" s="625"/>
      <c r="S380" s="625"/>
      <c r="T380" s="625"/>
      <c r="U380" s="625"/>
      <c r="V380" s="625"/>
    </row>
    <row r="381" spans="1:25" ht="15" customHeight="1">
      <c r="A381" s="328"/>
      <c r="B381" s="328"/>
      <c r="C381" s="328"/>
      <c r="D381" s="328"/>
      <c r="E381" s="328"/>
      <c r="F381" s="328"/>
      <c r="G381" s="328"/>
      <c r="H381" s="328"/>
      <c r="I381" s="328"/>
      <c r="J381" s="328"/>
      <c r="K381" s="328"/>
      <c r="L381" s="209"/>
      <c r="M381" s="240"/>
      <c r="N381" s="620"/>
      <c r="O381" s="620"/>
      <c r="P381" s="624"/>
      <c r="Q381" s="624"/>
      <c r="R381" s="625"/>
      <c r="S381" s="625"/>
      <c r="T381" s="625"/>
      <c r="U381" s="625"/>
      <c r="V381" s="625"/>
    </row>
    <row r="382" spans="1:25" ht="24" customHeight="1">
      <c r="A382" s="396" t="s">
        <v>331</v>
      </c>
      <c r="B382" s="397"/>
      <c r="C382" s="397"/>
      <c r="D382" s="396" t="s">
        <v>59</v>
      </c>
      <c r="E382" s="613"/>
      <c r="F382" s="613"/>
      <c r="G382" s="613"/>
      <c r="H382" s="614"/>
      <c r="I382" s="614"/>
      <c r="J382" s="614"/>
      <c r="K382" s="614"/>
      <c r="L382" s="209"/>
      <c r="M382" s="229"/>
      <c r="N382" s="337">
        <v>7650</v>
      </c>
      <c r="O382" s="337">
        <v>7759</v>
      </c>
      <c r="P382" s="212">
        <v>0</v>
      </c>
      <c r="Q382" s="212">
        <v>0</v>
      </c>
      <c r="R382" s="211">
        <v>0</v>
      </c>
      <c r="S382" s="211">
        <v>0</v>
      </c>
      <c r="T382" s="211">
        <v>0</v>
      </c>
      <c r="U382" s="211">
        <v>0</v>
      </c>
      <c r="V382" s="211">
        <v>0</v>
      </c>
      <c r="X382" s="217"/>
    </row>
    <row r="383" spans="1:25" ht="24" customHeight="1">
      <c r="A383" s="396" t="s">
        <v>1044</v>
      </c>
      <c r="B383" s="397"/>
      <c r="C383" s="397"/>
      <c r="D383" s="396" t="s">
        <v>1078</v>
      </c>
      <c r="E383" s="397"/>
      <c r="F383" s="397"/>
      <c r="G383" s="397"/>
      <c r="H383" s="328"/>
      <c r="I383" s="328"/>
      <c r="J383" s="328"/>
      <c r="K383" s="328"/>
      <c r="L383" s="209"/>
      <c r="M383" s="229"/>
      <c r="N383" s="337">
        <v>750</v>
      </c>
      <c r="O383" s="337">
        <v>5100</v>
      </c>
      <c r="P383" s="212">
        <v>0</v>
      </c>
      <c r="Q383" s="212">
        <v>0</v>
      </c>
      <c r="R383" s="211">
        <v>0</v>
      </c>
      <c r="S383" s="211">
        <v>0</v>
      </c>
      <c r="T383" s="211">
        <v>0</v>
      </c>
      <c r="U383" s="211">
        <v>0</v>
      </c>
      <c r="V383" s="211">
        <v>0</v>
      </c>
      <c r="X383" s="213"/>
    </row>
    <row r="384" spans="1:25" ht="24" customHeight="1">
      <c r="A384" s="396" t="s">
        <v>1122</v>
      </c>
      <c r="B384" s="397"/>
      <c r="C384" s="397"/>
      <c r="D384" s="396" t="s">
        <v>313</v>
      </c>
      <c r="E384" s="397"/>
      <c r="F384" s="397"/>
      <c r="G384" s="397"/>
      <c r="H384" s="328"/>
      <c r="I384" s="328"/>
      <c r="J384" s="328"/>
      <c r="K384" s="328"/>
      <c r="L384" s="209"/>
      <c r="M384" s="271"/>
      <c r="N384" s="345">
        <v>0</v>
      </c>
      <c r="O384" s="345">
        <v>0</v>
      </c>
      <c r="P384" s="235">
        <v>573374</v>
      </c>
      <c r="Q384" s="235">
        <v>571615</v>
      </c>
      <c r="R384" s="234">
        <f>R291</f>
        <v>0</v>
      </c>
      <c r="S384" s="234">
        <f>S291</f>
        <v>0</v>
      </c>
      <c r="T384" s="234">
        <f>T291</f>
        <v>0</v>
      </c>
      <c r="U384" s="234">
        <f>U291</f>
        <v>0</v>
      </c>
      <c r="V384" s="234">
        <f>V291</f>
        <v>0</v>
      </c>
      <c r="X384" s="213"/>
    </row>
    <row r="385" spans="1:24" ht="15" customHeight="1">
      <c r="A385" s="396"/>
      <c r="B385" s="397"/>
      <c r="C385" s="397"/>
      <c r="D385" s="396"/>
      <c r="E385" s="397"/>
      <c r="F385" s="397"/>
      <c r="G385" s="397"/>
      <c r="H385" s="328"/>
      <c r="I385" s="328"/>
      <c r="J385" s="328"/>
      <c r="K385" s="328"/>
      <c r="L385" s="209"/>
      <c r="M385" s="229"/>
      <c r="N385" s="337"/>
      <c r="O385" s="337"/>
      <c r="P385" s="212"/>
      <c r="Q385" s="212"/>
      <c r="R385" s="211"/>
      <c r="S385" s="211"/>
      <c r="T385" s="211"/>
      <c r="U385" s="211"/>
      <c r="V385" s="211"/>
    </row>
    <row r="386" spans="1:24" s="328" customFormat="1" ht="24" customHeight="1">
      <c r="K386" s="400" t="s">
        <v>656</v>
      </c>
      <c r="L386" s="422"/>
      <c r="M386" s="441"/>
      <c r="N386" s="348">
        <f t="shared" ref="N386" si="134">N382+N383+N384</f>
        <v>8400</v>
      </c>
      <c r="O386" s="348">
        <f t="shared" ref="O386:V386" si="135">O382+O383+O384</f>
        <v>12859</v>
      </c>
      <c r="P386" s="349">
        <f t="shared" ref="P386" si="136">P382+P383+P384</f>
        <v>573374</v>
      </c>
      <c r="Q386" s="349">
        <f t="shared" si="135"/>
        <v>571615</v>
      </c>
      <c r="R386" s="348">
        <f t="shared" ref="R386:U386" si="137">R382+R383+R384</f>
        <v>0</v>
      </c>
      <c r="S386" s="348">
        <f t="shared" si="137"/>
        <v>0</v>
      </c>
      <c r="T386" s="348">
        <f t="shared" si="137"/>
        <v>0</v>
      </c>
      <c r="U386" s="348">
        <f t="shared" si="137"/>
        <v>0</v>
      </c>
      <c r="V386" s="348">
        <f t="shared" si="135"/>
        <v>0</v>
      </c>
      <c r="W386" s="640"/>
    </row>
    <row r="387" spans="1:24" ht="15" customHeight="1">
      <c r="A387" s="328"/>
      <c r="B387" s="328"/>
      <c r="C387" s="328"/>
      <c r="D387" s="328"/>
      <c r="E387" s="328"/>
      <c r="F387" s="328"/>
      <c r="G387" s="328"/>
      <c r="H387" s="328"/>
      <c r="I387" s="328"/>
      <c r="J387" s="328"/>
      <c r="K387" s="400"/>
      <c r="L387" s="240"/>
      <c r="M387" s="292"/>
      <c r="N387" s="348"/>
      <c r="O387" s="348"/>
      <c r="P387" s="243"/>
      <c r="Q387" s="243"/>
      <c r="R387" s="242"/>
      <c r="S387" s="242"/>
      <c r="T387" s="242"/>
      <c r="U387" s="242"/>
      <c r="V387" s="242"/>
    </row>
    <row r="388" spans="1:24" ht="24" customHeight="1">
      <c r="A388" s="396" t="s">
        <v>1046</v>
      </c>
      <c r="B388" s="328"/>
      <c r="C388" s="328"/>
      <c r="D388" s="328" t="s">
        <v>1045</v>
      </c>
      <c r="E388" s="328"/>
      <c r="F388" s="328"/>
      <c r="G388" s="328"/>
      <c r="H388" s="328"/>
      <c r="I388" s="328"/>
      <c r="J388" s="328"/>
      <c r="K388" s="400"/>
      <c r="L388" s="294"/>
      <c r="M388" s="295"/>
      <c r="N388" s="370">
        <v>750</v>
      </c>
      <c r="O388" s="370">
        <v>5100</v>
      </c>
      <c r="P388" s="297">
        <v>0</v>
      </c>
      <c r="Q388" s="297">
        <f>Q383</f>
        <v>0</v>
      </c>
      <c r="R388" s="296">
        <f t="shared" ref="R388:U388" si="138">R383</f>
        <v>0</v>
      </c>
      <c r="S388" s="296">
        <f t="shared" si="138"/>
        <v>0</v>
      </c>
      <c r="T388" s="296">
        <f t="shared" si="138"/>
        <v>0</v>
      </c>
      <c r="U388" s="296">
        <f t="shared" si="138"/>
        <v>0</v>
      </c>
      <c r="V388" s="296">
        <f t="shared" ref="V388" si="139">V383</f>
        <v>0</v>
      </c>
      <c r="X388" s="213"/>
    </row>
    <row r="389" spans="1:24" ht="15" customHeight="1">
      <c r="A389" s="396"/>
      <c r="B389" s="328"/>
      <c r="C389" s="328"/>
      <c r="D389" s="328"/>
      <c r="E389" s="328"/>
      <c r="F389" s="328"/>
      <c r="G389" s="328"/>
      <c r="H389" s="328"/>
      <c r="I389" s="328"/>
      <c r="J389" s="328"/>
      <c r="K389" s="400"/>
      <c r="L389" s="240"/>
      <c r="M389" s="229"/>
      <c r="N389" s="337"/>
      <c r="O389" s="337"/>
      <c r="P389" s="212"/>
      <c r="Q389" s="212"/>
      <c r="R389" s="211"/>
      <c r="S389" s="211"/>
      <c r="T389" s="211"/>
      <c r="U389" s="211"/>
      <c r="V389" s="211"/>
    </row>
    <row r="390" spans="1:24" s="328" customFormat="1" ht="24" customHeight="1">
      <c r="K390" s="400" t="s">
        <v>659</v>
      </c>
      <c r="L390" s="422"/>
      <c r="M390" s="422"/>
      <c r="N390" s="365">
        <f t="shared" ref="N390" si="140">N388</f>
        <v>750</v>
      </c>
      <c r="O390" s="365">
        <f t="shared" ref="O390:V390" si="141">O388</f>
        <v>5100</v>
      </c>
      <c r="P390" s="366">
        <f t="shared" ref="P390" si="142">P388</f>
        <v>0</v>
      </c>
      <c r="Q390" s="366">
        <f t="shared" si="141"/>
        <v>0</v>
      </c>
      <c r="R390" s="365">
        <f t="shared" ref="R390:U390" si="143">R388</f>
        <v>0</v>
      </c>
      <c r="S390" s="365">
        <f t="shared" si="143"/>
        <v>0</v>
      </c>
      <c r="T390" s="365">
        <f t="shared" si="143"/>
        <v>0</v>
      </c>
      <c r="U390" s="365">
        <f t="shared" si="143"/>
        <v>0</v>
      </c>
      <c r="V390" s="365">
        <f t="shared" si="141"/>
        <v>0</v>
      </c>
      <c r="W390" s="640"/>
    </row>
    <row r="391" spans="1:24" s="328" customFormat="1" ht="15" customHeight="1">
      <c r="K391" s="400"/>
      <c r="L391" s="422"/>
      <c r="M391" s="422"/>
      <c r="N391" s="365"/>
      <c r="O391" s="365"/>
      <c r="P391" s="366"/>
      <c r="Q391" s="366"/>
      <c r="R391" s="365"/>
      <c r="S391" s="365"/>
      <c r="T391" s="365"/>
      <c r="U391" s="365"/>
      <c r="V391" s="365"/>
      <c r="W391" s="640"/>
    </row>
    <row r="392" spans="1:24" s="328" customFormat="1" ht="24" customHeight="1">
      <c r="K392" s="400" t="s">
        <v>660</v>
      </c>
      <c r="L392" s="422"/>
      <c r="M392" s="422"/>
      <c r="N392" s="365">
        <f t="shared" ref="N392" si="144">N386-N390</f>
        <v>7650</v>
      </c>
      <c r="O392" s="365">
        <f t="shared" ref="O392:V392" si="145">O386-O390</f>
        <v>7759</v>
      </c>
      <c r="P392" s="366">
        <f t="shared" ref="P392" si="146">P386-P390</f>
        <v>573374</v>
      </c>
      <c r="Q392" s="366">
        <f t="shared" ref="Q392:U392" si="147">Q386-Q390</f>
        <v>571615</v>
      </c>
      <c r="R392" s="365">
        <f t="shared" si="147"/>
        <v>0</v>
      </c>
      <c r="S392" s="365">
        <f t="shared" si="147"/>
        <v>0</v>
      </c>
      <c r="T392" s="365">
        <f t="shared" si="147"/>
        <v>0</v>
      </c>
      <c r="U392" s="365">
        <f t="shared" si="147"/>
        <v>0</v>
      </c>
      <c r="V392" s="365">
        <f t="shared" si="145"/>
        <v>0</v>
      </c>
      <c r="W392" s="640"/>
    </row>
    <row r="393" spans="1:24" s="328" customFormat="1" ht="15" customHeight="1">
      <c r="L393" s="424"/>
      <c r="M393" s="422"/>
      <c r="N393" s="365"/>
      <c r="O393" s="365"/>
      <c r="P393" s="366"/>
      <c r="Q393" s="366"/>
      <c r="R393" s="365"/>
      <c r="S393" s="365"/>
      <c r="T393" s="365"/>
      <c r="U393" s="365"/>
      <c r="V393" s="365"/>
      <c r="W393" s="640"/>
    </row>
    <row r="394" spans="1:24" s="328" customFormat="1" ht="24" customHeight="1">
      <c r="K394" s="405" t="s">
        <v>662</v>
      </c>
      <c r="L394" s="422"/>
      <c r="M394" s="422"/>
      <c r="N394" s="365">
        <v>-579374</v>
      </c>
      <c r="O394" s="365">
        <v>-571615</v>
      </c>
      <c r="P394" s="366">
        <v>0</v>
      </c>
      <c r="Q394" s="366">
        <f>O394+Q392</f>
        <v>0</v>
      </c>
      <c r="R394" s="365">
        <v>0</v>
      </c>
      <c r="S394" s="365">
        <v>0</v>
      </c>
      <c r="T394" s="365">
        <v>0</v>
      </c>
      <c r="U394" s="365">
        <v>0</v>
      </c>
      <c r="V394" s="365">
        <v>0</v>
      </c>
      <c r="W394" s="640"/>
    </row>
    <row r="395" spans="1:24" ht="15" customHeight="1">
      <c r="A395" s="328"/>
      <c r="B395" s="328"/>
      <c r="C395" s="328"/>
      <c r="D395" s="328"/>
      <c r="E395" s="328"/>
      <c r="F395" s="328"/>
      <c r="G395" s="328"/>
      <c r="H395" s="328"/>
      <c r="I395" s="328"/>
      <c r="J395" s="328"/>
      <c r="K395" s="328"/>
      <c r="L395" s="209"/>
      <c r="M395" s="240"/>
      <c r="N395" s="620"/>
      <c r="O395" s="620"/>
      <c r="P395" s="624"/>
      <c r="Q395" s="624"/>
      <c r="R395" s="625"/>
      <c r="S395" s="625"/>
      <c r="T395" s="625"/>
      <c r="U395" s="625"/>
      <c r="V395" s="625"/>
    </row>
    <row r="396" spans="1:24" ht="24" customHeight="1">
      <c r="A396" s="407" t="s">
        <v>678</v>
      </c>
      <c r="B396" s="328"/>
      <c r="C396" s="328"/>
      <c r="D396" s="328"/>
      <c r="E396" s="328"/>
      <c r="F396" s="328"/>
      <c r="G396" s="328"/>
      <c r="H396" s="328"/>
      <c r="I396" s="328"/>
      <c r="J396" s="328"/>
      <c r="K396" s="328"/>
      <c r="L396" s="209"/>
      <c r="N396" s="394"/>
      <c r="O396" s="394"/>
      <c r="P396" s="618"/>
      <c r="Q396" s="618"/>
      <c r="R396" s="619"/>
      <c r="S396" s="619"/>
      <c r="T396" s="619"/>
      <c r="U396" s="619"/>
      <c r="V396" s="619"/>
    </row>
    <row r="397" spans="1:24" ht="15" customHeight="1">
      <c r="A397" s="328"/>
      <c r="B397" s="328"/>
      <c r="C397" s="328"/>
      <c r="D397" s="328"/>
      <c r="E397" s="328"/>
      <c r="F397" s="328"/>
      <c r="G397" s="328"/>
      <c r="H397" s="328"/>
      <c r="I397" s="328"/>
      <c r="J397" s="328"/>
      <c r="K397" s="328"/>
      <c r="L397" s="209"/>
      <c r="N397" s="394"/>
      <c r="O397" s="394"/>
      <c r="P397" s="618"/>
      <c r="Q397" s="618"/>
      <c r="R397" s="619"/>
      <c r="S397" s="619"/>
      <c r="T397" s="619"/>
      <c r="U397" s="619"/>
      <c r="V397" s="619"/>
    </row>
    <row r="398" spans="1:24" ht="24" customHeight="1">
      <c r="A398" s="396" t="s">
        <v>1414</v>
      </c>
      <c r="B398" s="558"/>
      <c r="C398" s="558"/>
      <c r="D398" s="396" t="s">
        <v>1449</v>
      </c>
      <c r="E398" s="641"/>
      <c r="F398" s="641"/>
      <c r="G398" s="641"/>
      <c r="H398" s="641"/>
      <c r="I398" s="641"/>
      <c r="J398" s="641"/>
      <c r="K398" s="641"/>
      <c r="L398" s="209"/>
      <c r="M398" s="298"/>
      <c r="N398" s="360">
        <v>0</v>
      </c>
      <c r="O398" s="360">
        <v>0</v>
      </c>
      <c r="P398" s="269">
        <v>0</v>
      </c>
      <c r="Q398" s="269">
        <v>0</v>
      </c>
      <c r="R398" s="249">
        <f>ROUND(40000*0.8,0)</f>
        <v>32000</v>
      </c>
      <c r="S398" s="249">
        <f>ROUND(40000*0.8,0)</f>
        <v>32000</v>
      </c>
      <c r="T398" s="249">
        <v>0</v>
      </c>
      <c r="U398" s="249">
        <v>0</v>
      </c>
      <c r="V398" s="249">
        <v>0</v>
      </c>
    </row>
    <row r="399" spans="1:24" ht="24" customHeight="1">
      <c r="A399" s="396" t="s">
        <v>1447</v>
      </c>
      <c r="B399" s="485"/>
      <c r="C399" s="485"/>
      <c r="D399" s="396" t="s">
        <v>1448</v>
      </c>
      <c r="E399" s="610"/>
      <c r="F399" s="610"/>
      <c r="G399" s="610"/>
      <c r="H399" s="610"/>
      <c r="I399" s="610"/>
      <c r="J399" s="610"/>
      <c r="K399" s="610"/>
      <c r="L399" s="209"/>
      <c r="M399" s="298"/>
      <c r="N399" s="360">
        <v>0</v>
      </c>
      <c r="O399" s="360">
        <v>61635</v>
      </c>
      <c r="P399" s="269">
        <v>0</v>
      </c>
      <c r="Q399" s="269">
        <f>98365</f>
        <v>98365</v>
      </c>
      <c r="R399" s="221">
        <v>0</v>
      </c>
      <c r="S399" s="221">
        <v>0</v>
      </c>
      <c r="T399" s="221">
        <v>0</v>
      </c>
      <c r="U399" s="221">
        <v>0</v>
      </c>
      <c r="V399" s="221">
        <v>0</v>
      </c>
    </row>
    <row r="400" spans="1:24" ht="24" customHeight="1">
      <c r="A400" s="396" t="s">
        <v>822</v>
      </c>
      <c r="B400" s="397"/>
      <c r="C400" s="397"/>
      <c r="D400" s="396" t="s">
        <v>1452</v>
      </c>
      <c r="E400" s="610"/>
      <c r="F400" s="610"/>
      <c r="G400" s="610"/>
      <c r="H400" s="610"/>
      <c r="I400" s="610"/>
      <c r="J400" s="610"/>
      <c r="K400" s="610"/>
      <c r="L400" s="209"/>
      <c r="M400" s="298"/>
      <c r="N400" s="360">
        <v>0</v>
      </c>
      <c r="O400" s="360">
        <v>0</v>
      </c>
      <c r="P400" s="269">
        <v>280000</v>
      </c>
      <c r="Q400" s="269">
        <v>280000</v>
      </c>
      <c r="R400" s="221">
        <v>0</v>
      </c>
      <c r="S400" s="221">
        <v>0</v>
      </c>
      <c r="T400" s="221">
        <v>0</v>
      </c>
      <c r="U400" s="221">
        <v>0</v>
      </c>
      <c r="V400" s="221">
        <v>0</v>
      </c>
    </row>
    <row r="401" spans="1:29" ht="24" customHeight="1">
      <c r="A401" s="396" t="s">
        <v>870</v>
      </c>
      <c r="B401" s="397"/>
      <c r="C401" s="397"/>
      <c r="D401" s="396" t="s">
        <v>1512</v>
      </c>
      <c r="E401" s="693"/>
      <c r="F401" s="693"/>
      <c r="G401" s="693"/>
      <c r="H401" s="693"/>
      <c r="I401" s="693"/>
      <c r="J401" s="693"/>
      <c r="K401" s="693"/>
      <c r="L401" s="209"/>
      <c r="M401" s="298"/>
      <c r="N401" s="360">
        <v>0</v>
      </c>
      <c r="O401" s="360">
        <v>0</v>
      </c>
      <c r="P401" s="269">
        <v>47600</v>
      </c>
      <c r="Q401" s="269">
        <f>ROUND(59500*0.8,0)</f>
        <v>47600</v>
      </c>
      <c r="R401" s="221">
        <f>ROUND(83700*0.8,0)+(14000*0.5)</f>
        <v>73960</v>
      </c>
      <c r="S401" s="221">
        <f>ROUND(14000*0.5,0)</f>
        <v>7000</v>
      </c>
      <c r="T401" s="221">
        <f>ROUND(142700*0.8,0)</f>
        <v>114160</v>
      </c>
      <c r="U401" s="221">
        <f>ROUND(15900*0.8,0)</f>
        <v>12720</v>
      </c>
      <c r="V401" s="221">
        <v>0</v>
      </c>
      <c r="X401" s="213"/>
    </row>
    <row r="402" spans="1:29" ht="24" customHeight="1">
      <c r="A402" s="396" t="s">
        <v>341</v>
      </c>
      <c r="B402" s="397"/>
      <c r="C402" s="397"/>
      <c r="D402" s="396" t="s">
        <v>51</v>
      </c>
      <c r="E402" s="607"/>
      <c r="F402" s="608"/>
      <c r="G402" s="399"/>
      <c r="H402" s="399"/>
      <c r="I402" s="399"/>
      <c r="J402" s="399"/>
      <c r="K402" s="399"/>
      <c r="L402" s="236"/>
      <c r="M402" s="298"/>
      <c r="N402" s="337">
        <v>30993</v>
      </c>
      <c r="O402" s="337">
        <v>10660</v>
      </c>
      <c r="P402" s="250">
        <v>0</v>
      </c>
      <c r="Q402" s="250">
        <v>0</v>
      </c>
      <c r="R402" s="249">
        <v>0</v>
      </c>
      <c r="S402" s="249">
        <v>0</v>
      </c>
      <c r="T402" s="249">
        <v>0</v>
      </c>
      <c r="U402" s="249">
        <v>0</v>
      </c>
      <c r="V402" s="249">
        <v>0</v>
      </c>
    </row>
    <row r="403" spans="1:29" ht="24" customHeight="1">
      <c r="A403" s="396" t="s">
        <v>342</v>
      </c>
      <c r="B403" s="397"/>
      <c r="C403" s="397"/>
      <c r="D403" s="396" t="s">
        <v>343</v>
      </c>
      <c r="E403" s="397"/>
      <c r="F403" s="328"/>
      <c r="G403" s="328"/>
      <c r="H403" s="328"/>
      <c r="I403" s="328"/>
      <c r="J403" s="328"/>
      <c r="K403" s="328"/>
      <c r="L403" s="209"/>
      <c r="M403" s="298"/>
      <c r="N403" s="352">
        <v>4700</v>
      </c>
      <c r="O403" s="352">
        <v>0</v>
      </c>
      <c r="P403" s="250">
        <v>0</v>
      </c>
      <c r="Q403" s="250">
        <v>0</v>
      </c>
      <c r="R403" s="249">
        <v>0</v>
      </c>
      <c r="S403" s="249">
        <v>0</v>
      </c>
      <c r="T403" s="249">
        <v>0</v>
      </c>
      <c r="U403" s="249">
        <v>0</v>
      </c>
      <c r="V403" s="249">
        <v>0</v>
      </c>
    </row>
    <row r="404" spans="1:29" ht="24" customHeight="1">
      <c r="A404" s="396" t="s">
        <v>344</v>
      </c>
      <c r="B404" s="397"/>
      <c r="C404" s="397"/>
      <c r="D404" s="396" t="s">
        <v>1462</v>
      </c>
      <c r="E404" s="397"/>
      <c r="F404" s="328"/>
      <c r="G404" s="328"/>
      <c r="H404" s="328"/>
      <c r="I404" s="328"/>
      <c r="J404" s="328"/>
      <c r="K404" s="328"/>
      <c r="L404" s="209"/>
      <c r="M404" s="298"/>
      <c r="N404" s="352">
        <v>7944</v>
      </c>
      <c r="O404" s="352">
        <v>3135</v>
      </c>
      <c r="P404" s="250">
        <v>5000</v>
      </c>
      <c r="Q404" s="250">
        <v>5000</v>
      </c>
      <c r="R404" s="249">
        <v>5000</v>
      </c>
      <c r="S404" s="249">
        <v>5000</v>
      </c>
      <c r="T404" s="249">
        <v>5000</v>
      </c>
      <c r="U404" s="249">
        <v>5000</v>
      </c>
      <c r="V404" s="249">
        <v>5000</v>
      </c>
      <c r="X404" s="657"/>
      <c r="Y404" s="739"/>
      <c r="Z404" s="739"/>
      <c r="AA404" s="739"/>
      <c r="AB404" s="739"/>
      <c r="AC404" s="739"/>
    </row>
    <row r="405" spans="1:29" ht="24" customHeight="1">
      <c r="A405" s="396" t="s">
        <v>1077</v>
      </c>
      <c r="B405" s="397"/>
      <c r="C405" s="397"/>
      <c r="D405" s="396" t="s">
        <v>1078</v>
      </c>
      <c r="E405" s="397"/>
      <c r="F405" s="328"/>
      <c r="G405" s="328"/>
      <c r="H405" s="328"/>
      <c r="I405" s="328"/>
      <c r="J405" s="328"/>
      <c r="K405" s="328"/>
      <c r="L405" s="209"/>
      <c r="M405" s="298"/>
      <c r="N405" s="352">
        <v>14780</v>
      </c>
      <c r="O405" s="352">
        <v>80880</v>
      </c>
      <c r="P405" s="250">
        <v>0</v>
      </c>
      <c r="Q405" s="250">
        <v>0</v>
      </c>
      <c r="R405" s="249">
        <v>0</v>
      </c>
      <c r="S405" s="249">
        <v>0</v>
      </c>
      <c r="T405" s="249">
        <v>0</v>
      </c>
      <c r="U405" s="249">
        <v>0</v>
      </c>
      <c r="V405" s="249">
        <v>0</v>
      </c>
      <c r="X405" s="657"/>
      <c r="Y405" s="702"/>
      <c r="Z405" s="702"/>
      <c r="AA405" s="702"/>
      <c r="AB405" s="702"/>
      <c r="AC405" s="702"/>
    </row>
    <row r="406" spans="1:29" ht="24" customHeight="1">
      <c r="A406" s="396" t="s">
        <v>1125</v>
      </c>
      <c r="B406" s="397"/>
      <c r="C406" s="397"/>
      <c r="D406" s="396" t="s">
        <v>1126</v>
      </c>
      <c r="E406" s="397"/>
      <c r="F406" s="328"/>
      <c r="G406" s="328"/>
      <c r="H406" s="328"/>
      <c r="I406" s="328"/>
      <c r="J406" s="328"/>
      <c r="K406" s="328"/>
      <c r="L406" s="209"/>
      <c r="M406" s="298"/>
      <c r="N406" s="352">
        <v>0</v>
      </c>
      <c r="O406" s="352">
        <v>0</v>
      </c>
      <c r="P406" s="250">
        <v>5250</v>
      </c>
      <c r="Q406" s="250">
        <v>5250</v>
      </c>
      <c r="R406" s="249">
        <v>5250</v>
      </c>
      <c r="S406" s="249">
        <v>5250</v>
      </c>
      <c r="T406" s="249">
        <v>5250</v>
      </c>
      <c r="U406" s="249">
        <v>5250</v>
      </c>
      <c r="V406" s="249">
        <v>5250</v>
      </c>
      <c r="X406" s="703"/>
      <c r="Y406" s="704"/>
      <c r="Z406" s="704"/>
      <c r="AA406" s="704"/>
      <c r="AB406" s="704"/>
      <c r="AC406" s="704"/>
    </row>
    <row r="407" spans="1:29" ht="24" customHeight="1">
      <c r="A407" s="396" t="s">
        <v>345</v>
      </c>
      <c r="B407" s="328"/>
      <c r="C407" s="328"/>
      <c r="D407" s="396" t="s">
        <v>346</v>
      </c>
      <c r="E407" s="328"/>
      <c r="F407" s="328"/>
      <c r="G407" s="328"/>
      <c r="H407" s="328"/>
      <c r="I407" s="328"/>
      <c r="J407" s="328"/>
      <c r="K407" s="328"/>
      <c r="L407" s="209"/>
      <c r="M407" s="298"/>
      <c r="N407" s="352">
        <v>34000</v>
      </c>
      <c r="O407" s="352">
        <v>0</v>
      </c>
      <c r="P407" s="250">
        <v>10000</v>
      </c>
      <c r="Q407" s="250">
        <v>5000</v>
      </c>
      <c r="R407" s="249">
        <v>10000</v>
      </c>
      <c r="S407" s="249">
        <v>10000</v>
      </c>
      <c r="T407" s="249">
        <v>10000</v>
      </c>
      <c r="U407" s="249">
        <v>10000</v>
      </c>
      <c r="V407" s="249">
        <v>10000</v>
      </c>
      <c r="X407" s="703"/>
      <c r="Y407" s="704"/>
      <c r="Z407" s="704"/>
      <c r="AA407" s="704"/>
      <c r="AB407" s="704"/>
      <c r="AC407" s="704"/>
    </row>
    <row r="408" spans="1:29" ht="24" customHeight="1">
      <c r="A408" s="396" t="s">
        <v>1247</v>
      </c>
      <c r="B408" s="328"/>
      <c r="C408" s="328"/>
      <c r="D408" s="396" t="s">
        <v>1248</v>
      </c>
      <c r="E408" s="617"/>
      <c r="F408" s="617"/>
      <c r="G408" s="617"/>
      <c r="H408" s="617"/>
      <c r="I408" s="617"/>
      <c r="J408" s="617"/>
      <c r="K408" s="617"/>
      <c r="L408" s="209"/>
      <c r="M408" s="298"/>
      <c r="N408" s="352">
        <v>0</v>
      </c>
      <c r="O408" s="352">
        <v>0</v>
      </c>
      <c r="P408" s="338">
        <f>ROUND((6970*16)*6,0)</f>
        <v>669120</v>
      </c>
      <c r="Q408" s="338">
        <v>682667</v>
      </c>
      <c r="R408" s="337">
        <v>680000</v>
      </c>
      <c r="S408" s="337">
        <v>680000</v>
      </c>
      <c r="T408" s="337">
        <v>680000</v>
      </c>
      <c r="U408" s="337">
        <v>680000</v>
      </c>
      <c r="V408" s="337">
        <v>680000</v>
      </c>
      <c r="X408" s="703"/>
      <c r="Y408" s="705"/>
      <c r="Z408" s="705"/>
      <c r="AA408" s="705"/>
      <c r="AB408" s="705"/>
      <c r="AC408" s="705"/>
    </row>
    <row r="409" spans="1:29" ht="24" customHeight="1">
      <c r="A409" s="396" t="s">
        <v>347</v>
      </c>
      <c r="B409" s="397"/>
      <c r="C409" s="397"/>
      <c r="D409" s="328" t="s">
        <v>6</v>
      </c>
      <c r="E409" s="328"/>
      <c r="F409" s="328"/>
      <c r="G409" s="328"/>
      <c r="H409" s="328"/>
      <c r="I409" s="328"/>
      <c r="J409" s="328"/>
      <c r="K409" s="328"/>
      <c r="L409" s="209"/>
      <c r="M409" s="214"/>
      <c r="N409" s="340">
        <v>114</v>
      </c>
      <c r="O409" s="340">
        <v>243</v>
      </c>
      <c r="P409" s="225">
        <v>250</v>
      </c>
      <c r="Q409" s="225">
        <v>200</v>
      </c>
      <c r="R409" s="221">
        <v>3000</v>
      </c>
      <c r="S409" s="221">
        <v>2000</v>
      </c>
      <c r="T409" s="221">
        <v>100</v>
      </c>
      <c r="U409" s="221">
        <v>0</v>
      </c>
      <c r="V409" s="221">
        <v>0</v>
      </c>
      <c r="X409" s="657"/>
      <c r="Y409" s="657"/>
      <c r="Z409" s="657"/>
      <c r="AA409" s="657"/>
      <c r="AB409" s="657"/>
      <c r="AC409" s="657"/>
    </row>
    <row r="410" spans="1:29" ht="24" customHeight="1">
      <c r="A410" s="396" t="s">
        <v>1348</v>
      </c>
      <c r="B410" s="485"/>
      <c r="C410" s="485"/>
      <c r="D410" s="652" t="s">
        <v>1349</v>
      </c>
      <c r="E410" s="652"/>
      <c r="F410" s="652"/>
      <c r="G410" s="652"/>
      <c r="H410" s="652"/>
      <c r="I410" s="652"/>
      <c r="J410" s="652"/>
      <c r="K410" s="652"/>
      <c r="L410" s="544"/>
      <c r="M410" s="215"/>
      <c r="N410" s="340">
        <v>0</v>
      </c>
      <c r="O410" s="340">
        <v>0</v>
      </c>
      <c r="P410" s="225">
        <v>201110</v>
      </c>
      <c r="Q410" s="225">
        <v>201110</v>
      </c>
      <c r="R410" s="221">
        <v>861890</v>
      </c>
      <c r="S410" s="221">
        <v>0</v>
      </c>
      <c r="T410" s="221">
        <v>0</v>
      </c>
      <c r="U410" s="221">
        <v>0</v>
      </c>
      <c r="V410" s="221">
        <v>0</v>
      </c>
      <c r="X410" s="657"/>
      <c r="Y410" s="706"/>
      <c r="Z410" s="706"/>
      <c r="AA410" s="706"/>
      <c r="AB410" s="706"/>
      <c r="AC410" s="706"/>
    </row>
    <row r="411" spans="1:29" ht="24" customHeight="1">
      <c r="A411" s="396" t="s">
        <v>1344</v>
      </c>
      <c r="B411" s="397"/>
      <c r="C411" s="397"/>
      <c r="D411" s="642" t="s">
        <v>1345</v>
      </c>
      <c r="E411" s="642"/>
      <c r="F411" s="642"/>
      <c r="G411" s="642"/>
      <c r="H411" s="642"/>
      <c r="I411" s="642"/>
      <c r="J411" s="642"/>
      <c r="K411" s="642"/>
      <c r="L411" s="218"/>
      <c r="M411" s="214"/>
      <c r="N411" s="340">
        <v>0</v>
      </c>
      <c r="O411" s="340">
        <v>20007</v>
      </c>
      <c r="P411" s="225">
        <v>126441</v>
      </c>
      <c r="Q411" s="225">
        <f>Q440-Q401</f>
        <v>11900</v>
      </c>
      <c r="R411" s="221">
        <f>R440-R401</f>
        <v>23740</v>
      </c>
      <c r="S411" s="221">
        <f>S440-S401</f>
        <v>7000</v>
      </c>
      <c r="T411" s="221">
        <f>T440-T401</f>
        <v>294740</v>
      </c>
      <c r="U411" s="221">
        <f>U440-U401</f>
        <v>32780</v>
      </c>
      <c r="V411" s="221">
        <v>0</v>
      </c>
      <c r="X411" s="657"/>
      <c r="Y411" s="707"/>
      <c r="Z411" s="707"/>
      <c r="AA411" s="707"/>
      <c r="AB411" s="707"/>
      <c r="AC411" s="707"/>
    </row>
    <row r="412" spans="1:29" ht="24" customHeight="1">
      <c r="A412" s="396" t="s">
        <v>348</v>
      </c>
      <c r="B412" s="397"/>
      <c r="C412" s="397"/>
      <c r="D412" s="735" t="s">
        <v>67</v>
      </c>
      <c r="E412" s="735"/>
      <c r="F412" s="735"/>
      <c r="G412" s="735"/>
      <c r="H412" s="735"/>
      <c r="I412" s="735"/>
      <c r="J412" s="735"/>
      <c r="K412" s="735"/>
      <c r="L412" s="218"/>
      <c r="M412" s="214"/>
      <c r="N412" s="340">
        <v>9586</v>
      </c>
      <c r="O412" s="340">
        <v>0</v>
      </c>
      <c r="P412" s="225">
        <v>0</v>
      </c>
      <c r="Q412" s="225">
        <v>0</v>
      </c>
      <c r="R412" s="221">
        <v>0</v>
      </c>
      <c r="S412" s="221">
        <v>0</v>
      </c>
      <c r="T412" s="221">
        <v>0</v>
      </c>
      <c r="U412" s="221">
        <v>0</v>
      </c>
      <c r="V412" s="221">
        <v>0</v>
      </c>
      <c r="X412" s="656"/>
      <c r="Y412" s="708"/>
      <c r="Z412" s="708"/>
      <c r="AA412" s="708"/>
      <c r="AB412" s="708"/>
      <c r="AC412" s="708"/>
    </row>
    <row r="413" spans="1:29" ht="24" customHeight="1">
      <c r="A413" s="396" t="s">
        <v>349</v>
      </c>
      <c r="B413" s="328"/>
      <c r="C413" s="328"/>
      <c r="D413" s="396" t="s">
        <v>350</v>
      </c>
      <c r="E413" s="644"/>
      <c r="F413" s="644"/>
      <c r="G413" s="644"/>
      <c r="H413" s="644"/>
      <c r="I413" s="644"/>
      <c r="J413" s="644"/>
      <c r="K413" s="644"/>
      <c r="L413" s="209"/>
      <c r="M413" s="214"/>
      <c r="N413" s="340">
        <v>0</v>
      </c>
      <c r="O413" s="340">
        <v>0</v>
      </c>
      <c r="P413" s="225">
        <v>0</v>
      </c>
      <c r="Q413" s="225">
        <v>0</v>
      </c>
      <c r="R413" s="221">
        <v>4750000</v>
      </c>
      <c r="S413" s="221">
        <v>0</v>
      </c>
      <c r="T413" s="221">
        <v>0</v>
      </c>
      <c r="U413" s="221">
        <v>0</v>
      </c>
      <c r="V413" s="221">
        <v>0</v>
      </c>
      <c r="X413" s="217"/>
    </row>
    <row r="414" spans="1:29" ht="24" customHeight="1">
      <c r="A414" s="396" t="s">
        <v>1439</v>
      </c>
      <c r="B414" s="600"/>
      <c r="C414" s="600"/>
      <c r="D414" s="396" t="s">
        <v>1496</v>
      </c>
      <c r="E414" s="600"/>
      <c r="F414" s="600"/>
      <c r="G414" s="600"/>
      <c r="H414" s="600"/>
      <c r="I414" s="600"/>
      <c r="J414" s="600"/>
      <c r="K414" s="600"/>
      <c r="L414" s="209"/>
      <c r="M414" s="214"/>
      <c r="N414" s="340">
        <v>0</v>
      </c>
      <c r="O414" s="341">
        <v>0</v>
      </c>
      <c r="P414" s="225">
        <v>0</v>
      </c>
      <c r="Q414" s="225">
        <v>0</v>
      </c>
      <c r="R414" s="221">
        <f>55250-5250+30000+25000</f>
        <v>105000</v>
      </c>
      <c r="S414" s="221">
        <f>60250-5250</f>
        <v>55000</v>
      </c>
      <c r="T414" s="221">
        <f>65250-5250</f>
        <v>60000</v>
      </c>
      <c r="U414" s="221">
        <f>65250-5250</f>
        <v>60000</v>
      </c>
      <c r="V414" s="221">
        <f>65250-5250</f>
        <v>60000</v>
      </c>
      <c r="X414" s="217"/>
    </row>
    <row r="415" spans="1:29" ht="24" customHeight="1">
      <c r="A415" s="396" t="s">
        <v>1437</v>
      </c>
      <c r="B415" s="328"/>
      <c r="C415" s="328"/>
      <c r="D415" s="396" t="s">
        <v>1438</v>
      </c>
      <c r="E415" s="592"/>
      <c r="F415" s="592"/>
      <c r="G415" s="592"/>
      <c r="H415" s="592"/>
      <c r="I415" s="592"/>
      <c r="J415" s="592"/>
      <c r="K415" s="592"/>
      <c r="L415" s="209"/>
      <c r="M415" s="214"/>
      <c r="N415" s="340">
        <v>125000</v>
      </c>
      <c r="O415" s="341">
        <v>419332</v>
      </c>
      <c r="P415" s="225">
        <v>270401</v>
      </c>
      <c r="Q415" s="225">
        <v>270401</v>
      </c>
      <c r="R415" s="221">
        <v>0</v>
      </c>
      <c r="S415" s="221">
        <v>0</v>
      </c>
      <c r="T415" s="221">
        <v>0</v>
      </c>
      <c r="U415" s="221">
        <v>39241</v>
      </c>
      <c r="V415" s="221">
        <f>86145-10880-6647-31612+50759</f>
        <v>87765</v>
      </c>
      <c r="X415" s="217"/>
    </row>
    <row r="416" spans="1:29" ht="24" customHeight="1">
      <c r="A416" s="396" t="s">
        <v>1066</v>
      </c>
      <c r="B416" s="328"/>
      <c r="C416" s="328"/>
      <c r="D416" s="396" t="s">
        <v>1424</v>
      </c>
      <c r="E416" s="610"/>
      <c r="F416" s="610"/>
      <c r="G416" s="610"/>
      <c r="H416" s="610"/>
      <c r="I416" s="610"/>
      <c r="J416" s="610"/>
      <c r="K416" s="610"/>
      <c r="L416" s="209"/>
      <c r="M416" s="214"/>
      <c r="N416" s="345">
        <v>0</v>
      </c>
      <c r="O416" s="345">
        <v>37850</v>
      </c>
      <c r="P416" s="235">
        <v>165000</v>
      </c>
      <c r="Q416" s="256">
        <f>400000+40000+21700</f>
        <v>461700</v>
      </c>
      <c r="R416" s="234">
        <f t="shared" ref="R416:U416" si="148">R438</f>
        <v>0</v>
      </c>
      <c r="S416" s="234">
        <f t="shared" si="148"/>
        <v>0</v>
      </c>
      <c r="T416" s="234">
        <f t="shared" si="148"/>
        <v>0</v>
      </c>
      <c r="U416" s="234">
        <f t="shared" si="148"/>
        <v>0</v>
      </c>
      <c r="V416" s="234">
        <f t="shared" ref="V416" si="149">V438</f>
        <v>0</v>
      </c>
      <c r="X416" s="539"/>
    </row>
    <row r="417" spans="1:24" ht="15" customHeight="1">
      <c r="A417" s="328"/>
      <c r="B417" s="328"/>
      <c r="C417" s="328"/>
      <c r="D417" s="328"/>
      <c r="E417" s="328"/>
      <c r="F417" s="328"/>
      <c r="G417" s="328"/>
      <c r="H417" s="328"/>
      <c r="I417" s="328"/>
      <c r="J417" s="328"/>
      <c r="K417" s="328"/>
      <c r="L417" s="209"/>
      <c r="N417" s="346"/>
      <c r="O417" s="346"/>
      <c r="P417" s="238"/>
      <c r="Q417" s="238"/>
      <c r="R417" s="237"/>
      <c r="S417" s="237"/>
      <c r="T417" s="237"/>
      <c r="U417" s="237"/>
      <c r="V417" s="237"/>
    </row>
    <row r="418" spans="1:24" s="328" customFormat="1" ht="24" customHeight="1">
      <c r="K418" s="400" t="s">
        <v>656</v>
      </c>
      <c r="L418" s="422"/>
      <c r="M418" s="423"/>
      <c r="N418" s="348">
        <f>SUM(N398:N417)</f>
        <v>227117</v>
      </c>
      <c r="O418" s="348">
        <f t="shared" ref="O418:V418" si="150">SUM(O398:O417)</f>
        <v>633742</v>
      </c>
      <c r="P418" s="349">
        <f t="shared" si="150"/>
        <v>1780172</v>
      </c>
      <c r="Q418" s="349">
        <f t="shared" si="150"/>
        <v>2069193</v>
      </c>
      <c r="R418" s="348">
        <f t="shared" si="150"/>
        <v>6549840</v>
      </c>
      <c r="S418" s="348">
        <f t="shared" si="150"/>
        <v>803250</v>
      </c>
      <c r="T418" s="348">
        <f t="shared" si="150"/>
        <v>1169250</v>
      </c>
      <c r="U418" s="348">
        <f t="shared" si="150"/>
        <v>844991</v>
      </c>
      <c r="V418" s="348">
        <f t="shared" si="150"/>
        <v>848015</v>
      </c>
      <c r="W418" s="640"/>
    </row>
    <row r="419" spans="1:24" ht="15" customHeight="1">
      <c r="A419" s="328"/>
      <c r="B419" s="328"/>
      <c r="C419" s="328"/>
      <c r="D419" s="328"/>
      <c r="E419" s="328"/>
      <c r="F419" s="328"/>
      <c r="G419" s="328"/>
      <c r="H419" s="328"/>
      <c r="I419" s="328"/>
      <c r="J419" s="328"/>
      <c r="K419" s="328"/>
      <c r="L419" s="209"/>
      <c r="N419" s="346"/>
      <c r="O419" s="346"/>
      <c r="P419" s="238"/>
      <c r="Q419" s="238"/>
      <c r="R419" s="237"/>
      <c r="S419" s="237"/>
      <c r="T419" s="237"/>
      <c r="U419" s="237"/>
      <c r="V419" s="237"/>
    </row>
    <row r="420" spans="1:24" ht="24" customHeight="1">
      <c r="A420" s="400" t="s">
        <v>1495</v>
      </c>
      <c r="B420" s="671"/>
      <c r="C420" s="671"/>
      <c r="D420" s="671"/>
      <c r="E420" s="671"/>
      <c r="F420" s="671"/>
      <c r="G420" s="671"/>
      <c r="H420" s="671"/>
      <c r="I420" s="671"/>
      <c r="J420" s="671"/>
      <c r="K420" s="671"/>
      <c r="L420" s="209"/>
      <c r="N420" s="346"/>
      <c r="O420" s="346"/>
      <c r="P420" s="238"/>
      <c r="Q420" s="238"/>
      <c r="R420" s="237"/>
      <c r="S420" s="237"/>
      <c r="T420" s="237"/>
      <c r="U420" s="237"/>
      <c r="V420" s="237"/>
    </row>
    <row r="421" spans="1:24" ht="24" customHeight="1">
      <c r="A421" s="597" t="s">
        <v>1427</v>
      </c>
      <c r="B421" s="597"/>
      <c r="C421" s="597"/>
      <c r="D421" s="396" t="s">
        <v>1045</v>
      </c>
      <c r="E421" s="596"/>
      <c r="F421" s="596"/>
      <c r="G421" s="597"/>
      <c r="H421" s="597"/>
      <c r="I421" s="597"/>
      <c r="J421" s="597"/>
      <c r="K421" s="597"/>
      <c r="L421" s="209"/>
      <c r="N421" s="346">
        <v>0</v>
      </c>
      <c r="O421" s="346">
        <v>0</v>
      </c>
      <c r="P421" s="238">
        <v>0</v>
      </c>
      <c r="Q421" s="238">
        <v>0</v>
      </c>
      <c r="R421" s="237">
        <v>0</v>
      </c>
      <c r="S421" s="237">
        <v>0</v>
      </c>
      <c r="T421" s="237">
        <v>0</v>
      </c>
      <c r="U421" s="237">
        <v>0</v>
      </c>
      <c r="V421" s="237">
        <v>0</v>
      </c>
    </row>
    <row r="422" spans="1:24" ht="24" customHeight="1">
      <c r="A422" s="396" t="s">
        <v>1378</v>
      </c>
      <c r="B422" s="541"/>
      <c r="C422" s="541"/>
      <c r="D422" s="396" t="s">
        <v>875</v>
      </c>
      <c r="E422" s="541"/>
      <c r="F422" s="541"/>
      <c r="G422" s="541"/>
      <c r="H422" s="541"/>
      <c r="I422" s="541"/>
      <c r="J422" s="541"/>
      <c r="K422" s="541"/>
      <c r="L422" s="209"/>
      <c r="M422" s="229"/>
      <c r="N422" s="337">
        <v>0</v>
      </c>
      <c r="O422" s="337">
        <v>0</v>
      </c>
      <c r="P422" s="212">
        <v>0</v>
      </c>
      <c r="Q422" s="212">
        <v>0</v>
      </c>
      <c r="R422" s="211">
        <f>25000+30000+25000</f>
        <v>80000</v>
      </c>
      <c r="S422" s="211">
        <v>27500</v>
      </c>
      <c r="T422" s="211">
        <v>30000</v>
      </c>
      <c r="U422" s="211">
        <v>30000</v>
      </c>
      <c r="V422" s="211">
        <v>30000</v>
      </c>
    </row>
    <row r="423" spans="1:24" ht="24" customHeight="1">
      <c r="A423" s="396" t="s">
        <v>1379</v>
      </c>
      <c r="B423" s="541"/>
      <c r="C423" s="541"/>
      <c r="D423" s="396" t="s">
        <v>876</v>
      </c>
      <c r="E423" s="541"/>
      <c r="F423" s="541"/>
      <c r="G423" s="541"/>
      <c r="H423" s="541"/>
      <c r="I423" s="541"/>
      <c r="J423" s="541"/>
      <c r="K423" s="541"/>
      <c r="L423" s="209"/>
      <c r="M423" s="229"/>
      <c r="N423" s="337">
        <v>0</v>
      </c>
      <c r="O423" s="337">
        <v>0</v>
      </c>
      <c r="P423" s="216">
        <v>0</v>
      </c>
      <c r="Q423" s="216">
        <v>0</v>
      </c>
      <c r="R423" s="215">
        <v>25000</v>
      </c>
      <c r="S423" s="215">
        <v>27500</v>
      </c>
      <c r="T423" s="215">
        <v>30000</v>
      </c>
      <c r="U423" s="215">
        <v>30000</v>
      </c>
      <c r="V423" s="215">
        <v>30000</v>
      </c>
    </row>
    <row r="424" spans="1:24" ht="24" customHeight="1">
      <c r="A424" s="397" t="s">
        <v>1245</v>
      </c>
      <c r="B424" s="399"/>
      <c r="C424" s="399"/>
      <c r="D424" s="396" t="s">
        <v>432</v>
      </c>
      <c r="E424" s="399"/>
      <c r="F424" s="399"/>
      <c r="G424" s="399"/>
      <c r="H424" s="399"/>
      <c r="I424" s="399"/>
      <c r="J424" s="399"/>
      <c r="K424" s="399"/>
      <c r="L424" s="236"/>
      <c r="M424" s="300"/>
      <c r="N424" s="371">
        <v>0</v>
      </c>
      <c r="O424" s="371">
        <v>0</v>
      </c>
      <c r="P424" s="302">
        <v>5250</v>
      </c>
      <c r="Q424" s="302">
        <f t="shared" ref="Q424:V424" si="151">Q406</f>
        <v>5250</v>
      </c>
      <c r="R424" s="301">
        <f t="shared" si="151"/>
        <v>5250</v>
      </c>
      <c r="S424" s="301">
        <f t="shared" si="151"/>
        <v>5250</v>
      </c>
      <c r="T424" s="301">
        <f t="shared" si="151"/>
        <v>5250</v>
      </c>
      <c r="U424" s="301">
        <f t="shared" si="151"/>
        <v>5250</v>
      </c>
      <c r="V424" s="301">
        <f t="shared" si="151"/>
        <v>5250</v>
      </c>
      <c r="X424" s="213"/>
    </row>
    <row r="425" spans="1:24" s="328" customFormat="1" ht="24" customHeight="1">
      <c r="A425" s="410"/>
      <c r="L425" s="424"/>
      <c r="M425" s="441"/>
      <c r="N425" s="348">
        <f>SUM(N421:N424)</f>
        <v>0</v>
      </c>
      <c r="O425" s="348">
        <f t="shared" ref="O425:V425" si="152">SUM(O421:O424)</f>
        <v>0</v>
      </c>
      <c r="P425" s="349">
        <f t="shared" si="152"/>
        <v>5250</v>
      </c>
      <c r="Q425" s="349">
        <f t="shared" si="152"/>
        <v>5250</v>
      </c>
      <c r="R425" s="348">
        <f t="shared" si="152"/>
        <v>110250</v>
      </c>
      <c r="S425" s="348">
        <f t="shared" si="152"/>
        <v>60250</v>
      </c>
      <c r="T425" s="348">
        <f t="shared" si="152"/>
        <v>65250</v>
      </c>
      <c r="U425" s="348">
        <f t="shared" si="152"/>
        <v>65250</v>
      </c>
      <c r="V425" s="348">
        <f t="shared" si="152"/>
        <v>65250</v>
      </c>
      <c r="W425" s="640"/>
    </row>
    <row r="426" spans="1:24" ht="15" customHeight="1">
      <c r="A426" s="410"/>
      <c r="B426" s="328"/>
      <c r="C426" s="328"/>
      <c r="D426" s="328"/>
      <c r="E426" s="328"/>
      <c r="F426" s="328"/>
      <c r="G426" s="328"/>
      <c r="H426" s="328"/>
      <c r="I426" s="328"/>
      <c r="J426" s="328"/>
      <c r="K426" s="328"/>
      <c r="L426" s="209"/>
      <c r="M426" s="292"/>
      <c r="N426" s="348"/>
      <c r="O426" s="348"/>
      <c r="P426" s="243"/>
      <c r="Q426" s="243"/>
      <c r="R426" s="242"/>
      <c r="S426" s="242"/>
      <c r="T426" s="242"/>
      <c r="U426" s="242"/>
      <c r="V426" s="242"/>
    </row>
    <row r="427" spans="1:24" ht="24" customHeight="1">
      <c r="A427" s="400" t="s">
        <v>1164</v>
      </c>
      <c r="B427" s="328"/>
      <c r="C427" s="328"/>
      <c r="D427" s="328"/>
      <c r="E427" s="328"/>
      <c r="F427" s="328"/>
      <c r="G427" s="328"/>
      <c r="H427" s="328"/>
      <c r="I427" s="328"/>
      <c r="J427" s="328"/>
      <c r="K427" s="328"/>
      <c r="L427" s="209"/>
      <c r="N427" s="346"/>
      <c r="O427" s="346"/>
      <c r="P427" s="238"/>
      <c r="Q427" s="238"/>
      <c r="R427" s="237"/>
      <c r="S427" s="237"/>
      <c r="T427" s="237"/>
      <c r="U427" s="237"/>
      <c r="V427" s="237"/>
    </row>
    <row r="428" spans="1:24" ht="24" customHeight="1">
      <c r="A428" s="328" t="s">
        <v>1079</v>
      </c>
      <c r="B428" s="328"/>
      <c r="C428" s="328"/>
      <c r="D428" s="396" t="s">
        <v>1045</v>
      </c>
      <c r="E428" s="397"/>
      <c r="F428" s="397"/>
      <c r="G428" s="397"/>
      <c r="H428" s="397"/>
      <c r="I428" s="399"/>
      <c r="J428" s="399"/>
      <c r="K428" s="399"/>
      <c r="L428" s="236"/>
      <c r="M428" s="259"/>
      <c r="N428" s="356">
        <v>14780</v>
      </c>
      <c r="O428" s="356">
        <v>80880</v>
      </c>
      <c r="P428" s="270">
        <v>0</v>
      </c>
      <c r="Q428" s="270">
        <f>Q405</f>
        <v>0</v>
      </c>
      <c r="R428" s="260">
        <f t="shared" ref="R428:U428" si="153">R405</f>
        <v>0</v>
      </c>
      <c r="S428" s="260">
        <f t="shared" si="153"/>
        <v>0</v>
      </c>
      <c r="T428" s="260">
        <f t="shared" si="153"/>
        <v>0</v>
      </c>
      <c r="U428" s="260">
        <f t="shared" si="153"/>
        <v>0</v>
      </c>
      <c r="V428" s="260">
        <f>V405</f>
        <v>0</v>
      </c>
      <c r="X428" s="213"/>
    </row>
    <row r="429" spans="1:24" ht="24" customHeight="1">
      <c r="A429" s="396" t="s">
        <v>351</v>
      </c>
      <c r="B429" s="397"/>
      <c r="C429" s="397"/>
      <c r="D429" s="396" t="s">
        <v>10</v>
      </c>
      <c r="E429" s="397"/>
      <c r="F429" s="397"/>
      <c r="G429" s="397"/>
      <c r="H429" s="397"/>
      <c r="I429" s="399"/>
      <c r="J429" s="399"/>
      <c r="K429" s="399"/>
      <c r="L429" s="236"/>
      <c r="M429" s="259"/>
      <c r="N429" s="356">
        <v>0</v>
      </c>
      <c r="O429" s="356">
        <v>94728</v>
      </c>
      <c r="P429" s="270">
        <v>0</v>
      </c>
      <c r="Q429" s="270">
        <v>0</v>
      </c>
      <c r="R429" s="260">
        <v>0</v>
      </c>
      <c r="S429" s="260">
        <v>0</v>
      </c>
      <c r="T429" s="260">
        <v>0</v>
      </c>
      <c r="U429" s="260">
        <v>0</v>
      </c>
      <c r="V429" s="260">
        <v>0</v>
      </c>
      <c r="X429" s="217"/>
    </row>
    <row r="430" spans="1:24" ht="24" customHeight="1">
      <c r="A430" s="396" t="s">
        <v>1239</v>
      </c>
      <c r="B430" s="399"/>
      <c r="C430" s="399"/>
      <c r="D430" s="396" t="s">
        <v>302</v>
      </c>
      <c r="E430" s="399"/>
      <c r="F430" s="399"/>
      <c r="G430" s="399"/>
      <c r="H430" s="399"/>
      <c r="I430" s="399"/>
      <c r="J430" s="399"/>
      <c r="K430" s="399"/>
      <c r="L430" s="236"/>
      <c r="M430" s="259"/>
      <c r="N430" s="337">
        <v>0</v>
      </c>
      <c r="O430" s="337">
        <v>0</v>
      </c>
      <c r="P430" s="269">
        <v>50000</v>
      </c>
      <c r="Q430" s="269">
        <v>50000</v>
      </c>
      <c r="R430" s="268">
        <v>50000</v>
      </c>
      <c r="S430" s="268">
        <v>50000</v>
      </c>
      <c r="T430" s="268">
        <v>50000</v>
      </c>
      <c r="U430" s="268">
        <v>50000</v>
      </c>
      <c r="V430" s="268">
        <v>50000</v>
      </c>
      <c r="X430" s="217"/>
    </row>
    <row r="431" spans="1:24" ht="24" customHeight="1">
      <c r="A431" s="485" t="s">
        <v>1350</v>
      </c>
      <c r="B431" s="399"/>
      <c r="C431" s="399"/>
      <c r="D431" s="398" t="s">
        <v>1351</v>
      </c>
      <c r="E431" s="399"/>
      <c r="F431" s="399"/>
      <c r="G431" s="399"/>
      <c r="H431" s="399"/>
      <c r="I431" s="399"/>
      <c r="J431" s="399"/>
      <c r="K431" s="399"/>
      <c r="L431" s="611"/>
      <c r="M431" s="514"/>
      <c r="N431" s="352">
        <v>0</v>
      </c>
      <c r="O431" s="352">
        <v>0</v>
      </c>
      <c r="P431" s="225">
        <v>201110</v>
      </c>
      <c r="Q431" s="250">
        <v>201110</v>
      </c>
      <c r="R431" s="249">
        <v>1139622</v>
      </c>
      <c r="S431" s="249">
        <v>0</v>
      </c>
      <c r="T431" s="249">
        <v>0</v>
      </c>
      <c r="U431" s="249">
        <v>0</v>
      </c>
      <c r="V431" s="249">
        <v>0</v>
      </c>
      <c r="X431" s="213"/>
    </row>
    <row r="432" spans="1:24" ht="24" customHeight="1">
      <c r="A432" s="397" t="s">
        <v>1316</v>
      </c>
      <c r="B432" s="399"/>
      <c r="C432" s="399"/>
      <c r="D432" s="398" t="s">
        <v>1331</v>
      </c>
      <c r="E432" s="399"/>
      <c r="F432" s="399"/>
      <c r="G432" s="399"/>
      <c r="H432" s="399"/>
      <c r="I432" s="399"/>
      <c r="J432" s="399"/>
      <c r="K432" s="399"/>
      <c r="L432" s="236"/>
      <c r="M432" s="248"/>
      <c r="N432" s="352">
        <v>0</v>
      </c>
      <c r="O432" s="352">
        <v>0</v>
      </c>
      <c r="P432" s="250">
        <v>585863</v>
      </c>
      <c r="Q432" s="250">
        <v>585863</v>
      </c>
      <c r="R432" s="249">
        <v>390000</v>
      </c>
      <c r="S432" s="249">
        <v>300000</v>
      </c>
      <c r="T432" s="249">
        <v>300000</v>
      </c>
      <c r="U432" s="249">
        <v>300000</v>
      </c>
      <c r="V432" s="249">
        <v>300000</v>
      </c>
      <c r="X432" s="213"/>
    </row>
    <row r="433" spans="1:41" ht="24" customHeight="1">
      <c r="A433" s="397" t="s">
        <v>352</v>
      </c>
      <c r="B433" s="399"/>
      <c r="C433" s="399"/>
      <c r="D433" s="396" t="s">
        <v>196</v>
      </c>
      <c r="E433" s="399"/>
      <c r="F433" s="399"/>
      <c r="G433" s="399"/>
      <c r="H433" s="399"/>
      <c r="I433" s="399"/>
      <c r="J433" s="399"/>
      <c r="K433" s="399"/>
      <c r="L433" s="236"/>
      <c r="M433" s="209"/>
      <c r="N433" s="352">
        <v>0</v>
      </c>
      <c r="O433" s="352">
        <v>0</v>
      </c>
      <c r="P433" s="212">
        <v>12500</v>
      </c>
      <c r="Q433" s="212">
        <v>12500</v>
      </c>
      <c r="R433" s="211">
        <v>12500</v>
      </c>
      <c r="S433" s="211">
        <v>12500</v>
      </c>
      <c r="T433" s="211">
        <v>12500</v>
      </c>
      <c r="U433" s="211">
        <v>12500</v>
      </c>
      <c r="V433" s="211">
        <v>12500</v>
      </c>
    </row>
    <row r="434" spans="1:41" ht="24" customHeight="1">
      <c r="A434" s="397" t="s">
        <v>1303</v>
      </c>
      <c r="B434" s="399"/>
      <c r="C434" s="399"/>
      <c r="D434" s="398" t="s">
        <v>1463</v>
      </c>
      <c r="E434" s="399"/>
      <c r="F434" s="399"/>
      <c r="G434" s="399"/>
      <c r="H434" s="399"/>
      <c r="I434" s="399"/>
      <c r="J434" s="399"/>
      <c r="K434" s="399"/>
      <c r="L434" s="236"/>
      <c r="M434" s="209"/>
      <c r="N434" s="352">
        <v>0</v>
      </c>
      <c r="O434" s="352">
        <v>0</v>
      </c>
      <c r="P434" s="212">
        <v>0</v>
      </c>
      <c r="Q434" s="212">
        <v>0</v>
      </c>
      <c r="R434" s="211">
        <v>40000</v>
      </c>
      <c r="S434" s="211">
        <v>40000</v>
      </c>
      <c r="T434" s="211">
        <v>0</v>
      </c>
      <c r="U434" s="211">
        <v>0</v>
      </c>
      <c r="V434" s="211">
        <v>0</v>
      </c>
      <c r="X434" s="213"/>
    </row>
    <row r="435" spans="1:41" ht="24" customHeight="1">
      <c r="A435" s="397" t="s">
        <v>1098</v>
      </c>
      <c r="B435" s="399"/>
      <c r="C435" s="399"/>
      <c r="D435" s="396" t="s">
        <v>1465</v>
      </c>
      <c r="E435" s="177"/>
      <c r="F435" s="177"/>
      <c r="G435" s="177"/>
      <c r="H435" s="177"/>
      <c r="I435" s="177"/>
      <c r="J435" s="177"/>
      <c r="K435" s="177"/>
      <c r="L435" s="236"/>
      <c r="M435" s="209"/>
      <c r="N435" s="352">
        <v>0</v>
      </c>
      <c r="O435" s="352">
        <v>0</v>
      </c>
      <c r="P435" s="250">
        <v>0</v>
      </c>
      <c r="Q435" s="250">
        <v>0</v>
      </c>
      <c r="R435" s="249">
        <v>0</v>
      </c>
      <c r="S435" s="249">
        <v>110400</v>
      </c>
      <c r="T435" s="249">
        <v>0</v>
      </c>
      <c r="U435" s="249">
        <v>0</v>
      </c>
      <c r="V435" s="249">
        <v>0</v>
      </c>
      <c r="X435" s="213"/>
    </row>
    <row r="436" spans="1:41" ht="24" customHeight="1">
      <c r="A436" s="397" t="s">
        <v>1100</v>
      </c>
      <c r="B436" s="399"/>
      <c r="C436" s="399"/>
      <c r="D436" s="396" t="s">
        <v>1099</v>
      </c>
      <c r="E436" s="399"/>
      <c r="F436" s="399"/>
      <c r="G436" s="399"/>
      <c r="H436" s="399"/>
      <c r="I436" s="399"/>
      <c r="J436" s="399"/>
      <c r="K436" s="399"/>
      <c r="L436" s="236"/>
      <c r="M436" s="209"/>
      <c r="N436" s="352">
        <v>0</v>
      </c>
      <c r="O436" s="352">
        <v>0</v>
      </c>
      <c r="P436" s="250">
        <v>0</v>
      </c>
      <c r="Q436" s="250">
        <v>0</v>
      </c>
      <c r="R436" s="249">
        <v>230200</v>
      </c>
      <c r="S436" s="249">
        <v>0</v>
      </c>
      <c r="T436" s="249">
        <v>0</v>
      </c>
      <c r="U436" s="249">
        <v>0</v>
      </c>
      <c r="V436" s="249">
        <v>0</v>
      </c>
      <c r="X436" s="213"/>
    </row>
    <row r="437" spans="1:41" ht="24" customHeight="1">
      <c r="A437" s="606" t="s">
        <v>353</v>
      </c>
      <c r="B437" s="399"/>
      <c r="C437" s="399"/>
      <c r="D437" s="396" t="s">
        <v>328</v>
      </c>
      <c r="E437" s="399"/>
      <c r="F437" s="399"/>
      <c r="G437" s="399"/>
      <c r="H437" s="399"/>
      <c r="I437" s="399"/>
      <c r="J437" s="399"/>
      <c r="K437" s="399"/>
      <c r="L437" s="236"/>
      <c r="M437" s="247"/>
      <c r="N437" s="339">
        <v>0</v>
      </c>
      <c r="O437" s="339">
        <v>0</v>
      </c>
      <c r="P437" s="216">
        <v>20000</v>
      </c>
      <c r="Q437" s="216">
        <v>20000</v>
      </c>
      <c r="R437" s="215">
        <f>ROUND(300000*0.66,0)+60000</f>
        <v>258000</v>
      </c>
      <c r="S437" s="215">
        <f>ROUND(4830000*0.66,0)+640000</f>
        <v>3827800</v>
      </c>
      <c r="T437" s="215">
        <f>1000000+100000-599312</f>
        <v>500688</v>
      </c>
      <c r="U437" s="215">
        <v>0</v>
      </c>
      <c r="V437" s="215">
        <v>0</v>
      </c>
      <c r="X437" s="213"/>
    </row>
    <row r="438" spans="1:41" ht="24" customHeight="1">
      <c r="A438" s="396" t="s">
        <v>354</v>
      </c>
      <c r="B438" s="399"/>
      <c r="C438" s="399"/>
      <c r="D438" s="396" t="s">
        <v>355</v>
      </c>
      <c r="E438" s="411"/>
      <c r="F438" s="411"/>
      <c r="G438" s="411"/>
      <c r="H438" s="411"/>
      <c r="I438" s="411"/>
      <c r="J438" s="411"/>
      <c r="K438" s="411"/>
      <c r="L438" s="303"/>
      <c r="M438" s="247"/>
      <c r="N438" s="339">
        <v>0</v>
      </c>
      <c r="O438" s="339">
        <v>152707</v>
      </c>
      <c r="P438" s="216">
        <v>165000</v>
      </c>
      <c r="Q438" s="216">
        <f>600000-O438</f>
        <v>447293</v>
      </c>
      <c r="R438" s="215">
        <v>0</v>
      </c>
      <c r="S438" s="215">
        <v>0</v>
      </c>
      <c r="T438" s="215">
        <v>0</v>
      </c>
      <c r="U438" s="215">
        <v>0</v>
      </c>
      <c r="V438" s="215">
        <v>0</v>
      </c>
      <c r="X438" s="213"/>
    </row>
    <row r="439" spans="1:41" ht="24" customHeight="1">
      <c r="A439" s="396" t="s">
        <v>356</v>
      </c>
      <c r="B439" s="399"/>
      <c r="C439" s="399"/>
      <c r="D439" s="396" t="s">
        <v>357</v>
      </c>
      <c r="E439" s="399"/>
      <c r="F439" s="399"/>
      <c r="G439" s="399"/>
      <c r="H439" s="399"/>
      <c r="I439" s="399"/>
      <c r="J439" s="399"/>
      <c r="K439" s="399"/>
      <c r="L439" s="236"/>
      <c r="M439" s="229"/>
      <c r="N439" s="337">
        <v>6793</v>
      </c>
      <c r="O439" s="337">
        <v>37891</v>
      </c>
      <c r="P439" s="212">
        <v>280000</v>
      </c>
      <c r="Q439" s="212">
        <v>280000</v>
      </c>
      <c r="R439" s="211">
        <v>0</v>
      </c>
      <c r="S439" s="211">
        <v>0</v>
      </c>
      <c r="T439" s="211">
        <v>0</v>
      </c>
      <c r="U439" s="211">
        <v>0</v>
      </c>
      <c r="V439" s="211">
        <v>0</v>
      </c>
    </row>
    <row r="440" spans="1:41" ht="24" customHeight="1">
      <c r="A440" s="396" t="s">
        <v>803</v>
      </c>
      <c r="B440" s="399"/>
      <c r="C440" s="399"/>
      <c r="D440" s="396" t="s">
        <v>1057</v>
      </c>
      <c r="E440" s="399"/>
      <c r="F440" s="399"/>
      <c r="G440" s="399"/>
      <c r="H440" s="399"/>
      <c r="I440" s="399"/>
      <c r="J440" s="399"/>
      <c r="K440" s="399"/>
      <c r="L440" s="236"/>
      <c r="M440" s="229"/>
      <c r="N440" s="337">
        <v>0</v>
      </c>
      <c r="O440" s="337">
        <v>20007</v>
      </c>
      <c r="P440" s="269">
        <v>59500</v>
      </c>
      <c r="Q440" s="269">
        <v>59500</v>
      </c>
      <c r="R440" s="221">
        <f>83700+14000</f>
        <v>97700</v>
      </c>
      <c r="S440" s="221">
        <v>14000</v>
      </c>
      <c r="T440" s="221">
        <f>142700+266200</f>
        <v>408900</v>
      </c>
      <c r="U440" s="211">
        <f>15900+29600</f>
        <v>45500</v>
      </c>
      <c r="V440" s="211">
        <v>0</v>
      </c>
    </row>
    <row r="441" spans="1:41" ht="24" customHeight="1">
      <c r="A441" s="396" t="s">
        <v>1451</v>
      </c>
      <c r="B441" s="399"/>
      <c r="C441" s="399"/>
      <c r="D441" s="746" t="s">
        <v>1464</v>
      </c>
      <c r="E441" s="746"/>
      <c r="F441" s="746"/>
      <c r="G441" s="746"/>
      <c r="H441" s="746"/>
      <c r="I441" s="746"/>
      <c r="J441" s="746"/>
      <c r="K441" s="746"/>
      <c r="L441" s="236"/>
      <c r="M441" s="229"/>
      <c r="N441" s="337">
        <v>0</v>
      </c>
      <c r="O441" s="337">
        <v>0</v>
      </c>
      <c r="P441" s="269">
        <v>0</v>
      </c>
      <c r="Q441" s="269">
        <v>0</v>
      </c>
      <c r="R441" s="221">
        <v>135000</v>
      </c>
      <c r="S441" s="221">
        <v>0</v>
      </c>
      <c r="T441" s="221">
        <v>0</v>
      </c>
      <c r="U441" s="211">
        <v>0</v>
      </c>
      <c r="V441" s="211">
        <v>0</v>
      </c>
      <c r="X441" s="740" t="s">
        <v>1282</v>
      </c>
      <c r="Y441" s="740"/>
      <c r="Z441" s="740"/>
      <c r="AA441" s="740"/>
      <c r="AB441" s="740"/>
      <c r="AC441" s="740"/>
      <c r="AD441" s="740"/>
      <c r="AE441" s="740"/>
      <c r="AF441" s="740"/>
      <c r="AG441" s="740"/>
      <c r="AH441" s="740"/>
      <c r="AI441" s="740"/>
      <c r="AJ441" s="740"/>
      <c r="AK441" s="740"/>
      <c r="AL441" s="740"/>
      <c r="AM441" s="740"/>
    </row>
    <row r="442" spans="1:41" ht="24" customHeight="1">
      <c r="A442" s="402" t="s">
        <v>755</v>
      </c>
      <c r="B442" s="397"/>
      <c r="C442" s="397"/>
      <c r="D442" s="396"/>
      <c r="E442" s="397"/>
      <c r="F442" s="397"/>
      <c r="G442" s="397"/>
      <c r="H442" s="397"/>
      <c r="I442" s="397"/>
      <c r="J442" s="397"/>
      <c r="K442" s="397"/>
      <c r="L442" s="218"/>
      <c r="M442" s="247"/>
      <c r="N442" s="339"/>
      <c r="O442" s="339"/>
      <c r="P442" s="216"/>
      <c r="Q442" s="216"/>
      <c r="R442" s="215"/>
      <c r="S442" s="215"/>
      <c r="T442" s="215"/>
      <c r="U442" s="215"/>
      <c r="V442" s="215"/>
      <c r="X442" s="631" t="s">
        <v>1266</v>
      </c>
      <c r="Y442" s="631" t="s">
        <v>1267</v>
      </c>
      <c r="Z442" s="631" t="s">
        <v>1268</v>
      </c>
      <c r="AA442" s="631" t="s">
        <v>1269</v>
      </c>
      <c r="AB442" s="631" t="s">
        <v>1270</v>
      </c>
      <c r="AC442" s="631" t="s">
        <v>1271</v>
      </c>
      <c r="AD442" s="631" t="s">
        <v>1272</v>
      </c>
      <c r="AE442" s="631" t="s">
        <v>1273</v>
      </c>
      <c r="AF442" s="631" t="s">
        <v>1274</v>
      </c>
      <c r="AG442" s="631" t="s">
        <v>1275</v>
      </c>
      <c r="AH442" s="631" t="s">
        <v>1276</v>
      </c>
      <c r="AI442" s="631" t="s">
        <v>1277</v>
      </c>
      <c r="AJ442" s="631" t="s">
        <v>1278</v>
      </c>
      <c r="AK442" s="631" t="s">
        <v>1279</v>
      </c>
      <c r="AL442" s="631" t="s">
        <v>1280</v>
      </c>
      <c r="AM442" s="631" t="s">
        <v>1281</v>
      </c>
    </row>
    <row r="443" spans="1:41" ht="24" customHeight="1">
      <c r="A443" s="396" t="s">
        <v>1061</v>
      </c>
      <c r="B443" s="542"/>
      <c r="C443" s="542"/>
      <c r="D443" s="396" t="s">
        <v>1246</v>
      </c>
      <c r="E443" s="542"/>
      <c r="F443" s="542"/>
      <c r="G443" s="542"/>
      <c r="H443" s="542"/>
      <c r="I443" s="542"/>
      <c r="J443" s="397"/>
      <c r="K443" s="397"/>
      <c r="L443" s="218"/>
      <c r="M443" s="247"/>
      <c r="N443" s="339">
        <v>0</v>
      </c>
      <c r="O443" s="339">
        <v>0</v>
      </c>
      <c r="P443" s="216">
        <v>0</v>
      </c>
      <c r="Q443" s="216">
        <v>0</v>
      </c>
      <c r="R443" s="215">
        <v>0</v>
      </c>
      <c r="S443" s="215">
        <v>200000</v>
      </c>
      <c r="T443" s="215">
        <v>180000</v>
      </c>
      <c r="U443" s="215">
        <v>185000</v>
      </c>
      <c r="V443" s="215">
        <v>190000</v>
      </c>
      <c r="X443" s="630">
        <v>195000</v>
      </c>
      <c r="Y443" s="630">
        <v>200000</v>
      </c>
      <c r="Z443" s="630">
        <v>205000</v>
      </c>
      <c r="AA443" s="630">
        <v>210000</v>
      </c>
      <c r="AB443" s="630">
        <v>220000</v>
      </c>
      <c r="AC443" s="630">
        <v>225000</v>
      </c>
      <c r="AD443" s="630">
        <v>235000</v>
      </c>
      <c r="AE443" s="630">
        <v>240000</v>
      </c>
      <c r="AF443" s="630">
        <v>250000</v>
      </c>
      <c r="AG443" s="630">
        <v>260000</v>
      </c>
      <c r="AH443" s="630">
        <v>265000</v>
      </c>
      <c r="AI443" s="630">
        <v>275000</v>
      </c>
      <c r="AJ443" s="630">
        <v>285000</v>
      </c>
      <c r="AK443" s="630">
        <v>300000</v>
      </c>
      <c r="AL443" s="630">
        <v>310000</v>
      </c>
      <c r="AM443" s="630">
        <v>320000</v>
      </c>
      <c r="AO443" s="304"/>
    </row>
    <row r="444" spans="1:41" ht="24" customHeight="1">
      <c r="A444" s="396" t="s">
        <v>1062</v>
      </c>
      <c r="B444" s="542"/>
      <c r="C444" s="542"/>
      <c r="D444" s="396" t="s">
        <v>338</v>
      </c>
      <c r="E444" s="542"/>
      <c r="F444" s="542"/>
      <c r="G444" s="542"/>
      <c r="H444" s="542"/>
      <c r="I444" s="542"/>
      <c r="J444" s="397"/>
      <c r="K444" s="397"/>
      <c r="L444" s="218"/>
      <c r="M444" s="253"/>
      <c r="N444" s="340">
        <v>0</v>
      </c>
      <c r="O444" s="340">
        <v>0</v>
      </c>
      <c r="P444" s="225">
        <v>0</v>
      </c>
      <c r="Q444" s="225">
        <v>0</v>
      </c>
      <c r="R444" s="221">
        <v>0</v>
      </c>
      <c r="S444" s="221">
        <v>131554</v>
      </c>
      <c r="T444" s="221">
        <v>153665</v>
      </c>
      <c r="U444" s="221">
        <v>149705</v>
      </c>
      <c r="V444" s="221">
        <v>145265</v>
      </c>
      <c r="X444" s="630">
        <v>140325</v>
      </c>
      <c r="Y444" s="630">
        <v>134865</v>
      </c>
      <c r="Z444" s="630">
        <v>128865</v>
      </c>
      <c r="AA444" s="630">
        <v>122407.5</v>
      </c>
      <c r="AB444" s="630">
        <v>115687.5</v>
      </c>
      <c r="AC444" s="630">
        <v>108427.5</v>
      </c>
      <c r="AD444" s="630">
        <v>100777.5</v>
      </c>
      <c r="AE444" s="630">
        <v>92670</v>
      </c>
      <c r="AF444" s="630">
        <v>84270</v>
      </c>
      <c r="AG444" s="630">
        <v>75395</v>
      </c>
      <c r="AH444" s="630">
        <v>66035</v>
      </c>
      <c r="AI444" s="630">
        <v>56362.5</v>
      </c>
      <c r="AJ444" s="630">
        <v>46187.5</v>
      </c>
      <c r="AK444" s="630">
        <v>35500</v>
      </c>
      <c r="AL444" s="630">
        <v>24100</v>
      </c>
      <c r="AM444" s="630">
        <v>12320</v>
      </c>
      <c r="AO444" s="304"/>
    </row>
    <row r="445" spans="1:41" ht="24" customHeight="1">
      <c r="A445" s="402" t="s">
        <v>1067</v>
      </c>
      <c r="B445" s="397"/>
      <c r="C445" s="397"/>
      <c r="D445" s="396"/>
      <c r="E445" s="397"/>
      <c r="F445" s="397"/>
      <c r="G445" s="397"/>
      <c r="H445" s="397"/>
      <c r="I445" s="397"/>
      <c r="J445" s="397"/>
      <c r="K445" s="397"/>
      <c r="L445" s="218"/>
      <c r="M445" s="247"/>
      <c r="N445" s="339"/>
      <c r="O445" s="339"/>
      <c r="P445" s="216"/>
      <c r="Q445" s="216"/>
      <c r="R445" s="215"/>
      <c r="S445" s="215"/>
      <c r="T445" s="215"/>
      <c r="U445" s="215"/>
      <c r="V445" s="215"/>
    </row>
    <row r="446" spans="1:41" ht="24" customHeight="1">
      <c r="A446" s="396" t="s">
        <v>358</v>
      </c>
      <c r="B446" s="397"/>
      <c r="C446" s="397"/>
      <c r="D446" s="396" t="s">
        <v>1246</v>
      </c>
      <c r="E446" s="397"/>
      <c r="F446" s="397"/>
      <c r="G446" s="397"/>
      <c r="H446" s="397"/>
      <c r="I446" s="397"/>
      <c r="J446" s="397"/>
      <c r="K446" s="397"/>
      <c r="L446" s="218"/>
      <c r="M446" s="247"/>
      <c r="N446" s="339">
        <v>0</v>
      </c>
      <c r="O446" s="339">
        <v>0</v>
      </c>
      <c r="P446" s="216">
        <v>83333</v>
      </c>
      <c r="Q446" s="216">
        <v>75000</v>
      </c>
      <c r="R446" s="215">
        <v>85000</v>
      </c>
      <c r="S446" s="215">
        <v>85000</v>
      </c>
      <c r="T446" s="215">
        <v>85000</v>
      </c>
      <c r="U446" s="215">
        <v>85000</v>
      </c>
      <c r="V446" s="215">
        <v>85000</v>
      </c>
      <c r="X446" s="304"/>
      <c r="Y446" s="217"/>
    </row>
    <row r="447" spans="1:41" ht="24" customHeight="1">
      <c r="A447" s="402" t="s">
        <v>754</v>
      </c>
      <c r="B447" s="399"/>
      <c r="C447" s="399"/>
      <c r="D447" s="396"/>
      <c r="E447" s="399"/>
      <c r="F447" s="399"/>
      <c r="G447" s="399"/>
      <c r="H447" s="399"/>
      <c r="I447" s="399"/>
      <c r="J447" s="399"/>
      <c r="K447" s="399"/>
      <c r="L447" s="236"/>
      <c r="M447" s="229"/>
      <c r="N447" s="337"/>
      <c r="O447" s="337"/>
      <c r="P447" s="212"/>
      <c r="Q447" s="212"/>
      <c r="R447" s="211"/>
      <c r="S447" s="211"/>
      <c r="T447" s="211"/>
      <c r="U447" s="211"/>
      <c r="V447" s="211"/>
    </row>
    <row r="448" spans="1:41" ht="24" customHeight="1">
      <c r="A448" s="396" t="s">
        <v>358</v>
      </c>
      <c r="B448" s="397"/>
      <c r="C448" s="397"/>
      <c r="D448" s="396" t="s">
        <v>1246</v>
      </c>
      <c r="E448" s="397"/>
      <c r="F448" s="397"/>
      <c r="G448" s="397"/>
      <c r="H448" s="397"/>
      <c r="I448" s="397"/>
      <c r="J448" s="397"/>
      <c r="K448" s="397"/>
      <c r="L448" s="218"/>
      <c r="M448" s="254"/>
      <c r="N448" s="354">
        <v>125000</v>
      </c>
      <c r="O448" s="354">
        <v>0</v>
      </c>
      <c r="P448" s="256">
        <v>0</v>
      </c>
      <c r="Q448" s="256">
        <v>0</v>
      </c>
      <c r="R448" s="255">
        <v>0</v>
      </c>
      <c r="S448" s="255">
        <v>0</v>
      </c>
      <c r="T448" s="255">
        <v>0</v>
      </c>
      <c r="U448" s="255">
        <v>0</v>
      </c>
      <c r="V448" s="255">
        <v>0</v>
      </c>
    </row>
    <row r="449" spans="1:24" s="328" customFormat="1" ht="24" customHeight="1">
      <c r="L449" s="424"/>
      <c r="M449" s="441"/>
      <c r="N449" s="348">
        <f t="shared" ref="N449:V449" si="154">SUM(N428:N448)</f>
        <v>146573</v>
      </c>
      <c r="O449" s="348">
        <f t="shared" si="154"/>
        <v>386213</v>
      </c>
      <c r="P449" s="349">
        <f t="shared" si="154"/>
        <v>1457306</v>
      </c>
      <c r="Q449" s="349">
        <f t="shared" si="154"/>
        <v>1731266</v>
      </c>
      <c r="R449" s="348">
        <f t="shared" si="154"/>
        <v>2438022</v>
      </c>
      <c r="S449" s="348">
        <f t="shared" si="154"/>
        <v>4771254</v>
      </c>
      <c r="T449" s="348">
        <f t="shared" si="154"/>
        <v>1690753</v>
      </c>
      <c r="U449" s="348">
        <f t="shared" si="154"/>
        <v>827705</v>
      </c>
      <c r="V449" s="348">
        <f t="shared" si="154"/>
        <v>782765</v>
      </c>
      <c r="W449" s="640"/>
    </row>
    <row r="450" spans="1:24" s="328" customFormat="1" ht="15" customHeight="1">
      <c r="L450" s="424"/>
      <c r="M450" s="441"/>
      <c r="N450" s="348"/>
      <c r="O450" s="348"/>
      <c r="P450" s="349"/>
      <c r="Q450" s="349"/>
      <c r="R450" s="348"/>
      <c r="S450" s="348"/>
      <c r="T450" s="348"/>
      <c r="U450" s="348"/>
      <c r="V450" s="348"/>
      <c r="W450" s="640"/>
    </row>
    <row r="451" spans="1:24" s="328" customFormat="1" ht="24" customHeight="1">
      <c r="K451" s="400" t="s">
        <v>659</v>
      </c>
      <c r="L451" s="422"/>
      <c r="M451" s="441"/>
      <c r="N451" s="348">
        <f t="shared" ref="N451:V451" si="155">N425+N449</f>
        <v>146573</v>
      </c>
      <c r="O451" s="348">
        <f t="shared" si="155"/>
        <v>386213</v>
      </c>
      <c r="P451" s="349">
        <f t="shared" si="155"/>
        <v>1462556</v>
      </c>
      <c r="Q451" s="349">
        <f t="shared" si="155"/>
        <v>1736516</v>
      </c>
      <c r="R451" s="348">
        <f t="shared" si="155"/>
        <v>2548272</v>
      </c>
      <c r="S451" s="348">
        <f t="shared" si="155"/>
        <v>4831504</v>
      </c>
      <c r="T451" s="348">
        <f t="shared" si="155"/>
        <v>1756003</v>
      </c>
      <c r="U451" s="348">
        <f t="shared" si="155"/>
        <v>892955</v>
      </c>
      <c r="V451" s="348">
        <f t="shared" si="155"/>
        <v>848015</v>
      </c>
      <c r="W451" s="640"/>
    </row>
    <row r="452" spans="1:24" s="328" customFormat="1" ht="15" customHeight="1">
      <c r="L452" s="424"/>
      <c r="M452" s="435"/>
      <c r="N452" s="346"/>
      <c r="O452" s="346"/>
      <c r="P452" s="347"/>
      <c r="Q452" s="347"/>
      <c r="R452" s="346"/>
      <c r="S452" s="346"/>
      <c r="T452" s="346"/>
      <c r="U452" s="346"/>
      <c r="V452" s="346"/>
      <c r="W452" s="640"/>
    </row>
    <row r="453" spans="1:24" s="328" customFormat="1" ht="24" customHeight="1">
      <c r="K453" s="400" t="s">
        <v>660</v>
      </c>
      <c r="L453" s="422"/>
      <c r="M453" s="422"/>
      <c r="N453" s="365">
        <f t="shared" ref="N453:V453" si="156">N418-N451</f>
        <v>80544</v>
      </c>
      <c r="O453" s="365">
        <f t="shared" si="156"/>
        <v>247529</v>
      </c>
      <c r="P453" s="366">
        <f t="shared" si="156"/>
        <v>317616</v>
      </c>
      <c r="Q453" s="366">
        <f t="shared" si="156"/>
        <v>332677</v>
      </c>
      <c r="R453" s="365">
        <f t="shared" si="156"/>
        <v>4001568</v>
      </c>
      <c r="S453" s="365">
        <f t="shared" si="156"/>
        <v>-4028254</v>
      </c>
      <c r="T453" s="365">
        <f t="shared" si="156"/>
        <v>-586753</v>
      </c>
      <c r="U453" s="365">
        <f t="shared" si="156"/>
        <v>-47964</v>
      </c>
      <c r="V453" s="365">
        <f t="shared" si="156"/>
        <v>0</v>
      </c>
      <c r="W453" s="640"/>
    </row>
    <row r="454" spans="1:24" s="328" customFormat="1" ht="15" customHeight="1">
      <c r="K454" s="400"/>
      <c r="L454" s="422"/>
      <c r="M454" s="422"/>
      <c r="N454" s="365"/>
      <c r="O454" s="365"/>
      <c r="P454" s="366"/>
      <c r="Q454" s="366"/>
      <c r="R454" s="365"/>
      <c r="S454" s="365"/>
      <c r="T454" s="365"/>
      <c r="U454" s="365"/>
      <c r="V454" s="365"/>
      <c r="W454" s="640"/>
    </row>
    <row r="455" spans="1:24" s="328" customFormat="1" ht="24" customHeight="1">
      <c r="F455" s="747" t="s">
        <v>1127</v>
      </c>
      <c r="G455" s="747"/>
      <c r="H455" s="747"/>
      <c r="I455" s="747"/>
      <c r="J455" s="747"/>
      <c r="K455" s="747"/>
      <c r="L455" s="602"/>
      <c r="M455" s="603"/>
      <c r="N455" s="372">
        <v>0</v>
      </c>
      <c r="O455" s="372">
        <v>0</v>
      </c>
      <c r="P455" s="373">
        <f>P406-P425</f>
        <v>0</v>
      </c>
      <c r="Q455" s="373">
        <v>0</v>
      </c>
      <c r="R455" s="372">
        <f>Q455+R406+R414-R425</f>
        <v>0</v>
      </c>
      <c r="S455" s="372">
        <f>R455+S406+S414-S425</f>
        <v>0</v>
      </c>
      <c r="T455" s="372">
        <f>S455+T406+T414-T425</f>
        <v>0</v>
      </c>
      <c r="U455" s="372">
        <f>T455+U406+U414-U425</f>
        <v>0</v>
      </c>
      <c r="V455" s="372">
        <f>U455+V406+V414-V425</f>
        <v>0</v>
      </c>
      <c r="W455" s="640"/>
    </row>
    <row r="456" spans="1:24" s="328" customFormat="1" ht="15" customHeight="1">
      <c r="F456" s="412"/>
      <c r="G456" s="412"/>
      <c r="H456" s="412"/>
      <c r="I456" s="412"/>
      <c r="J456" s="412"/>
      <c r="K456" s="412"/>
      <c r="L456" s="604"/>
      <c r="M456" s="604"/>
      <c r="N456" s="374"/>
      <c r="O456" s="374"/>
      <c r="P456" s="678"/>
      <c r="Q456" s="678"/>
      <c r="R456" s="374"/>
      <c r="S456" s="374"/>
      <c r="T456" s="374"/>
      <c r="U456" s="374"/>
      <c r="V456" s="374"/>
      <c r="W456" s="640"/>
    </row>
    <row r="457" spans="1:24" s="328" customFormat="1" ht="24" customHeight="1">
      <c r="F457" s="747" t="s">
        <v>1128</v>
      </c>
      <c r="G457" s="747"/>
      <c r="H457" s="747"/>
      <c r="I457" s="747"/>
      <c r="J457" s="747"/>
      <c r="K457" s="747"/>
      <c r="L457" s="443"/>
      <c r="M457" s="444"/>
      <c r="N457" s="372">
        <v>81196</v>
      </c>
      <c r="O457" s="372">
        <v>328726</v>
      </c>
      <c r="P457" s="373">
        <v>691053</v>
      </c>
      <c r="Q457" s="373">
        <f>O457+Q453</f>
        <v>661403</v>
      </c>
      <c r="R457" s="372">
        <f>Q457+(R418-R406-R414)-(R451-R425)</f>
        <v>4662971</v>
      </c>
      <c r="S457" s="372">
        <f>R457+(S418-S406-S414)-(S451-S425)</f>
        <v>634717</v>
      </c>
      <c r="T457" s="372">
        <f>S457+(T418-T406-T414)-(T451-T425)</f>
        <v>47964</v>
      </c>
      <c r="U457" s="372">
        <f>T457+(U418-U406-U414)-(U451-U425)</f>
        <v>0</v>
      </c>
      <c r="V457" s="372">
        <f>U457+(V418-V406-V414)-(V451-V425)</f>
        <v>0</v>
      </c>
      <c r="W457" s="640"/>
    </row>
    <row r="458" spans="1:24" s="328" customFormat="1" ht="15" customHeight="1">
      <c r="K458" s="400"/>
      <c r="L458" s="422"/>
      <c r="M458" s="422"/>
      <c r="N458" s="365"/>
      <c r="O458" s="365"/>
      <c r="P458" s="366"/>
      <c r="Q458" s="366"/>
      <c r="R458" s="365"/>
      <c r="S458" s="365"/>
      <c r="T458" s="365"/>
      <c r="U458" s="365"/>
      <c r="V458" s="365"/>
      <c r="W458" s="640"/>
    </row>
    <row r="459" spans="1:24" s="328" customFormat="1" ht="24" customHeight="1" thickBot="1">
      <c r="K459" s="405" t="s">
        <v>662</v>
      </c>
      <c r="L459" s="422"/>
      <c r="M459" s="422"/>
      <c r="N459" s="375">
        <v>81196</v>
      </c>
      <c r="O459" s="375">
        <v>328726</v>
      </c>
      <c r="P459" s="376">
        <v>691053</v>
      </c>
      <c r="Q459" s="376">
        <f>O459+Q453</f>
        <v>661403</v>
      </c>
      <c r="R459" s="375">
        <f>Q459+R453</f>
        <v>4662971</v>
      </c>
      <c r="S459" s="375">
        <f>R459+S453</f>
        <v>634717</v>
      </c>
      <c r="T459" s="375">
        <f>S459+T453</f>
        <v>47964</v>
      </c>
      <c r="U459" s="375">
        <f>T459+U453</f>
        <v>0</v>
      </c>
      <c r="V459" s="375">
        <f>U459+V453</f>
        <v>0</v>
      </c>
      <c r="W459" s="640"/>
      <c r="X459" s="695"/>
    </row>
    <row r="460" spans="1:24" s="561" customFormat="1" ht="15" hidden="1" customHeight="1" thickTop="1">
      <c r="A460" s="490"/>
      <c r="B460" s="490"/>
      <c r="C460" s="490"/>
      <c r="D460" s="490"/>
      <c r="E460" s="490"/>
      <c r="F460" s="490"/>
      <c r="G460" s="490"/>
      <c r="H460" s="490"/>
      <c r="I460" s="490"/>
      <c r="J460" s="490"/>
      <c r="K460" s="497"/>
      <c r="L460" s="632"/>
      <c r="M460" s="562"/>
      <c r="N460" s="634">
        <f t="shared" ref="N460" si="157">(N455+N457)-N459</f>
        <v>0</v>
      </c>
      <c r="O460" s="634">
        <f>(O455+O457)-O459</f>
        <v>0</v>
      </c>
      <c r="P460" s="634">
        <f>(P455+P457)-P459</f>
        <v>0</v>
      </c>
      <c r="Q460" s="634">
        <f>(Q455+Q457)-Q459</f>
        <v>0</v>
      </c>
      <c r="R460" s="634">
        <f>(R455+R457)-R459</f>
        <v>0</v>
      </c>
      <c r="S460" s="634">
        <f t="shared" ref="S460:U460" si="158">(S455+S457)-S459</f>
        <v>0</v>
      </c>
      <c r="T460" s="634">
        <f t="shared" si="158"/>
        <v>0</v>
      </c>
      <c r="U460" s="634">
        <f t="shared" si="158"/>
        <v>0</v>
      </c>
      <c r="V460" s="634">
        <f t="shared" ref="V460" si="159">(V455+V457)-V459</f>
        <v>0</v>
      </c>
      <c r="W460" s="560"/>
      <c r="X460" s="633" t="s">
        <v>1442</v>
      </c>
    </row>
    <row r="461" spans="1:24" s="561" customFormat="1" ht="15" hidden="1" customHeight="1">
      <c r="A461" s="490"/>
      <c r="B461" s="490"/>
      <c r="C461" s="490"/>
      <c r="D461" s="490"/>
      <c r="E461" s="490"/>
      <c r="F461" s="490"/>
      <c r="G461" s="490"/>
      <c r="H461" s="490"/>
      <c r="I461" s="490"/>
      <c r="J461" s="490"/>
      <c r="K461" s="497"/>
      <c r="L461" s="632"/>
      <c r="M461" s="562"/>
      <c r="N461" s="634">
        <v>0</v>
      </c>
      <c r="O461" s="634">
        <f>N459+O453-O459</f>
        <v>-1</v>
      </c>
      <c r="P461" s="634">
        <v>0</v>
      </c>
      <c r="Q461" s="634">
        <f>O459+Q453-Q459</f>
        <v>0</v>
      </c>
      <c r="R461" s="634">
        <f>Q459+R453-R459</f>
        <v>0</v>
      </c>
      <c r="S461" s="634">
        <f>R459+S453-S459</f>
        <v>0</v>
      </c>
      <c r="T461" s="634">
        <f t="shared" ref="T461" si="160">S459+T453-T459</f>
        <v>0</v>
      </c>
      <c r="U461" s="634">
        <f>T459+U453-U459</f>
        <v>0</v>
      </c>
      <c r="V461" s="634">
        <f>U459+V453-V459</f>
        <v>0</v>
      </c>
      <c r="W461" s="560"/>
      <c r="X461" s="633" t="s">
        <v>1443</v>
      </c>
    </row>
    <row r="462" spans="1:24" ht="15" customHeight="1" thickTop="1">
      <c r="A462" s="328"/>
      <c r="B462" s="328"/>
      <c r="C462" s="328"/>
      <c r="D462" s="328"/>
      <c r="E462" s="328"/>
      <c r="F462" s="328"/>
      <c r="G462" s="328"/>
      <c r="H462" s="328"/>
      <c r="I462" s="328"/>
      <c r="J462" s="328"/>
      <c r="K462" s="405"/>
      <c r="L462" s="240"/>
      <c r="M462" s="280"/>
      <c r="N462" s="621"/>
      <c r="O462" s="621"/>
      <c r="P462" s="626"/>
      <c r="Q462" s="626"/>
      <c r="R462" s="627"/>
      <c r="S462" s="627"/>
      <c r="T462" s="627"/>
      <c r="U462" s="627"/>
      <c r="V462" s="627"/>
    </row>
    <row r="463" spans="1:24" ht="24" customHeight="1">
      <c r="A463" s="407" t="s">
        <v>1130</v>
      </c>
      <c r="B463" s="328"/>
      <c r="C463" s="328"/>
      <c r="D463" s="328"/>
      <c r="E463" s="328"/>
      <c r="F463" s="328"/>
      <c r="G463" s="328"/>
      <c r="H463" s="328"/>
      <c r="I463" s="328"/>
      <c r="J463" s="328"/>
      <c r="K463" s="405"/>
      <c r="L463" s="240"/>
      <c r="M463" s="280"/>
      <c r="N463" s="621"/>
      <c r="O463" s="621"/>
      <c r="P463" s="626"/>
      <c r="Q463" s="626"/>
      <c r="R463" s="627"/>
      <c r="S463" s="627"/>
      <c r="T463" s="627"/>
      <c r="U463" s="627"/>
      <c r="V463" s="627"/>
    </row>
    <row r="464" spans="1:24" ht="15" customHeight="1">
      <c r="A464" s="328"/>
      <c r="B464" s="328"/>
      <c r="C464" s="328"/>
      <c r="D464" s="328"/>
      <c r="E464" s="328"/>
      <c r="F464" s="328"/>
      <c r="G464" s="328"/>
      <c r="H464" s="328"/>
      <c r="I464" s="328"/>
      <c r="J464" s="328"/>
      <c r="K464" s="405"/>
      <c r="L464" s="240"/>
      <c r="M464" s="280"/>
      <c r="N464" s="621"/>
      <c r="O464" s="621"/>
      <c r="P464" s="626"/>
      <c r="Q464" s="626"/>
      <c r="R464" s="627"/>
      <c r="S464" s="627"/>
      <c r="T464" s="627"/>
      <c r="U464" s="627"/>
      <c r="V464" s="627"/>
    </row>
    <row r="465" spans="1:25" ht="24" customHeight="1">
      <c r="A465" s="396" t="s">
        <v>1353</v>
      </c>
      <c r="B465" s="397"/>
      <c r="C465" s="328"/>
      <c r="D465" s="396" t="s">
        <v>1132</v>
      </c>
      <c r="E465" s="397"/>
      <c r="F465" s="328"/>
      <c r="G465" s="328"/>
      <c r="H465" s="328"/>
      <c r="I465" s="328"/>
      <c r="J465" s="328"/>
      <c r="K465" s="328"/>
      <c r="L465" s="209">
        <v>37200</v>
      </c>
      <c r="M465" s="298">
        <v>19950</v>
      </c>
      <c r="N465" s="352">
        <v>15450</v>
      </c>
      <c r="O465" s="352">
        <v>23359</v>
      </c>
      <c r="P465" s="250">
        <v>16000</v>
      </c>
      <c r="Q465" s="250">
        <v>16000</v>
      </c>
      <c r="R465" s="249">
        <v>16000</v>
      </c>
      <c r="S465" s="249">
        <v>16000</v>
      </c>
      <c r="T465" s="249">
        <v>16000</v>
      </c>
      <c r="U465" s="249">
        <v>16000</v>
      </c>
      <c r="V465" s="249">
        <v>16000</v>
      </c>
      <c r="W465" s="560" t="s">
        <v>1131</v>
      </c>
      <c r="X465" s="325"/>
      <c r="Y465" s="325"/>
    </row>
    <row r="466" spans="1:25" ht="24" customHeight="1">
      <c r="A466" s="396" t="s">
        <v>1432</v>
      </c>
      <c r="B466" s="397"/>
      <c r="C466" s="328"/>
      <c r="D466" s="396" t="s">
        <v>1078</v>
      </c>
      <c r="E466" s="397"/>
      <c r="F466" s="328"/>
      <c r="G466" s="328"/>
      <c r="H466" s="328"/>
      <c r="I466" s="328"/>
      <c r="J466" s="328"/>
      <c r="K466" s="328"/>
      <c r="L466" s="209"/>
      <c r="M466" s="298">
        <v>0</v>
      </c>
      <c r="N466" s="352">
        <v>3500</v>
      </c>
      <c r="O466" s="352">
        <v>24140</v>
      </c>
      <c r="P466" s="250">
        <v>0</v>
      </c>
      <c r="Q466" s="250">
        <v>0</v>
      </c>
      <c r="R466" s="249">
        <v>0</v>
      </c>
      <c r="S466" s="249">
        <v>0</v>
      </c>
      <c r="T466" s="249">
        <v>0</v>
      </c>
      <c r="U466" s="249">
        <v>0</v>
      </c>
      <c r="V466" s="249">
        <v>0</v>
      </c>
      <c r="W466" s="560" t="s">
        <v>1497</v>
      </c>
      <c r="X466" s="213"/>
      <c r="Y466" s="325"/>
    </row>
    <row r="467" spans="1:25" ht="24" customHeight="1">
      <c r="A467" s="396" t="s">
        <v>1493</v>
      </c>
      <c r="B467" s="328"/>
      <c r="C467" s="328"/>
      <c r="D467" s="396" t="s">
        <v>332</v>
      </c>
      <c r="E467" s="328"/>
      <c r="F467" s="328"/>
      <c r="G467" s="328"/>
      <c r="H467" s="328"/>
      <c r="I467" s="328"/>
      <c r="J467" s="328"/>
      <c r="K467" s="328"/>
      <c r="L467" s="209"/>
      <c r="M467" s="298">
        <v>6613</v>
      </c>
      <c r="N467" s="352">
        <v>0</v>
      </c>
      <c r="O467" s="352">
        <v>0</v>
      </c>
      <c r="P467" s="250">
        <v>0</v>
      </c>
      <c r="Q467" s="250">
        <v>12264</v>
      </c>
      <c r="R467" s="249">
        <v>0</v>
      </c>
      <c r="S467" s="249">
        <v>0</v>
      </c>
      <c r="T467" s="249">
        <v>0</v>
      </c>
      <c r="U467" s="249">
        <v>0</v>
      </c>
      <c r="V467" s="249">
        <v>0</v>
      </c>
      <c r="W467" s="560" t="s">
        <v>1131</v>
      </c>
    </row>
    <row r="468" spans="1:25" ht="24" customHeight="1">
      <c r="A468" s="509" t="s">
        <v>1354</v>
      </c>
      <c r="B468" s="328"/>
      <c r="C468" s="328"/>
      <c r="D468" s="396" t="s">
        <v>343</v>
      </c>
      <c r="E468" s="328"/>
      <c r="F468" s="328"/>
      <c r="G468" s="328"/>
      <c r="H468" s="328"/>
      <c r="I468" s="328"/>
      <c r="J468" s="328"/>
      <c r="K468" s="328"/>
      <c r="L468" s="209"/>
      <c r="M468" s="298">
        <v>0</v>
      </c>
      <c r="N468" s="352">
        <v>0</v>
      </c>
      <c r="O468" s="352">
        <v>6600</v>
      </c>
      <c r="P468" s="250">
        <v>6500</v>
      </c>
      <c r="Q468" s="250">
        <v>6500</v>
      </c>
      <c r="R468" s="249">
        <v>6500</v>
      </c>
      <c r="S468" s="249">
        <v>6500</v>
      </c>
      <c r="T468" s="249">
        <v>6500</v>
      </c>
      <c r="U468" s="249">
        <v>6500</v>
      </c>
      <c r="V468" s="249">
        <v>6500</v>
      </c>
      <c r="W468" s="560" t="s">
        <v>1133</v>
      </c>
    </row>
    <row r="469" spans="1:25" ht="24" customHeight="1">
      <c r="A469" s="396" t="s">
        <v>1355</v>
      </c>
      <c r="B469" s="397"/>
      <c r="C469" s="328"/>
      <c r="D469" s="396" t="s">
        <v>1134</v>
      </c>
      <c r="E469" s="397"/>
      <c r="F469" s="328"/>
      <c r="G469" s="328"/>
      <c r="H469" s="328"/>
      <c r="I469" s="328"/>
      <c r="J469" s="328"/>
      <c r="K469" s="328"/>
      <c r="L469" s="209">
        <v>86500</v>
      </c>
      <c r="M469" s="298">
        <v>47450</v>
      </c>
      <c r="N469" s="337">
        <v>33450</v>
      </c>
      <c r="O469" s="337">
        <v>27060</v>
      </c>
      <c r="P469" s="250">
        <v>24500</v>
      </c>
      <c r="Q469" s="250">
        <v>24500</v>
      </c>
      <c r="R469" s="249">
        <v>24500</v>
      </c>
      <c r="S469" s="249">
        <v>24500</v>
      </c>
      <c r="T469" s="249">
        <v>24500</v>
      </c>
      <c r="U469" s="249">
        <v>24500</v>
      </c>
      <c r="V469" s="249">
        <v>24500</v>
      </c>
      <c r="W469" s="560" t="s">
        <v>1133</v>
      </c>
      <c r="X469" s="217"/>
      <c r="Y469" s="325"/>
    </row>
    <row r="470" spans="1:25" ht="24" customHeight="1">
      <c r="A470" s="396" t="s">
        <v>1356</v>
      </c>
      <c r="B470" s="397"/>
      <c r="C470" s="328"/>
      <c r="D470" s="396" t="s">
        <v>1181</v>
      </c>
      <c r="E470" s="397"/>
      <c r="F470" s="328"/>
      <c r="G470" s="328"/>
      <c r="H470" s="328"/>
      <c r="I470" s="328"/>
      <c r="J470" s="328"/>
      <c r="K470" s="328"/>
      <c r="L470" s="209">
        <v>21650</v>
      </c>
      <c r="M470" s="298">
        <v>3300</v>
      </c>
      <c r="N470" s="352">
        <v>2600</v>
      </c>
      <c r="O470" s="352">
        <v>3300</v>
      </c>
      <c r="P470" s="250">
        <v>2275</v>
      </c>
      <c r="Q470" s="250">
        <v>2275</v>
      </c>
      <c r="R470" s="249">
        <v>2275</v>
      </c>
      <c r="S470" s="249">
        <v>2275</v>
      </c>
      <c r="T470" s="249">
        <v>2275</v>
      </c>
      <c r="U470" s="249">
        <v>2275</v>
      </c>
      <c r="V470" s="249">
        <v>2275</v>
      </c>
      <c r="W470" s="560" t="s">
        <v>1135</v>
      </c>
      <c r="X470" s="591"/>
      <c r="Y470" s="325"/>
    </row>
    <row r="471" spans="1:25" ht="24" customHeight="1">
      <c r="A471" s="396" t="s">
        <v>1357</v>
      </c>
      <c r="B471" s="397"/>
      <c r="C471" s="328"/>
      <c r="D471" s="735" t="s">
        <v>333</v>
      </c>
      <c r="E471" s="735"/>
      <c r="F471" s="735"/>
      <c r="G471" s="735"/>
      <c r="H471" s="735"/>
      <c r="I471" s="735"/>
      <c r="J471" s="735"/>
      <c r="K471" s="735"/>
      <c r="L471" s="218">
        <v>2915</v>
      </c>
      <c r="M471" s="210">
        <v>4381</v>
      </c>
      <c r="N471" s="337">
        <v>3116</v>
      </c>
      <c r="O471" s="337">
        <v>6949</v>
      </c>
      <c r="P471" s="212">
        <v>3100</v>
      </c>
      <c r="Q471" s="212">
        <v>7000</v>
      </c>
      <c r="R471" s="211">
        <v>5000</v>
      </c>
      <c r="S471" s="211">
        <v>5000</v>
      </c>
      <c r="T471" s="211">
        <v>5000</v>
      </c>
      <c r="U471" s="211">
        <v>5000</v>
      </c>
      <c r="V471" s="211">
        <v>5000</v>
      </c>
      <c r="W471" s="560" t="s">
        <v>1131</v>
      </c>
      <c r="Y471" s="325"/>
    </row>
    <row r="472" spans="1:25" ht="24" customHeight="1">
      <c r="A472" s="396" t="s">
        <v>1358</v>
      </c>
      <c r="B472" s="397"/>
      <c r="C472" s="328"/>
      <c r="D472" s="735" t="s">
        <v>1069</v>
      </c>
      <c r="E472" s="735"/>
      <c r="F472" s="735"/>
      <c r="G472" s="735"/>
      <c r="H472" s="735"/>
      <c r="I472" s="735"/>
      <c r="J472" s="735"/>
      <c r="K472" s="735"/>
      <c r="L472" s="218"/>
      <c r="M472" s="210">
        <v>0</v>
      </c>
      <c r="N472" s="337">
        <v>782</v>
      </c>
      <c r="O472" s="337">
        <v>790</v>
      </c>
      <c r="P472" s="212">
        <v>750</v>
      </c>
      <c r="Q472" s="212">
        <v>750</v>
      </c>
      <c r="R472" s="211">
        <v>750</v>
      </c>
      <c r="S472" s="211">
        <v>750</v>
      </c>
      <c r="T472" s="211">
        <v>750</v>
      </c>
      <c r="U472" s="211">
        <v>750</v>
      </c>
      <c r="V472" s="211">
        <v>750</v>
      </c>
      <c r="W472" s="560" t="s">
        <v>1131</v>
      </c>
      <c r="Y472" s="325"/>
    </row>
    <row r="473" spans="1:25" ht="24" customHeight="1">
      <c r="A473" s="396" t="s">
        <v>1359</v>
      </c>
      <c r="B473" s="397"/>
      <c r="C473" s="328"/>
      <c r="D473" s="735" t="s">
        <v>791</v>
      </c>
      <c r="E473" s="735"/>
      <c r="F473" s="735"/>
      <c r="G473" s="735"/>
      <c r="H473" s="735"/>
      <c r="I473" s="735"/>
      <c r="J473" s="735"/>
      <c r="K473" s="735"/>
      <c r="L473" s="218">
        <v>5011</v>
      </c>
      <c r="M473" s="210">
        <v>5683</v>
      </c>
      <c r="N473" s="337">
        <v>2335</v>
      </c>
      <c r="O473" s="337">
        <v>9000</v>
      </c>
      <c r="P473" s="212">
        <v>5000</v>
      </c>
      <c r="Q473" s="212">
        <v>5000</v>
      </c>
      <c r="R473" s="211">
        <v>5000</v>
      </c>
      <c r="S473" s="211">
        <v>5000</v>
      </c>
      <c r="T473" s="211">
        <v>5000</v>
      </c>
      <c r="U473" s="211">
        <v>5000</v>
      </c>
      <c r="V473" s="211">
        <v>5000</v>
      </c>
      <c r="W473" s="560" t="s">
        <v>1131</v>
      </c>
      <c r="Y473" s="325"/>
    </row>
    <row r="474" spans="1:25" ht="24" customHeight="1">
      <c r="A474" s="396" t="s">
        <v>1360</v>
      </c>
      <c r="B474" s="328"/>
      <c r="C474" s="328"/>
      <c r="D474" s="396" t="s">
        <v>336</v>
      </c>
      <c r="E474" s="328"/>
      <c r="F474" s="328"/>
      <c r="G474" s="328"/>
      <c r="H474" s="328"/>
      <c r="I474" s="328"/>
      <c r="J474" s="328"/>
      <c r="K474" s="328"/>
      <c r="L474" s="209"/>
      <c r="M474" s="298"/>
      <c r="N474" s="352">
        <v>6040</v>
      </c>
      <c r="O474" s="352">
        <v>6725</v>
      </c>
      <c r="P474" s="250">
        <v>5500</v>
      </c>
      <c r="Q474" s="250">
        <v>8692</v>
      </c>
      <c r="R474" s="249">
        <v>6000</v>
      </c>
      <c r="S474" s="249">
        <v>6000</v>
      </c>
      <c r="T474" s="249">
        <v>6000</v>
      </c>
      <c r="U474" s="249">
        <v>6000</v>
      </c>
      <c r="V474" s="249">
        <v>6000</v>
      </c>
      <c r="W474" s="560" t="s">
        <v>1133</v>
      </c>
    </row>
    <row r="475" spans="1:25" ht="24" customHeight="1">
      <c r="A475" s="396" t="s">
        <v>1361</v>
      </c>
      <c r="B475" s="328"/>
      <c r="C475" s="328"/>
      <c r="D475" s="396" t="s">
        <v>1233</v>
      </c>
      <c r="E475" s="328"/>
      <c r="F475" s="328"/>
      <c r="G475" s="328"/>
      <c r="H475" s="328"/>
      <c r="I475" s="328"/>
      <c r="J475" s="328"/>
      <c r="K475" s="328"/>
      <c r="L475" s="209"/>
      <c r="M475" s="298"/>
      <c r="N475" s="352">
        <v>0</v>
      </c>
      <c r="O475" s="352">
        <v>0</v>
      </c>
      <c r="P475" s="250">
        <v>0</v>
      </c>
      <c r="Q475" s="250">
        <v>0</v>
      </c>
      <c r="R475" s="249">
        <f>53165+60-10+3241-300+1+127740-12264-110000-12625+25+25</f>
        <v>49058</v>
      </c>
      <c r="S475" s="249">
        <f>78867+25-100+128000-107500-1900+25</f>
        <v>97417</v>
      </c>
      <c r="T475" s="249">
        <f>78867+25-100+63000-75000-1900+25</f>
        <v>64917</v>
      </c>
      <c r="U475" s="249">
        <f>78866+25-100+1+63000-75000-1900+25</f>
        <v>64917</v>
      </c>
      <c r="V475" s="249">
        <f>78866+25-100+1+63000-75000-1900+25</f>
        <v>64917</v>
      </c>
      <c r="W475" s="560" t="s">
        <v>1131</v>
      </c>
    </row>
    <row r="476" spans="1:25" ht="24" customHeight="1">
      <c r="A476" s="396" t="s">
        <v>1362</v>
      </c>
      <c r="B476" s="328"/>
      <c r="C476" s="328"/>
      <c r="D476" s="396" t="s">
        <v>1235</v>
      </c>
      <c r="E476" s="555"/>
      <c r="F476" s="555"/>
      <c r="G476" s="555"/>
      <c r="H476" s="555"/>
      <c r="I476" s="555"/>
      <c r="J476" s="555"/>
      <c r="K476" s="555"/>
      <c r="L476" s="209"/>
      <c r="M476" s="298"/>
      <c r="N476" s="352">
        <v>0</v>
      </c>
      <c r="O476" s="352">
        <v>0</v>
      </c>
      <c r="P476" s="250">
        <v>144650</v>
      </c>
      <c r="Q476" s="250">
        <v>144650</v>
      </c>
      <c r="R476" s="249">
        <f>42295+10000-1000+500+130435-71000-12720+2052-3192</f>
        <v>97370</v>
      </c>
      <c r="S476" s="249">
        <f>42295+9000+500+98000-30000-70000-8980+500</f>
        <v>41315</v>
      </c>
      <c r="T476" s="249">
        <f>42295+9000+500+98000-30000-70000-8980+500</f>
        <v>41315</v>
      </c>
      <c r="U476" s="249">
        <f>42295+9000+500-2000-8980+500</f>
        <v>41315</v>
      </c>
      <c r="V476" s="249">
        <f>42295+9000+500-2000-8980+500</f>
        <v>41315</v>
      </c>
      <c r="W476" s="560" t="s">
        <v>1133</v>
      </c>
    </row>
    <row r="477" spans="1:25" ht="24" customHeight="1">
      <c r="A477" s="396" t="s">
        <v>1492</v>
      </c>
      <c r="B477" s="555"/>
      <c r="C477" s="555"/>
      <c r="D477" s="396" t="s">
        <v>1408</v>
      </c>
      <c r="E477" s="555"/>
      <c r="F477" s="555"/>
      <c r="G477" s="555"/>
      <c r="H477" s="555"/>
      <c r="I477" s="555"/>
      <c r="J477" s="555"/>
      <c r="K477" s="555"/>
      <c r="L477" s="209"/>
      <c r="M477" s="298"/>
      <c r="N477" s="352">
        <v>0</v>
      </c>
      <c r="O477" s="352">
        <v>0</v>
      </c>
      <c r="P477" s="250">
        <v>0</v>
      </c>
      <c r="Q477" s="250">
        <v>0</v>
      </c>
      <c r="R477" s="249">
        <f>82048-80000+47602+60000</f>
        <v>109650</v>
      </c>
      <c r="S477" s="249">
        <f>159775+32000-174500-281</f>
        <v>16994</v>
      </c>
      <c r="T477" s="249">
        <f>137775-137775</f>
        <v>0</v>
      </c>
      <c r="U477" s="249">
        <v>0</v>
      </c>
      <c r="V477" s="249">
        <f>155775-155775</f>
        <v>0</v>
      </c>
      <c r="W477" s="560" t="s">
        <v>1135</v>
      </c>
    </row>
    <row r="478" spans="1:25" ht="24" customHeight="1">
      <c r="A478" s="396" t="s">
        <v>1363</v>
      </c>
      <c r="B478" s="397"/>
      <c r="C478" s="328"/>
      <c r="D478" s="397" t="s">
        <v>1186</v>
      </c>
      <c r="E478" s="397"/>
      <c r="F478" s="397"/>
      <c r="G478" s="397"/>
      <c r="H478" s="397"/>
      <c r="I478" s="397"/>
      <c r="J478" s="397"/>
      <c r="K478" s="397"/>
      <c r="L478" s="218"/>
      <c r="M478" s="210"/>
      <c r="N478" s="337">
        <v>55</v>
      </c>
      <c r="O478" s="337">
        <v>37</v>
      </c>
      <c r="P478" s="212">
        <v>25</v>
      </c>
      <c r="Q478" s="212">
        <v>0</v>
      </c>
      <c r="R478" s="211">
        <v>0</v>
      </c>
      <c r="S478" s="211">
        <v>0</v>
      </c>
      <c r="T478" s="211">
        <v>0</v>
      </c>
      <c r="U478" s="211">
        <v>0</v>
      </c>
      <c r="V478" s="211">
        <v>0</v>
      </c>
      <c r="W478" s="560" t="s">
        <v>1131</v>
      </c>
      <c r="Y478" s="325"/>
    </row>
    <row r="479" spans="1:25" ht="24" customHeight="1">
      <c r="A479" s="396" t="s">
        <v>1364</v>
      </c>
      <c r="B479" s="328"/>
      <c r="C479" s="328"/>
      <c r="D479" s="396" t="s">
        <v>1183</v>
      </c>
      <c r="E479" s="328"/>
      <c r="F479" s="328"/>
      <c r="G479" s="328"/>
      <c r="H479" s="328"/>
      <c r="I479" s="328"/>
      <c r="J479" s="328"/>
      <c r="K479" s="328"/>
      <c r="L479" s="209"/>
      <c r="M479" s="298"/>
      <c r="N479" s="352">
        <v>22</v>
      </c>
      <c r="O479" s="352">
        <v>17</v>
      </c>
      <c r="P479" s="250">
        <v>0</v>
      </c>
      <c r="Q479" s="250">
        <v>0</v>
      </c>
      <c r="R479" s="249">
        <v>0</v>
      </c>
      <c r="S479" s="249">
        <v>0</v>
      </c>
      <c r="T479" s="249">
        <v>0</v>
      </c>
      <c r="U479" s="249">
        <v>0</v>
      </c>
      <c r="V479" s="249">
        <v>0</v>
      </c>
      <c r="W479" s="560" t="s">
        <v>1133</v>
      </c>
    </row>
    <row r="480" spans="1:25" ht="24" customHeight="1">
      <c r="A480" s="396" t="s">
        <v>1365</v>
      </c>
      <c r="B480" s="397"/>
      <c r="C480" s="328"/>
      <c r="D480" s="735" t="s">
        <v>1184</v>
      </c>
      <c r="E480" s="735"/>
      <c r="F480" s="735"/>
      <c r="G480" s="735"/>
      <c r="H480" s="735"/>
      <c r="I480" s="735"/>
      <c r="J480" s="735"/>
      <c r="K480" s="735"/>
      <c r="L480" s="218"/>
      <c r="M480" s="214"/>
      <c r="N480" s="339">
        <v>328</v>
      </c>
      <c r="O480" s="339">
        <v>513</v>
      </c>
      <c r="P480" s="216">
        <v>450</v>
      </c>
      <c r="Q480" s="216">
        <v>450</v>
      </c>
      <c r="R480" s="215">
        <v>450</v>
      </c>
      <c r="S480" s="215">
        <v>450</v>
      </c>
      <c r="T480" s="215">
        <v>450</v>
      </c>
      <c r="U480" s="215">
        <v>450</v>
      </c>
      <c r="V480" s="215">
        <v>450</v>
      </c>
      <c r="W480" s="560" t="s">
        <v>1135</v>
      </c>
      <c r="Y480" s="325"/>
    </row>
    <row r="481" spans="1:25" ht="24" customHeight="1">
      <c r="A481" s="396" t="s">
        <v>1366</v>
      </c>
      <c r="B481" s="397"/>
      <c r="C481" s="328"/>
      <c r="D481" s="735" t="s">
        <v>1185</v>
      </c>
      <c r="E481" s="735"/>
      <c r="F481" s="735"/>
      <c r="G481" s="735"/>
      <c r="H481" s="735"/>
      <c r="I481" s="735"/>
      <c r="J481" s="735"/>
      <c r="K481" s="735"/>
      <c r="L481" s="218"/>
      <c r="M481" s="214"/>
      <c r="N481" s="340">
        <v>10702</v>
      </c>
      <c r="O481" s="340">
        <v>0</v>
      </c>
      <c r="P481" s="225">
        <v>50000</v>
      </c>
      <c r="Q481" s="225">
        <v>50000</v>
      </c>
      <c r="R481" s="221">
        <v>50000</v>
      </c>
      <c r="S481" s="221">
        <v>50000</v>
      </c>
      <c r="T481" s="221">
        <v>0</v>
      </c>
      <c r="U481" s="221">
        <v>0</v>
      </c>
      <c r="V481" s="221">
        <v>0</v>
      </c>
      <c r="W481" s="560" t="s">
        <v>1135</v>
      </c>
      <c r="X481" s="231"/>
      <c r="Y481" s="325"/>
    </row>
    <row r="482" spans="1:25" ht="24" customHeight="1">
      <c r="A482" s="396" t="s">
        <v>1367</v>
      </c>
      <c r="B482" s="328"/>
      <c r="C482" s="328"/>
      <c r="D482" s="396" t="s">
        <v>1187</v>
      </c>
      <c r="E482" s="328"/>
      <c r="F482" s="328"/>
      <c r="G482" s="328"/>
      <c r="H482" s="328"/>
      <c r="I482" s="328"/>
      <c r="J482" s="328"/>
      <c r="K482" s="328"/>
      <c r="L482" s="209"/>
      <c r="M482" s="220"/>
      <c r="N482" s="340">
        <v>0</v>
      </c>
      <c r="O482" s="340">
        <v>0</v>
      </c>
      <c r="P482" s="225">
        <v>0</v>
      </c>
      <c r="Q482" s="225">
        <v>0</v>
      </c>
      <c r="R482" s="221">
        <v>0</v>
      </c>
      <c r="S482" s="221">
        <v>0</v>
      </c>
      <c r="T482" s="221">
        <v>0</v>
      </c>
      <c r="U482" s="221">
        <v>0</v>
      </c>
      <c r="V482" s="221">
        <v>0</v>
      </c>
      <c r="W482" s="560" t="s">
        <v>1131</v>
      </c>
    </row>
    <row r="483" spans="1:25" ht="24" customHeight="1">
      <c r="A483" s="396" t="s">
        <v>1368</v>
      </c>
      <c r="B483" s="328"/>
      <c r="C483" s="328"/>
      <c r="D483" s="396" t="s">
        <v>1182</v>
      </c>
      <c r="E483" s="541"/>
      <c r="F483" s="541"/>
      <c r="G483" s="541"/>
      <c r="H483" s="541"/>
      <c r="I483" s="541"/>
      <c r="J483" s="541"/>
      <c r="K483" s="541"/>
      <c r="L483" s="209"/>
      <c r="M483" s="226"/>
      <c r="N483" s="343">
        <v>0</v>
      </c>
      <c r="O483" s="343">
        <v>966</v>
      </c>
      <c r="P483" s="228">
        <v>0</v>
      </c>
      <c r="Q483" s="228">
        <v>448</v>
      </c>
      <c r="R483" s="227">
        <v>1000</v>
      </c>
      <c r="S483" s="227">
        <v>1000</v>
      </c>
      <c r="T483" s="227">
        <v>1000</v>
      </c>
      <c r="U483" s="227">
        <v>1000</v>
      </c>
      <c r="V483" s="227">
        <v>1000</v>
      </c>
      <c r="W483" s="560" t="s">
        <v>1133</v>
      </c>
    </row>
    <row r="484" spans="1:25" ht="24" customHeight="1">
      <c r="A484" s="396" t="s">
        <v>1389</v>
      </c>
      <c r="B484" s="328"/>
      <c r="C484" s="328"/>
      <c r="D484" s="396" t="s">
        <v>1370</v>
      </c>
      <c r="E484" s="328"/>
      <c r="F484" s="328"/>
      <c r="G484" s="328"/>
      <c r="H484" s="328"/>
      <c r="I484" s="328"/>
      <c r="J484" s="328"/>
      <c r="K484" s="328"/>
      <c r="L484" s="209"/>
      <c r="M484" s="214"/>
      <c r="N484" s="339">
        <v>15200</v>
      </c>
      <c r="O484" s="339">
        <v>200</v>
      </c>
      <c r="P484" s="216">
        <v>1000</v>
      </c>
      <c r="Q484" s="216">
        <v>7825</v>
      </c>
      <c r="R484" s="215">
        <v>1000</v>
      </c>
      <c r="S484" s="215">
        <v>1000</v>
      </c>
      <c r="T484" s="215">
        <v>1000</v>
      </c>
      <c r="U484" s="215">
        <v>1000</v>
      </c>
      <c r="V484" s="215">
        <v>1000</v>
      </c>
      <c r="W484" s="560" t="s">
        <v>1131</v>
      </c>
    </row>
    <row r="485" spans="1:25" ht="24" customHeight="1">
      <c r="A485" s="396" t="s">
        <v>1390</v>
      </c>
      <c r="B485" s="555"/>
      <c r="C485" s="555"/>
      <c r="D485" s="396" t="s">
        <v>1386</v>
      </c>
      <c r="E485" s="555"/>
      <c r="F485" s="555"/>
      <c r="G485" s="555"/>
      <c r="H485" s="555"/>
      <c r="I485" s="555"/>
      <c r="J485" s="555"/>
      <c r="K485" s="555"/>
      <c r="L485" s="209"/>
      <c r="M485" s="214"/>
      <c r="N485" s="340">
        <v>0</v>
      </c>
      <c r="O485" s="340">
        <v>0</v>
      </c>
      <c r="P485" s="225">
        <v>0</v>
      </c>
      <c r="Q485" s="225">
        <v>0</v>
      </c>
      <c r="R485" s="221">
        <f>30000+30000</f>
        <v>60000</v>
      </c>
      <c r="S485" s="221">
        <f>30000-30000</f>
        <v>0</v>
      </c>
      <c r="T485" s="221">
        <f>30000-30000</f>
        <v>0</v>
      </c>
      <c r="U485" s="221">
        <v>0</v>
      </c>
      <c r="V485" s="221">
        <v>0</v>
      </c>
      <c r="W485" s="560" t="s">
        <v>1133</v>
      </c>
    </row>
    <row r="486" spans="1:25" ht="24" customHeight="1">
      <c r="A486" s="396" t="s">
        <v>1391</v>
      </c>
      <c r="B486" s="328"/>
      <c r="C486" s="328"/>
      <c r="D486" s="396" t="s">
        <v>1371</v>
      </c>
      <c r="E486" s="328"/>
      <c r="F486" s="328"/>
      <c r="G486" s="328"/>
      <c r="H486" s="328"/>
      <c r="I486" s="328"/>
      <c r="J486" s="328"/>
      <c r="K486" s="328"/>
      <c r="L486" s="209"/>
      <c r="M486" s="214"/>
      <c r="N486" s="340">
        <v>900</v>
      </c>
      <c r="O486" s="340">
        <v>0</v>
      </c>
      <c r="P486" s="225">
        <v>0</v>
      </c>
      <c r="Q486" s="225">
        <v>0</v>
      </c>
      <c r="R486" s="221">
        <v>0</v>
      </c>
      <c r="S486" s="221">
        <v>0</v>
      </c>
      <c r="T486" s="221">
        <v>0</v>
      </c>
      <c r="U486" s="221">
        <v>0</v>
      </c>
      <c r="V486" s="221">
        <v>0</v>
      </c>
      <c r="W486" s="560" t="s">
        <v>1135</v>
      </c>
    </row>
    <row r="487" spans="1:25" ht="24" customHeight="1">
      <c r="A487" s="396" t="s">
        <v>1369</v>
      </c>
      <c r="B487" s="328"/>
      <c r="C487" s="328"/>
      <c r="D487" s="396" t="s">
        <v>337</v>
      </c>
      <c r="E487" s="328"/>
      <c r="F487" s="328"/>
      <c r="G487" s="328"/>
      <c r="H487" s="328"/>
      <c r="I487" s="328"/>
      <c r="J487" s="328"/>
      <c r="K487" s="328"/>
      <c r="L487" s="209"/>
      <c r="M487" s="299"/>
      <c r="N487" s="345">
        <v>3500</v>
      </c>
      <c r="O487" s="345">
        <v>2500</v>
      </c>
      <c r="P487" s="235">
        <v>0</v>
      </c>
      <c r="Q487" s="235">
        <v>0</v>
      </c>
      <c r="R487" s="234">
        <v>0</v>
      </c>
      <c r="S487" s="234">
        <v>0</v>
      </c>
      <c r="T487" s="234">
        <v>0</v>
      </c>
      <c r="U487" s="234">
        <v>0</v>
      </c>
      <c r="V487" s="234">
        <v>0</v>
      </c>
      <c r="W487" s="560" t="s">
        <v>1133</v>
      </c>
    </row>
    <row r="488" spans="1:25" ht="15" customHeight="1">
      <c r="A488" s="328"/>
      <c r="B488" s="328"/>
      <c r="C488" s="328"/>
      <c r="D488" s="328"/>
      <c r="E488" s="328"/>
      <c r="F488" s="328"/>
      <c r="G488" s="328"/>
      <c r="H488" s="328"/>
      <c r="I488" s="328"/>
      <c r="J488" s="328"/>
      <c r="K488" s="328"/>
      <c r="L488" s="209"/>
      <c r="N488" s="346"/>
      <c r="O488" s="346"/>
      <c r="P488" s="238"/>
      <c r="Q488" s="238"/>
      <c r="R488" s="237"/>
      <c r="S488" s="237"/>
      <c r="T488" s="237"/>
      <c r="U488" s="237"/>
      <c r="V488" s="237"/>
    </row>
    <row r="489" spans="1:25" s="328" customFormat="1" ht="24" customHeight="1">
      <c r="K489" s="400" t="s">
        <v>656</v>
      </c>
      <c r="L489" s="422"/>
      <c r="M489" s="423"/>
      <c r="N489" s="348">
        <f t="shared" ref="N489" si="161">SUM(N465:N488)</f>
        <v>97980</v>
      </c>
      <c r="O489" s="348">
        <f t="shared" ref="O489:V489" si="162">SUM(O465:O488)</f>
        <v>112156</v>
      </c>
      <c r="P489" s="349">
        <f t="shared" ref="P489" si="163">SUM(P465:P488)</f>
        <v>259750</v>
      </c>
      <c r="Q489" s="349">
        <f t="shared" si="162"/>
        <v>286354</v>
      </c>
      <c r="R489" s="348">
        <f t="shared" ref="R489:U489" si="164">SUM(R465:R488)</f>
        <v>434553</v>
      </c>
      <c r="S489" s="348">
        <f t="shared" si="164"/>
        <v>274201</v>
      </c>
      <c r="T489" s="348">
        <f t="shared" si="164"/>
        <v>174707</v>
      </c>
      <c r="U489" s="348">
        <f t="shared" si="164"/>
        <v>174707</v>
      </c>
      <c r="V489" s="348">
        <f t="shared" si="162"/>
        <v>174707</v>
      </c>
      <c r="W489" s="640"/>
    </row>
    <row r="490" spans="1:25" ht="15" customHeight="1">
      <c r="A490" s="328"/>
      <c r="B490" s="328"/>
      <c r="C490" s="328"/>
      <c r="D490" s="328"/>
      <c r="E490" s="328"/>
      <c r="F490" s="328"/>
      <c r="G490" s="328"/>
      <c r="H490" s="328"/>
      <c r="I490" s="328"/>
      <c r="J490" s="328"/>
      <c r="K490" s="328"/>
      <c r="L490" s="209"/>
      <c r="N490" s="346"/>
      <c r="O490" s="346"/>
      <c r="P490" s="238"/>
      <c r="Q490" s="238"/>
      <c r="R490" s="237"/>
      <c r="S490" s="237"/>
      <c r="T490" s="237"/>
      <c r="U490" s="237"/>
      <c r="V490" s="237"/>
    </row>
    <row r="491" spans="1:25" ht="24" customHeight="1">
      <c r="A491" s="400" t="s">
        <v>901</v>
      </c>
      <c r="B491" s="328"/>
      <c r="C491" s="328"/>
      <c r="D491" s="328"/>
      <c r="E491" s="328"/>
      <c r="F491" s="328"/>
      <c r="G491" s="328"/>
      <c r="H491" s="328"/>
      <c r="I491" s="328"/>
      <c r="J491" s="328"/>
      <c r="K491" s="328"/>
      <c r="L491" s="209"/>
      <c r="N491" s="346"/>
      <c r="O491" s="346"/>
      <c r="P491" s="238"/>
      <c r="Q491" s="238"/>
      <c r="R491" s="237"/>
      <c r="S491" s="237"/>
      <c r="T491" s="237"/>
      <c r="U491" s="237"/>
      <c r="V491" s="237"/>
    </row>
    <row r="492" spans="1:25" ht="24" customHeight="1">
      <c r="A492" s="396" t="s">
        <v>1428</v>
      </c>
      <c r="B492" s="597"/>
      <c r="C492" s="597"/>
      <c r="D492" s="597" t="s">
        <v>1045</v>
      </c>
      <c r="E492" s="597"/>
      <c r="F492" s="597"/>
      <c r="G492" s="597"/>
      <c r="H492" s="597"/>
      <c r="I492" s="597"/>
      <c r="J492" s="597"/>
      <c r="K492" s="597"/>
      <c r="L492" s="209"/>
      <c r="N492" s="346">
        <v>0</v>
      </c>
      <c r="O492" s="346">
        <v>0</v>
      </c>
      <c r="P492" s="238">
        <v>0</v>
      </c>
      <c r="Q492" s="238">
        <v>0</v>
      </c>
      <c r="R492" s="237">
        <v>0</v>
      </c>
      <c r="S492" s="237">
        <v>0</v>
      </c>
      <c r="T492" s="237">
        <v>0</v>
      </c>
      <c r="U492" s="237">
        <v>0</v>
      </c>
      <c r="V492" s="237">
        <v>0</v>
      </c>
    </row>
    <row r="493" spans="1:25" ht="24" customHeight="1">
      <c r="A493" s="396" t="s">
        <v>1136</v>
      </c>
      <c r="B493" s="328"/>
      <c r="C493" s="328"/>
      <c r="D493" s="396" t="s">
        <v>10</v>
      </c>
      <c r="E493" s="328"/>
      <c r="F493" s="328"/>
      <c r="G493" s="328"/>
      <c r="H493" s="328"/>
      <c r="I493" s="328"/>
      <c r="J493" s="328"/>
      <c r="K493" s="328"/>
      <c r="L493" s="209"/>
      <c r="M493" s="247"/>
      <c r="N493" s="339">
        <v>2647</v>
      </c>
      <c r="O493" s="339">
        <v>3982</v>
      </c>
      <c r="P493" s="216">
        <v>1667</v>
      </c>
      <c r="Q493" s="216">
        <f>ROUND(Q473/3,0)</f>
        <v>1667</v>
      </c>
      <c r="R493" s="215">
        <f t="shared" ref="R493:V493" si="165">ROUND(R473/3,0)</f>
        <v>1667</v>
      </c>
      <c r="S493" s="215">
        <f t="shared" si="165"/>
        <v>1667</v>
      </c>
      <c r="T493" s="215">
        <f t="shared" si="165"/>
        <v>1667</v>
      </c>
      <c r="U493" s="215">
        <f t="shared" si="165"/>
        <v>1667</v>
      </c>
      <c r="V493" s="215">
        <f t="shared" si="165"/>
        <v>1667</v>
      </c>
      <c r="X493" s="213"/>
    </row>
    <row r="494" spans="1:25" ht="24" customHeight="1">
      <c r="A494" s="396" t="s">
        <v>1137</v>
      </c>
      <c r="B494" s="397"/>
      <c r="C494" s="397"/>
      <c r="D494" s="396" t="s">
        <v>1323</v>
      </c>
      <c r="E494" s="548"/>
      <c r="F494" s="548"/>
      <c r="G494" s="548"/>
      <c r="H494" s="548"/>
      <c r="I494" s="548"/>
      <c r="J494" s="548"/>
      <c r="K494" s="548"/>
      <c r="L494" s="218"/>
      <c r="M494" s="259"/>
      <c r="N494" s="356">
        <v>0</v>
      </c>
      <c r="O494" s="356">
        <v>13728</v>
      </c>
      <c r="P494" s="270">
        <v>10000</v>
      </c>
      <c r="Q494" s="270">
        <v>10000</v>
      </c>
      <c r="R494" s="260">
        <v>16000</v>
      </c>
      <c r="S494" s="260">
        <v>16000</v>
      </c>
      <c r="T494" s="260">
        <v>16000</v>
      </c>
      <c r="U494" s="260">
        <v>16000</v>
      </c>
      <c r="V494" s="260">
        <v>16000</v>
      </c>
    </row>
    <row r="495" spans="1:25" ht="24" customHeight="1">
      <c r="A495" s="396" t="s">
        <v>1138</v>
      </c>
      <c r="B495" s="399"/>
      <c r="C495" s="399"/>
      <c r="D495" s="396" t="s">
        <v>334</v>
      </c>
      <c r="E495" s="399"/>
      <c r="F495" s="399"/>
      <c r="G495" s="399"/>
      <c r="H495" s="399"/>
      <c r="I495" s="399"/>
      <c r="J495" s="399"/>
      <c r="K495" s="399"/>
      <c r="L495" s="236"/>
      <c r="M495" s="229"/>
      <c r="N495" s="337">
        <v>0</v>
      </c>
      <c r="O495" s="337">
        <v>105725</v>
      </c>
      <c r="P495" s="212">
        <v>3000</v>
      </c>
      <c r="Q495" s="212">
        <v>3000</v>
      </c>
      <c r="R495" s="211">
        <f>ROUND(60000/2,0)</f>
        <v>30000</v>
      </c>
      <c r="S495" s="211">
        <f>ROUND(60000/2,0)</f>
        <v>30000</v>
      </c>
      <c r="T495" s="211">
        <v>0</v>
      </c>
      <c r="U495" s="211">
        <v>0</v>
      </c>
      <c r="V495" s="211">
        <v>0</v>
      </c>
      <c r="X495" s="213"/>
    </row>
    <row r="496" spans="1:25" ht="24" customHeight="1">
      <c r="A496" s="396" t="s">
        <v>1139</v>
      </c>
      <c r="B496" s="399"/>
      <c r="C496" s="399"/>
      <c r="D496" s="396" t="s">
        <v>335</v>
      </c>
      <c r="E496" s="399"/>
      <c r="F496" s="399"/>
      <c r="G496" s="399"/>
      <c r="H496" s="399"/>
      <c r="I496" s="399"/>
      <c r="J496" s="399"/>
      <c r="K496" s="399"/>
      <c r="L496" s="236"/>
      <c r="M496" s="254"/>
      <c r="N496" s="354">
        <v>0</v>
      </c>
      <c r="O496" s="354">
        <v>39451</v>
      </c>
      <c r="P496" s="256">
        <v>90000</v>
      </c>
      <c r="Q496" s="256">
        <v>90000</v>
      </c>
      <c r="R496" s="255">
        <f>ROUND(160000/2,0)</f>
        <v>80000</v>
      </c>
      <c r="S496" s="255">
        <f>ROUND(155000/2,0)</f>
        <v>77500</v>
      </c>
      <c r="T496" s="255">
        <f>ROUND(150000/2,0)</f>
        <v>75000</v>
      </c>
      <c r="U496" s="255">
        <f>ROUND(150000/2,0)</f>
        <v>75000</v>
      </c>
      <c r="V496" s="255">
        <f>ROUND(150000/2,0)</f>
        <v>75000</v>
      </c>
      <c r="X496" s="213"/>
    </row>
    <row r="497" spans="1:24" s="328" customFormat="1" ht="24" customHeight="1">
      <c r="K497" s="400"/>
      <c r="L497" s="422"/>
      <c r="M497" s="422"/>
      <c r="N497" s="365">
        <f>SUM(N492:N496)</f>
        <v>2647</v>
      </c>
      <c r="O497" s="365">
        <f t="shared" ref="O497:V497" si="166">SUM(O492:O496)</f>
        <v>162886</v>
      </c>
      <c r="P497" s="366">
        <f t="shared" si="166"/>
        <v>104667</v>
      </c>
      <c r="Q497" s="366">
        <f t="shared" si="166"/>
        <v>104667</v>
      </c>
      <c r="R497" s="365">
        <f t="shared" si="166"/>
        <v>127667</v>
      </c>
      <c r="S497" s="365">
        <f t="shared" si="166"/>
        <v>125167</v>
      </c>
      <c r="T497" s="365">
        <f t="shared" si="166"/>
        <v>92667</v>
      </c>
      <c r="U497" s="365">
        <f t="shared" si="166"/>
        <v>92667</v>
      </c>
      <c r="V497" s="365">
        <f t="shared" si="166"/>
        <v>92667</v>
      </c>
      <c r="W497" s="640"/>
    </row>
    <row r="498" spans="1:24" ht="15" customHeight="1">
      <c r="A498" s="328"/>
      <c r="B498" s="328"/>
      <c r="C498" s="328"/>
      <c r="D498" s="328"/>
      <c r="E498" s="328"/>
      <c r="F498" s="328"/>
      <c r="G498" s="328"/>
      <c r="H498" s="328"/>
      <c r="I498" s="328"/>
      <c r="J498" s="328"/>
      <c r="K498" s="328"/>
      <c r="L498" s="209"/>
      <c r="M498" s="240"/>
      <c r="N498" s="365"/>
      <c r="O498" s="365"/>
      <c r="P498" s="279"/>
      <c r="Q498" s="279"/>
      <c r="R498" s="278"/>
      <c r="S498" s="278"/>
      <c r="T498" s="278"/>
      <c r="U498" s="278"/>
      <c r="V498" s="278"/>
    </row>
    <row r="499" spans="1:24" ht="24" customHeight="1">
      <c r="A499" s="400" t="s">
        <v>991</v>
      </c>
      <c r="B499" s="328"/>
      <c r="C499" s="328"/>
      <c r="D499" s="328"/>
      <c r="E499" s="328"/>
      <c r="F499" s="328"/>
      <c r="G499" s="328"/>
      <c r="H499" s="328"/>
      <c r="I499" s="328"/>
      <c r="J499" s="328"/>
      <c r="K499" s="328"/>
      <c r="L499" s="209"/>
      <c r="M499" s="240"/>
      <c r="N499" s="365"/>
      <c r="O499" s="365"/>
      <c r="P499" s="279"/>
      <c r="Q499" s="279"/>
      <c r="R499" s="278"/>
      <c r="S499" s="278"/>
      <c r="T499" s="278"/>
      <c r="U499" s="278"/>
      <c r="V499" s="278"/>
    </row>
    <row r="500" spans="1:24" ht="24" customHeight="1">
      <c r="A500" s="396" t="s">
        <v>1140</v>
      </c>
      <c r="B500" s="328"/>
      <c r="C500" s="328"/>
      <c r="D500" s="328" t="s">
        <v>1045</v>
      </c>
      <c r="E500" s="328"/>
      <c r="F500" s="328"/>
      <c r="G500" s="328"/>
      <c r="H500" s="328"/>
      <c r="I500" s="328"/>
      <c r="J500" s="328"/>
      <c r="K500" s="328"/>
      <c r="L500" s="209"/>
      <c r="M500" s="247"/>
      <c r="N500" s="340">
        <v>3500</v>
      </c>
      <c r="O500" s="340">
        <v>24140</v>
      </c>
      <c r="P500" s="225">
        <v>0</v>
      </c>
      <c r="Q500" s="225">
        <v>0</v>
      </c>
      <c r="R500" s="221">
        <v>0</v>
      </c>
      <c r="S500" s="221">
        <v>0</v>
      </c>
      <c r="T500" s="221">
        <v>0</v>
      </c>
      <c r="U500" s="221">
        <v>0</v>
      </c>
      <c r="V500" s="221">
        <v>0</v>
      </c>
      <c r="W500" s="524"/>
      <c r="X500" s="213"/>
    </row>
    <row r="501" spans="1:24" ht="24" customHeight="1">
      <c r="A501" s="396" t="s">
        <v>1141</v>
      </c>
      <c r="B501" s="397"/>
      <c r="C501" s="397"/>
      <c r="D501" s="396" t="s">
        <v>50</v>
      </c>
      <c r="E501" s="397"/>
      <c r="F501" s="397"/>
      <c r="G501" s="397"/>
      <c r="H501" s="397"/>
      <c r="I501" s="397"/>
      <c r="J501" s="397"/>
      <c r="K501" s="397"/>
      <c r="L501" s="218"/>
      <c r="M501" s="247"/>
      <c r="N501" s="340">
        <v>2576</v>
      </c>
      <c r="O501" s="340">
        <v>2058</v>
      </c>
      <c r="P501" s="225">
        <v>2000</v>
      </c>
      <c r="Q501" s="225">
        <v>2000</v>
      </c>
      <c r="R501" s="221">
        <v>2000</v>
      </c>
      <c r="S501" s="221">
        <v>2000</v>
      </c>
      <c r="T501" s="221">
        <v>2000</v>
      </c>
      <c r="U501" s="221">
        <v>2000</v>
      </c>
      <c r="V501" s="221">
        <v>2000</v>
      </c>
    </row>
    <row r="502" spans="1:24" ht="24" customHeight="1">
      <c r="A502" s="396" t="s">
        <v>1142</v>
      </c>
      <c r="B502" s="397"/>
      <c r="C502" s="397"/>
      <c r="D502" s="396" t="s">
        <v>94</v>
      </c>
      <c r="E502" s="397"/>
      <c r="F502" s="397"/>
      <c r="G502" s="397"/>
      <c r="H502" s="397"/>
      <c r="I502" s="397"/>
      <c r="J502" s="397"/>
      <c r="K502" s="397"/>
      <c r="L502" s="218"/>
      <c r="M502" s="247"/>
      <c r="N502" s="339">
        <v>4000</v>
      </c>
      <c r="O502" s="339">
        <v>0</v>
      </c>
      <c r="P502" s="216">
        <v>4500</v>
      </c>
      <c r="Q502" s="216">
        <v>4500</v>
      </c>
      <c r="R502" s="215">
        <v>4500</v>
      </c>
      <c r="S502" s="215">
        <v>4500</v>
      </c>
      <c r="T502" s="215">
        <v>4500</v>
      </c>
      <c r="U502" s="215">
        <v>4500</v>
      </c>
      <c r="V502" s="215">
        <v>4500</v>
      </c>
    </row>
    <row r="503" spans="1:24" ht="24" customHeight="1">
      <c r="A503" s="396" t="s">
        <v>1143</v>
      </c>
      <c r="B503" s="397"/>
      <c r="C503" s="397"/>
      <c r="D503" s="396" t="s">
        <v>12</v>
      </c>
      <c r="E503" s="540"/>
      <c r="F503" s="540"/>
      <c r="G503" s="540"/>
      <c r="H503" s="540"/>
      <c r="I503" s="540"/>
      <c r="J503" s="540"/>
      <c r="K503" s="540"/>
      <c r="L503" s="218"/>
      <c r="M503" s="248"/>
      <c r="N503" s="352">
        <v>0</v>
      </c>
      <c r="O503" s="352">
        <v>0</v>
      </c>
      <c r="P503" s="250">
        <v>2000</v>
      </c>
      <c r="Q503" s="250">
        <v>2000</v>
      </c>
      <c r="R503" s="249">
        <v>2000</v>
      </c>
      <c r="S503" s="249">
        <v>2000</v>
      </c>
      <c r="T503" s="249">
        <v>2000</v>
      </c>
      <c r="U503" s="249">
        <v>2000</v>
      </c>
      <c r="V503" s="249">
        <v>2000</v>
      </c>
    </row>
    <row r="504" spans="1:24" ht="24" customHeight="1">
      <c r="A504" s="396" t="s">
        <v>1144</v>
      </c>
      <c r="B504" s="399"/>
      <c r="C504" s="399"/>
      <c r="D504" s="396" t="s">
        <v>334</v>
      </c>
      <c r="E504" s="399"/>
      <c r="F504" s="399"/>
      <c r="G504" s="399"/>
      <c r="H504" s="399"/>
      <c r="I504" s="399"/>
      <c r="J504" s="399"/>
      <c r="K504" s="399"/>
      <c r="L504" s="236"/>
      <c r="M504" s="247"/>
      <c r="N504" s="340">
        <v>0</v>
      </c>
      <c r="O504" s="340">
        <v>0</v>
      </c>
      <c r="P504" s="216">
        <v>55000</v>
      </c>
      <c r="Q504" s="216">
        <v>48689</v>
      </c>
      <c r="R504" s="215">
        <v>60000</v>
      </c>
      <c r="S504" s="215">
        <v>0</v>
      </c>
      <c r="T504" s="215">
        <v>0</v>
      </c>
      <c r="U504" s="215">
        <v>0</v>
      </c>
      <c r="V504" s="215">
        <v>0</v>
      </c>
      <c r="X504" s="213"/>
    </row>
    <row r="505" spans="1:24" ht="24" customHeight="1">
      <c r="A505" s="396" t="s">
        <v>1145</v>
      </c>
      <c r="B505" s="399"/>
      <c r="C505" s="399"/>
      <c r="D505" s="396" t="s">
        <v>335</v>
      </c>
      <c r="E505" s="399"/>
      <c r="F505" s="399"/>
      <c r="G505" s="399"/>
      <c r="H505" s="399"/>
      <c r="I505" s="399"/>
      <c r="J505" s="399"/>
      <c r="K505" s="399"/>
      <c r="L505" s="236"/>
      <c r="M505" s="247"/>
      <c r="N505" s="339">
        <v>0</v>
      </c>
      <c r="O505" s="339">
        <v>0</v>
      </c>
      <c r="P505" s="216">
        <v>30000</v>
      </c>
      <c r="Q505" s="216">
        <v>30000</v>
      </c>
      <c r="R505" s="215">
        <v>100000</v>
      </c>
      <c r="S505" s="215">
        <f>100000-100000</f>
        <v>0</v>
      </c>
      <c r="T505" s="215">
        <f>100000-100000</f>
        <v>0</v>
      </c>
      <c r="U505" s="215">
        <v>0</v>
      </c>
      <c r="V505" s="215">
        <v>0</v>
      </c>
      <c r="X505" s="213"/>
    </row>
    <row r="506" spans="1:24" ht="24" customHeight="1">
      <c r="A506" s="551" t="s">
        <v>1170</v>
      </c>
      <c r="B506" s="399"/>
      <c r="C506" s="399"/>
      <c r="D506" s="396"/>
      <c r="E506" s="399"/>
      <c r="F506" s="399"/>
      <c r="G506" s="399"/>
      <c r="H506" s="399"/>
      <c r="I506" s="399"/>
      <c r="J506" s="399"/>
      <c r="K506" s="399"/>
      <c r="L506" s="236"/>
      <c r="M506" s="247"/>
      <c r="N506" s="339"/>
      <c r="O506" s="339"/>
      <c r="P506" s="216"/>
      <c r="Q506" s="216"/>
      <c r="R506" s="215"/>
      <c r="S506" s="215"/>
      <c r="T506" s="215"/>
      <c r="U506" s="215"/>
      <c r="V506" s="215"/>
      <c r="X506" s="217"/>
    </row>
    <row r="507" spans="1:24" ht="24" customHeight="1">
      <c r="A507" s="396" t="s">
        <v>1146</v>
      </c>
      <c r="B507" s="399"/>
      <c r="C507" s="399"/>
      <c r="D507" s="396" t="s">
        <v>1246</v>
      </c>
      <c r="E507" s="399"/>
      <c r="F507" s="399"/>
      <c r="G507" s="399"/>
      <c r="H507" s="399"/>
      <c r="I507" s="399"/>
      <c r="J507" s="399"/>
      <c r="K507" s="399"/>
      <c r="L507" s="236"/>
      <c r="M507" s="247"/>
      <c r="N507" s="339">
        <v>28254</v>
      </c>
      <c r="O507" s="339">
        <v>30074</v>
      </c>
      <c r="P507" s="216">
        <v>31040</v>
      </c>
      <c r="Q507" s="216">
        <f>ROUND(34223.32*0.969621,0)</f>
        <v>33184</v>
      </c>
      <c r="R507" s="215">
        <f>ROUND(39111.84*0.969621,0)</f>
        <v>37924</v>
      </c>
      <c r="S507" s="215">
        <f>ROUND(40880.11*0.969621,0)</f>
        <v>39638</v>
      </c>
      <c r="T507" s="215">
        <f>ROUND(42728.32*0.969621,0)</f>
        <v>41430</v>
      </c>
      <c r="U507" s="215">
        <f>ROUND(44660.1*0.969621,0)</f>
        <v>43303</v>
      </c>
      <c r="V507" s="215">
        <f>ROUND(46679.21*0.969621,0)</f>
        <v>45261</v>
      </c>
    </row>
    <row r="508" spans="1:24" ht="24" customHeight="1">
      <c r="A508" s="396" t="s">
        <v>1147</v>
      </c>
      <c r="B508" s="399"/>
      <c r="C508" s="399"/>
      <c r="D508" s="396" t="s">
        <v>338</v>
      </c>
      <c r="E508" s="399"/>
      <c r="F508" s="399"/>
      <c r="G508" s="399"/>
      <c r="H508" s="399"/>
      <c r="I508" s="399"/>
      <c r="J508" s="399"/>
      <c r="K508" s="399"/>
      <c r="L508" s="236"/>
      <c r="M508" s="254"/>
      <c r="N508" s="354">
        <v>54041</v>
      </c>
      <c r="O508" s="354">
        <v>52221</v>
      </c>
      <c r="P508" s="256">
        <v>48755</v>
      </c>
      <c r="Q508" s="256">
        <f>ROUND(44213.07*0.969621,0)</f>
        <v>42870</v>
      </c>
      <c r="R508" s="255">
        <f>ROUND(33922.49*0.969621,0)</f>
        <v>32892</v>
      </c>
      <c r="S508" s="255">
        <f>ROUND(32154.22*0.969621,0)</f>
        <v>31177</v>
      </c>
      <c r="T508" s="255">
        <f>ROUND(30306*0.969621,0)</f>
        <v>29385</v>
      </c>
      <c r="U508" s="255">
        <f>ROUND(28374.23*0.969621,0)</f>
        <v>27512</v>
      </c>
      <c r="V508" s="255">
        <f>ROUND(26355.12*0.969621,0)</f>
        <v>25554</v>
      </c>
    </row>
    <row r="509" spans="1:24" s="328" customFormat="1" ht="24" customHeight="1">
      <c r="K509" s="400"/>
      <c r="L509" s="422"/>
      <c r="M509" s="422"/>
      <c r="N509" s="365">
        <f>SUM(N500:N508)</f>
        <v>92371</v>
      </c>
      <c r="O509" s="365">
        <f t="shared" ref="O509:V509" si="167">SUM(O500:O508)</f>
        <v>108493</v>
      </c>
      <c r="P509" s="366">
        <f t="shared" ref="P509" si="168">SUM(P500:P508)</f>
        <v>173295</v>
      </c>
      <c r="Q509" s="366">
        <f>SUM(Q500:Q508)</f>
        <v>163243</v>
      </c>
      <c r="R509" s="365">
        <f t="shared" ref="R509:U509" si="169">SUM(R500:R508)</f>
        <v>239316</v>
      </c>
      <c r="S509" s="365">
        <f t="shared" si="169"/>
        <v>79315</v>
      </c>
      <c r="T509" s="365">
        <f t="shared" si="169"/>
        <v>79315</v>
      </c>
      <c r="U509" s="365">
        <f t="shared" si="169"/>
        <v>79315</v>
      </c>
      <c r="V509" s="365">
        <f t="shared" si="167"/>
        <v>79315</v>
      </c>
      <c r="W509" s="640"/>
    </row>
    <row r="510" spans="1:24" ht="15" customHeight="1">
      <c r="A510" s="328"/>
      <c r="B510" s="328"/>
      <c r="C510" s="328"/>
      <c r="D510" s="328"/>
      <c r="E510" s="328"/>
      <c r="F510" s="328"/>
      <c r="G510" s="328"/>
      <c r="H510" s="328"/>
      <c r="I510" s="328"/>
      <c r="J510" s="328"/>
      <c r="K510" s="328"/>
      <c r="L510" s="209"/>
      <c r="M510" s="240"/>
      <c r="N510" s="365"/>
      <c r="O510" s="365"/>
      <c r="P510" s="279"/>
      <c r="Q510" s="279"/>
      <c r="R510" s="278"/>
      <c r="S510" s="278"/>
      <c r="T510" s="278"/>
      <c r="U510" s="278"/>
      <c r="V510" s="278"/>
    </row>
    <row r="511" spans="1:24" ht="24" customHeight="1">
      <c r="A511" s="400" t="s">
        <v>1171</v>
      </c>
      <c r="B511" s="328"/>
      <c r="C511" s="328"/>
      <c r="D511" s="328"/>
      <c r="E511" s="328"/>
      <c r="F511" s="328"/>
      <c r="G511" s="328"/>
      <c r="H511" s="328"/>
      <c r="I511" s="328"/>
      <c r="J511" s="328"/>
      <c r="K511" s="328"/>
      <c r="L511" s="209"/>
      <c r="M511" s="240"/>
      <c r="N511" s="365"/>
      <c r="O511" s="365"/>
      <c r="P511" s="279"/>
      <c r="Q511" s="279"/>
      <c r="R511" s="278"/>
      <c r="S511" s="278"/>
      <c r="T511" s="278"/>
      <c r="U511" s="278"/>
      <c r="V511" s="278"/>
    </row>
    <row r="512" spans="1:24" ht="24" customHeight="1">
      <c r="A512" s="396" t="s">
        <v>1429</v>
      </c>
      <c r="B512" s="597"/>
      <c r="C512" s="597"/>
      <c r="D512" s="597" t="s">
        <v>1045</v>
      </c>
      <c r="E512" s="597"/>
      <c r="F512" s="597"/>
      <c r="G512" s="597"/>
      <c r="H512" s="597"/>
      <c r="I512" s="597"/>
      <c r="J512" s="597"/>
      <c r="K512" s="597"/>
      <c r="L512" s="209"/>
      <c r="M512" s="240"/>
      <c r="N512" s="360">
        <v>0</v>
      </c>
      <c r="O512" s="360">
        <v>0</v>
      </c>
      <c r="P512" s="269">
        <v>0</v>
      </c>
      <c r="Q512" s="269">
        <v>0</v>
      </c>
      <c r="R512" s="268">
        <v>0</v>
      </c>
      <c r="S512" s="268">
        <v>0</v>
      </c>
      <c r="T512" s="268">
        <v>0</v>
      </c>
      <c r="U512" s="268">
        <v>0</v>
      </c>
      <c r="V512" s="268">
        <v>0</v>
      </c>
    </row>
    <row r="513" spans="1:24" ht="24" customHeight="1">
      <c r="A513" s="397" t="s">
        <v>1148</v>
      </c>
      <c r="B513" s="399"/>
      <c r="C513" s="399"/>
      <c r="D513" s="396" t="s">
        <v>339</v>
      </c>
      <c r="E513" s="399"/>
      <c r="F513" s="399"/>
      <c r="G513" s="399"/>
      <c r="H513" s="399"/>
      <c r="I513" s="399"/>
      <c r="J513" s="399"/>
      <c r="K513" s="399"/>
      <c r="L513" s="236"/>
      <c r="M513" s="209"/>
      <c r="N513" s="360">
        <v>0</v>
      </c>
      <c r="O513" s="360">
        <v>0</v>
      </c>
      <c r="P513" s="269">
        <v>5000</v>
      </c>
      <c r="Q513" s="269">
        <v>5000</v>
      </c>
      <c r="R513" s="268">
        <v>0</v>
      </c>
      <c r="S513" s="268">
        <v>0</v>
      </c>
      <c r="T513" s="268">
        <v>0</v>
      </c>
      <c r="U513" s="268">
        <v>0</v>
      </c>
      <c r="V513" s="268">
        <v>0</v>
      </c>
    </row>
    <row r="514" spans="1:24" ht="24" customHeight="1">
      <c r="A514" s="396" t="s">
        <v>1149</v>
      </c>
      <c r="B514" s="399"/>
      <c r="C514" s="399"/>
      <c r="D514" s="396" t="s">
        <v>334</v>
      </c>
      <c r="E514" s="399"/>
      <c r="F514" s="399"/>
      <c r="G514" s="399"/>
      <c r="H514" s="399"/>
      <c r="I514" s="399"/>
      <c r="J514" s="399"/>
      <c r="K514" s="399"/>
      <c r="L514" s="236"/>
      <c r="M514" s="247"/>
      <c r="N514" s="340">
        <v>0</v>
      </c>
      <c r="O514" s="340">
        <v>17284</v>
      </c>
      <c r="P514" s="212">
        <v>12000</v>
      </c>
      <c r="Q514" s="212">
        <v>12000</v>
      </c>
      <c r="R514" s="211">
        <f>ROUND(64000/2,0)</f>
        <v>32000</v>
      </c>
      <c r="S514" s="211">
        <v>0</v>
      </c>
      <c r="T514" s="211">
        <v>0</v>
      </c>
      <c r="U514" s="211">
        <v>0</v>
      </c>
      <c r="V514" s="211">
        <v>0</v>
      </c>
      <c r="X514" s="213"/>
    </row>
    <row r="515" spans="1:24" ht="24" customHeight="1">
      <c r="A515" s="396" t="s">
        <v>1388</v>
      </c>
      <c r="B515" s="399"/>
      <c r="C515" s="399"/>
      <c r="D515" s="396" t="s">
        <v>1421</v>
      </c>
      <c r="E515" s="399"/>
      <c r="F515" s="399"/>
      <c r="G515" s="399"/>
      <c r="H515" s="399"/>
      <c r="I515" s="399"/>
      <c r="J515" s="399"/>
      <c r="K515" s="399"/>
      <c r="L515" s="236"/>
      <c r="M515" s="209"/>
      <c r="N515" s="360">
        <v>0</v>
      </c>
      <c r="O515" s="360">
        <v>0</v>
      </c>
      <c r="P515" s="269">
        <v>0</v>
      </c>
      <c r="Q515" s="269">
        <v>0</v>
      </c>
      <c r="R515" s="268">
        <v>108000</v>
      </c>
      <c r="S515" s="268">
        <v>0</v>
      </c>
      <c r="T515" s="268">
        <v>0</v>
      </c>
      <c r="U515" s="268">
        <v>0</v>
      </c>
      <c r="V515" s="268">
        <v>0</v>
      </c>
    </row>
    <row r="516" spans="1:24" ht="24" customHeight="1">
      <c r="A516" s="396" t="s">
        <v>1387</v>
      </c>
      <c r="B516" s="399"/>
      <c r="C516" s="399"/>
      <c r="D516" s="396" t="s">
        <v>335</v>
      </c>
      <c r="E516" s="399"/>
      <c r="F516" s="399"/>
      <c r="G516" s="399"/>
      <c r="H516" s="399"/>
      <c r="I516" s="399"/>
      <c r="J516" s="399"/>
      <c r="K516" s="399"/>
      <c r="L516" s="236"/>
      <c r="M516" s="247"/>
      <c r="N516" s="340">
        <v>0</v>
      </c>
      <c r="O516" s="340">
        <v>0</v>
      </c>
      <c r="P516" s="212">
        <v>0</v>
      </c>
      <c r="Q516" s="212">
        <v>0</v>
      </c>
      <c r="R516" s="211">
        <v>0</v>
      </c>
      <c r="S516" s="211">
        <f>ROUND(35000/2,0)</f>
        <v>17500</v>
      </c>
      <c r="T516" s="211">
        <v>0</v>
      </c>
      <c r="U516" s="211">
        <v>0</v>
      </c>
      <c r="V516" s="211">
        <v>0</v>
      </c>
      <c r="X516" s="213"/>
    </row>
    <row r="517" spans="1:24" ht="24" customHeight="1">
      <c r="A517" s="551" t="s">
        <v>1170</v>
      </c>
      <c r="B517" s="399"/>
      <c r="C517" s="399"/>
      <c r="D517" s="396"/>
      <c r="E517" s="399"/>
      <c r="F517" s="399"/>
      <c r="G517" s="399"/>
      <c r="H517" s="399"/>
      <c r="I517" s="399"/>
      <c r="J517" s="399"/>
      <c r="K517" s="399"/>
      <c r="L517" s="236"/>
      <c r="M517" s="247"/>
      <c r="N517" s="339"/>
      <c r="O517" s="339"/>
      <c r="P517" s="216"/>
      <c r="Q517" s="216"/>
      <c r="R517" s="215"/>
      <c r="S517" s="215"/>
      <c r="T517" s="215"/>
      <c r="U517" s="215"/>
      <c r="V517" s="215"/>
      <c r="X517" s="217"/>
    </row>
    <row r="518" spans="1:24" ht="24" customHeight="1">
      <c r="A518" s="396" t="s">
        <v>1152</v>
      </c>
      <c r="B518" s="399"/>
      <c r="C518" s="399"/>
      <c r="D518" s="396" t="s">
        <v>1246</v>
      </c>
      <c r="E518" s="399"/>
      <c r="F518" s="399"/>
      <c r="G518" s="399"/>
      <c r="H518" s="399"/>
      <c r="I518" s="399"/>
      <c r="J518" s="399"/>
      <c r="K518" s="399"/>
      <c r="L518" s="236"/>
      <c r="M518" s="247"/>
      <c r="N518" s="339">
        <v>0</v>
      </c>
      <c r="O518" s="339">
        <v>0</v>
      </c>
      <c r="P518" s="216">
        <v>972</v>
      </c>
      <c r="Q518" s="216">
        <f>ROUND(34223.32*0.030379,0)</f>
        <v>1040</v>
      </c>
      <c r="R518" s="215">
        <f>ROUND(39111.84*0.030379,0)</f>
        <v>1188</v>
      </c>
      <c r="S518" s="215">
        <f>ROUND(40880.11*0.030379,0)</f>
        <v>1242</v>
      </c>
      <c r="T518" s="215">
        <f>ROUND(42728.32*0.030379,0)</f>
        <v>1298</v>
      </c>
      <c r="U518" s="215">
        <f>ROUND(44660.1*0.030379,0)</f>
        <v>1357</v>
      </c>
      <c r="V518" s="215">
        <f>ROUND(46679.21*0.030379,0)</f>
        <v>1418</v>
      </c>
      <c r="X518" s="213"/>
    </row>
    <row r="519" spans="1:24" ht="24" customHeight="1">
      <c r="A519" s="396" t="s">
        <v>1154</v>
      </c>
      <c r="B519" s="399"/>
      <c r="C519" s="399"/>
      <c r="D519" s="396" t="s">
        <v>338</v>
      </c>
      <c r="E519" s="399"/>
      <c r="F519" s="399"/>
      <c r="G519" s="399"/>
      <c r="H519" s="399"/>
      <c r="I519" s="399"/>
      <c r="J519" s="399"/>
      <c r="K519" s="399"/>
      <c r="L519" s="236"/>
      <c r="M519" s="247"/>
      <c r="N519" s="339">
        <v>0</v>
      </c>
      <c r="O519" s="339">
        <v>0</v>
      </c>
      <c r="P519" s="216">
        <v>1528</v>
      </c>
      <c r="Q519" s="216">
        <f>ROUND(44213.07*0.030379,0)</f>
        <v>1343</v>
      </c>
      <c r="R519" s="215">
        <f>ROUND(33922.49*0.030379,0)</f>
        <v>1031</v>
      </c>
      <c r="S519" s="215">
        <f>ROUND(32154.22*0.030379,0)</f>
        <v>977</v>
      </c>
      <c r="T519" s="215">
        <f>ROUND(30306*0.030379,0)</f>
        <v>921</v>
      </c>
      <c r="U519" s="215">
        <f>ROUND(28374.23*0.030379,0)</f>
        <v>862</v>
      </c>
      <c r="V519" s="215">
        <f>ROUND(26355.12*0.030379,0)</f>
        <v>801</v>
      </c>
      <c r="X519" s="213"/>
    </row>
    <row r="520" spans="1:24" ht="24" customHeight="1">
      <c r="A520" s="396" t="s">
        <v>1150</v>
      </c>
      <c r="B520" s="399"/>
      <c r="C520" s="399"/>
      <c r="D520" s="396" t="s">
        <v>340</v>
      </c>
      <c r="E520" s="399"/>
      <c r="F520" s="399"/>
      <c r="G520" s="399"/>
      <c r="H520" s="399"/>
      <c r="I520" s="399"/>
      <c r="J520" s="399"/>
      <c r="K520" s="399"/>
      <c r="L520" s="236"/>
      <c r="M520" s="247"/>
      <c r="N520" s="340">
        <v>3500</v>
      </c>
      <c r="O520" s="340">
        <v>2500</v>
      </c>
      <c r="P520" s="212">
        <v>0</v>
      </c>
      <c r="Q520" s="212">
        <v>0</v>
      </c>
      <c r="R520" s="211">
        <v>0</v>
      </c>
      <c r="S520" s="211">
        <v>0</v>
      </c>
      <c r="T520" s="211">
        <v>0</v>
      </c>
      <c r="U520" s="211">
        <v>0</v>
      </c>
      <c r="V520" s="211">
        <v>0</v>
      </c>
    </row>
    <row r="521" spans="1:24" ht="24" customHeight="1">
      <c r="A521" s="396" t="s">
        <v>1151</v>
      </c>
      <c r="B521" s="399"/>
      <c r="C521" s="399"/>
      <c r="D521" s="396" t="s">
        <v>1070</v>
      </c>
      <c r="E521" s="399"/>
      <c r="F521" s="399"/>
      <c r="G521" s="399"/>
      <c r="H521" s="399"/>
      <c r="I521" s="399"/>
      <c r="J521" s="399"/>
      <c r="K521" s="399"/>
      <c r="L521" s="236"/>
      <c r="M521" s="271"/>
      <c r="N521" s="345">
        <v>0</v>
      </c>
      <c r="O521" s="345">
        <v>0</v>
      </c>
      <c r="P521" s="252">
        <v>50000</v>
      </c>
      <c r="Q521" s="252">
        <f>Q767</f>
        <v>50000</v>
      </c>
      <c r="R521" s="233">
        <f t="shared" ref="R521:S521" si="170">R767</f>
        <v>50000</v>
      </c>
      <c r="S521" s="233">
        <f t="shared" si="170"/>
        <v>50000</v>
      </c>
      <c r="T521" s="233">
        <f t="shared" ref="T521:V521" si="171">T767</f>
        <v>0</v>
      </c>
      <c r="U521" s="233">
        <f t="shared" si="171"/>
        <v>0</v>
      </c>
      <c r="V521" s="233">
        <f t="shared" si="171"/>
        <v>0</v>
      </c>
      <c r="X521" s="217"/>
    </row>
    <row r="522" spans="1:24" s="328" customFormat="1" ht="24" customHeight="1">
      <c r="K522" s="400"/>
      <c r="L522" s="422"/>
      <c r="M522" s="441"/>
      <c r="N522" s="348">
        <f>SUM(N512:N521)</f>
        <v>3500</v>
      </c>
      <c r="O522" s="348">
        <f t="shared" ref="O522:V522" si="172">SUM(O512:O521)</f>
        <v>19784</v>
      </c>
      <c r="P522" s="349">
        <f t="shared" si="172"/>
        <v>69500</v>
      </c>
      <c r="Q522" s="349">
        <f t="shared" si="172"/>
        <v>69383</v>
      </c>
      <c r="R522" s="348">
        <f t="shared" si="172"/>
        <v>192219</v>
      </c>
      <c r="S522" s="348">
        <f t="shared" si="172"/>
        <v>69719</v>
      </c>
      <c r="T522" s="348">
        <f t="shared" si="172"/>
        <v>2219</v>
      </c>
      <c r="U522" s="348">
        <f t="shared" si="172"/>
        <v>2219</v>
      </c>
      <c r="V522" s="348">
        <f t="shared" si="172"/>
        <v>2219</v>
      </c>
      <c r="W522" s="640"/>
    </row>
    <row r="523" spans="1:24" s="328" customFormat="1" ht="15" customHeight="1">
      <c r="L523" s="424"/>
      <c r="M523" s="422"/>
      <c r="N523" s="365"/>
      <c r="O523" s="365"/>
      <c r="P523" s="366"/>
      <c r="Q523" s="366"/>
      <c r="R523" s="365"/>
      <c r="S523" s="365"/>
      <c r="T523" s="365"/>
      <c r="U523" s="365"/>
      <c r="V523" s="365"/>
      <c r="W523" s="640"/>
    </row>
    <row r="524" spans="1:24" s="328" customFormat="1" ht="24" customHeight="1">
      <c r="K524" s="400" t="s">
        <v>659</v>
      </c>
      <c r="L524" s="422"/>
      <c r="M524" s="422"/>
      <c r="N524" s="365">
        <f t="shared" ref="N524:V524" si="173">N497+N509+N522</f>
        <v>98518</v>
      </c>
      <c r="O524" s="365">
        <f t="shared" si="173"/>
        <v>291163</v>
      </c>
      <c r="P524" s="366">
        <f t="shared" si="173"/>
        <v>347462</v>
      </c>
      <c r="Q524" s="366">
        <f t="shared" si="173"/>
        <v>337293</v>
      </c>
      <c r="R524" s="365">
        <f>R497+R509+R522</f>
        <v>559202</v>
      </c>
      <c r="S524" s="365">
        <f t="shared" si="173"/>
        <v>274201</v>
      </c>
      <c r="T524" s="365">
        <f t="shared" si="173"/>
        <v>174201</v>
      </c>
      <c r="U524" s="365">
        <f t="shared" si="173"/>
        <v>174201</v>
      </c>
      <c r="V524" s="365">
        <f t="shared" si="173"/>
        <v>174201</v>
      </c>
      <c r="W524" s="640"/>
    </row>
    <row r="525" spans="1:24" s="328" customFormat="1" ht="15" customHeight="1">
      <c r="L525" s="424"/>
      <c r="M525" s="422"/>
      <c r="N525" s="365"/>
      <c r="O525" s="365"/>
      <c r="P525" s="366"/>
      <c r="Q525" s="366"/>
      <c r="R525" s="365"/>
      <c r="S525" s="365"/>
      <c r="T525" s="365"/>
      <c r="U525" s="365"/>
      <c r="V525" s="365"/>
      <c r="W525" s="640"/>
    </row>
    <row r="526" spans="1:24" s="328" customFormat="1" ht="24" customHeight="1">
      <c r="K526" s="400" t="s">
        <v>660</v>
      </c>
      <c r="L526" s="422"/>
      <c r="M526" s="422"/>
      <c r="N526" s="365">
        <f t="shared" ref="N526:V526" si="174">N489-N524</f>
        <v>-538</v>
      </c>
      <c r="O526" s="365">
        <f t="shared" si="174"/>
        <v>-179007</v>
      </c>
      <c r="P526" s="366">
        <f t="shared" si="174"/>
        <v>-87712</v>
      </c>
      <c r="Q526" s="366">
        <f t="shared" si="174"/>
        <v>-50939</v>
      </c>
      <c r="R526" s="365">
        <f>R489-R524</f>
        <v>-124649</v>
      </c>
      <c r="S526" s="365">
        <f t="shared" si="174"/>
        <v>0</v>
      </c>
      <c r="T526" s="365">
        <f t="shared" si="174"/>
        <v>506</v>
      </c>
      <c r="U526" s="365">
        <f t="shared" si="174"/>
        <v>506</v>
      </c>
      <c r="V526" s="365">
        <f t="shared" si="174"/>
        <v>506</v>
      </c>
      <c r="W526" s="640"/>
    </row>
    <row r="527" spans="1:24" s="328" customFormat="1" ht="15" customHeight="1">
      <c r="K527" s="400"/>
      <c r="L527" s="422"/>
      <c r="M527" s="422"/>
      <c r="N527" s="365"/>
      <c r="O527" s="365"/>
      <c r="P527" s="366"/>
      <c r="Q527" s="366"/>
      <c r="R527" s="365"/>
      <c r="S527" s="365"/>
      <c r="T527" s="365"/>
      <c r="U527" s="365"/>
      <c r="V527" s="365"/>
      <c r="W527" s="640"/>
    </row>
    <row r="528" spans="1:24" s="328" customFormat="1" ht="24" customHeight="1">
      <c r="C528" s="747" t="s">
        <v>1217</v>
      </c>
      <c r="D528" s="747"/>
      <c r="E528" s="747"/>
      <c r="F528" s="747"/>
      <c r="G528" s="747"/>
      <c r="H528" s="747"/>
      <c r="I528" s="747"/>
      <c r="J528" s="747"/>
      <c r="K528" s="747"/>
      <c r="L528" s="443"/>
      <c r="M528" s="444"/>
      <c r="N528" s="372">
        <v>229238</v>
      </c>
      <c r="O528" s="372">
        <v>106687</v>
      </c>
      <c r="P528" s="373">
        <v>22635</v>
      </c>
      <c r="Q528" s="373">
        <f>O528+(Q489-Q468-Q469-Q466-Q470-Q474-Q479-Q480-Q481-Q486-Q483-Q487-Q476-Q485-Q477)-Q497</f>
        <v>50859</v>
      </c>
      <c r="R528" s="372">
        <f>Q528+(R489-R468-R469-R466-R470-R474-R479-R480-R481-R486-R483-R487-R476-R485-R477)-R497</f>
        <v>0</v>
      </c>
      <c r="S528" s="372">
        <f>R528+(S489-S468-S469-S466-S470-S474-S479-S480-S481-S486-S483-S487-S476-S485-S477)-S497</f>
        <v>0</v>
      </c>
      <c r="T528" s="372">
        <f>S528+(T489-T468-T469-T466-T470-T474-T479-T480-T481-T486-T483-T487-T476-T485-T477)-T497</f>
        <v>0</v>
      </c>
      <c r="U528" s="372">
        <f>T528+(U489-U468-U469-U466-U470-U474-U479-U480-U481-U486-U483-U487-U476-U485-U477)-U497</f>
        <v>0</v>
      </c>
      <c r="V528" s="372">
        <f>U528+(V489-V468-V469-V466-V470-V474-V479-V480-V481-V486-V483-V487-V476-V485-V477)-V497</f>
        <v>0</v>
      </c>
      <c r="W528" s="640"/>
    </row>
    <row r="529" spans="1:25" s="328" customFormat="1" ht="15" customHeight="1">
      <c r="K529" s="400"/>
      <c r="L529" s="422"/>
      <c r="M529" s="444"/>
      <c r="N529" s="372"/>
      <c r="O529" s="372"/>
      <c r="P529" s="373"/>
      <c r="Q529" s="373"/>
      <c r="R529" s="372"/>
      <c r="S529" s="372"/>
      <c r="T529" s="372"/>
      <c r="U529" s="372"/>
      <c r="V529" s="372"/>
      <c r="W529" s="640"/>
    </row>
    <row r="530" spans="1:25" s="328" customFormat="1" ht="24" customHeight="1">
      <c r="C530" s="747" t="s">
        <v>1218</v>
      </c>
      <c r="D530" s="747"/>
      <c r="E530" s="747"/>
      <c r="F530" s="747"/>
      <c r="G530" s="747"/>
      <c r="H530" s="747"/>
      <c r="I530" s="747"/>
      <c r="J530" s="747"/>
      <c r="K530" s="747"/>
      <c r="L530" s="443"/>
      <c r="M530" s="444"/>
      <c r="N530" s="372">
        <v>62884</v>
      </c>
      <c r="O530" s="372">
        <v>22399</v>
      </c>
      <c r="P530" s="373">
        <v>20000</v>
      </c>
      <c r="Q530" s="373">
        <f>O530+(Q489-Q465-Q467-Q470-Q471-Q472-Q473-Q478-Q480-Q481-Q484-Q486-Q482-Q475-Q477)-Q509</f>
        <v>43946</v>
      </c>
      <c r="R530" s="372">
        <f>Q530+(R489-R465-R467-R470-R471-R472-R473-R478-R480-R481-R484-R486-R482-R475-R477)-R509</f>
        <v>0</v>
      </c>
      <c r="S530" s="372">
        <f>R530+(S489-S465-S467-S470-S471-S472-S473-S478-S480-S481-S484-S486-S482-S475-S477)-S509</f>
        <v>0</v>
      </c>
      <c r="T530" s="372">
        <f>S530+(T489-T465-T467-T470-T471-T472-T473-T478-T480-T481-T484-T486-T482-T475-T477)-T509</f>
        <v>0</v>
      </c>
      <c r="U530" s="372">
        <f>T530+(U489-U465-U467-U470-U471-U472-U473-U478-U480-U481-U484-U486-U482-U475-U477)-U509</f>
        <v>0</v>
      </c>
      <c r="V530" s="372">
        <f>U530+(V489-V465-V467-V470-V471-V472-V473-V478-V480-V481-V484-V486-V482-V475-V477)-V509</f>
        <v>0</v>
      </c>
      <c r="W530" s="640"/>
    </row>
    <row r="531" spans="1:25" s="328" customFormat="1" ht="15" customHeight="1">
      <c r="K531" s="400"/>
      <c r="L531" s="422"/>
      <c r="M531" s="444"/>
      <c r="N531" s="372"/>
      <c r="O531" s="372"/>
      <c r="P531" s="373"/>
      <c r="Q531" s="373"/>
      <c r="R531" s="372"/>
      <c r="S531" s="372"/>
      <c r="T531" s="372"/>
      <c r="U531" s="372"/>
      <c r="V531" s="372"/>
      <c r="W531" s="640"/>
    </row>
    <row r="532" spans="1:25" s="328" customFormat="1" ht="24" customHeight="1">
      <c r="C532" s="747" t="s">
        <v>1219</v>
      </c>
      <c r="D532" s="747"/>
      <c r="E532" s="747"/>
      <c r="F532" s="747"/>
      <c r="G532" s="747"/>
      <c r="H532" s="747"/>
      <c r="I532" s="747"/>
      <c r="J532" s="747"/>
      <c r="K532" s="747"/>
      <c r="L532" s="443"/>
      <c r="M532" s="444"/>
      <c r="N532" s="372">
        <v>62473</v>
      </c>
      <c r="O532" s="372">
        <v>46502</v>
      </c>
      <c r="P532" s="373">
        <v>73923</v>
      </c>
      <c r="Q532" s="373">
        <f>O532+(Q489-Q465-Q467-Q468-Q469-Q466-Q471-Q472-Q473-Q474-Q478-Q479-Q484-Q483-Q487-Q482-Q475-Q476-Q485)-Q522</f>
        <v>29844</v>
      </c>
      <c r="R532" s="372">
        <f>Q532+(R489-R465-R467-R468-R469-R466-R471-R472-R473-R474-R478-R479-R484-R483-R487-R482-R475-R476-R485)-R522</f>
        <v>0</v>
      </c>
      <c r="S532" s="372">
        <f>R532+(S489-S465-S467-S468-S469-S466-S471-S472-S473-S474-S478-S479-S484-S483-S487-S482-S475-S476-S485)-S522</f>
        <v>0</v>
      </c>
      <c r="T532" s="372">
        <f>S532+(T489-T465-T467-T468-T469-T466-T471-T472-T473-T474-T478-T479-T484-T483-T487-T482-T475-T476-T485)-T522</f>
        <v>506</v>
      </c>
      <c r="U532" s="372">
        <f>T532+(U489-U465-U467-U468-U469-U466-U471-U472-U473-U474-U478-U479-U484-U483-U487-U482-U475-U476-U485)-U522</f>
        <v>1012</v>
      </c>
      <c r="V532" s="372">
        <f>U532+(V489-V465-V467-V468-V469-V466-V471-V472-V473-V474-V478-V479-V484-V483-V487-V482-V475-V476-V485)-V522</f>
        <v>1518</v>
      </c>
      <c r="W532" s="640"/>
    </row>
    <row r="533" spans="1:25" s="328" customFormat="1" ht="15" customHeight="1">
      <c r="K533" s="400"/>
      <c r="L533" s="422"/>
      <c r="M533" s="422"/>
      <c r="N533" s="365"/>
      <c r="O533" s="365"/>
      <c r="P533" s="366"/>
      <c r="Q533" s="366"/>
      <c r="R533" s="365"/>
      <c r="S533" s="365"/>
      <c r="T533" s="365"/>
      <c r="U533" s="365"/>
      <c r="V533" s="365"/>
      <c r="W533" s="640"/>
    </row>
    <row r="534" spans="1:25" s="328" customFormat="1" ht="24" customHeight="1" thickBot="1">
      <c r="K534" s="405" t="s">
        <v>662</v>
      </c>
      <c r="L534" s="422"/>
      <c r="M534" s="445"/>
      <c r="N534" s="375">
        <f>N528+N530+N532</f>
        <v>354595</v>
      </c>
      <c r="O534" s="375">
        <v>175588</v>
      </c>
      <c r="P534" s="376">
        <v>116558</v>
      </c>
      <c r="Q534" s="376">
        <f>O534+Q526</f>
        <v>124649</v>
      </c>
      <c r="R534" s="375">
        <f>Q534+R526</f>
        <v>0</v>
      </c>
      <c r="S534" s="375">
        <f>R534+S526</f>
        <v>0</v>
      </c>
      <c r="T534" s="375">
        <f>S534+T526</f>
        <v>506</v>
      </c>
      <c r="U534" s="375">
        <f>T534+U526</f>
        <v>1012</v>
      </c>
      <c r="V534" s="375">
        <f>U534+V526</f>
        <v>1518</v>
      </c>
      <c r="W534" s="640"/>
    </row>
    <row r="535" spans="1:25" ht="15" customHeight="1" thickTop="1">
      <c r="A535" s="328"/>
      <c r="B535" s="328"/>
      <c r="C535" s="328"/>
      <c r="D535" s="328"/>
      <c r="E535" s="328"/>
      <c r="F535" s="328"/>
      <c r="G535" s="328"/>
      <c r="H535" s="328"/>
      <c r="I535" s="328"/>
      <c r="J535" s="328"/>
      <c r="K535" s="328"/>
      <c r="L535" s="209"/>
      <c r="M535" s="280"/>
      <c r="N535" s="621"/>
      <c r="O535" s="621"/>
      <c r="P535" s="626"/>
      <c r="Q535" s="626"/>
      <c r="R535" s="627"/>
      <c r="S535" s="627"/>
      <c r="T535" s="627"/>
      <c r="U535" s="627"/>
      <c r="V535" s="627"/>
    </row>
    <row r="536" spans="1:25" s="561" customFormat="1" ht="15" hidden="1" customHeight="1">
      <c r="A536" s="490"/>
      <c r="B536" s="490"/>
      <c r="C536" s="490"/>
      <c r="D536" s="490"/>
      <c r="E536" s="490"/>
      <c r="F536" s="490"/>
      <c r="G536" s="490"/>
      <c r="H536" s="490"/>
      <c r="I536" s="490"/>
      <c r="J536" s="490"/>
      <c r="K536" s="490"/>
      <c r="L536" s="559"/>
      <c r="M536" s="562"/>
      <c r="N536" s="636">
        <f>(N528+N530+N532)-N534</f>
        <v>0</v>
      </c>
      <c r="O536" s="636">
        <f>(O528+O530+O532)-O534</f>
        <v>0</v>
      </c>
      <c r="P536" s="636">
        <v>0</v>
      </c>
      <c r="Q536" s="636">
        <f>(Q528+Q530+Q532)-Q534</f>
        <v>0</v>
      </c>
      <c r="R536" s="636">
        <f>(R528+R530+R532)-R534</f>
        <v>0</v>
      </c>
      <c r="S536" s="636">
        <f t="shared" ref="S536:U536" si="175">(S528+S530+S532)-S534</f>
        <v>0</v>
      </c>
      <c r="T536" s="636">
        <f t="shared" si="175"/>
        <v>0</v>
      </c>
      <c r="U536" s="636">
        <f t="shared" si="175"/>
        <v>0</v>
      </c>
      <c r="V536" s="636">
        <f t="shared" ref="V536" si="176">(V528+V530+V532)-V534</f>
        <v>0</v>
      </c>
      <c r="W536" s="560"/>
      <c r="X536" s="633" t="s">
        <v>1129</v>
      </c>
    </row>
    <row r="537" spans="1:25" s="561" customFormat="1" ht="15" hidden="1" customHeight="1">
      <c r="A537" s="490"/>
      <c r="B537" s="490"/>
      <c r="C537" s="490"/>
      <c r="D537" s="490"/>
      <c r="E537" s="490"/>
      <c r="F537" s="490"/>
      <c r="G537" s="490"/>
      <c r="H537" s="490"/>
      <c r="I537" s="490"/>
      <c r="J537" s="490"/>
      <c r="K537" s="497"/>
      <c r="L537" s="632"/>
      <c r="M537" s="562"/>
      <c r="N537" s="635"/>
      <c r="O537" s="635"/>
      <c r="P537" s="636">
        <v>0</v>
      </c>
      <c r="Q537" s="636">
        <f>(Q507+Q508+Q518+Q519)-(44213+34224)</f>
        <v>0</v>
      </c>
      <c r="R537" s="636">
        <f>(R507+R508+R518+R519)-(33923+39112)</f>
        <v>0</v>
      </c>
      <c r="S537" s="636">
        <f>(S507+S508+S518+S519)-(32154+40880)</f>
        <v>0</v>
      </c>
      <c r="T537" s="636">
        <f>(T507+T508+T518+T519)-(30306+42728)</f>
        <v>0</v>
      </c>
      <c r="U537" s="636">
        <f>(U507+U508+U518+U519)-(28374+44660)</f>
        <v>0</v>
      </c>
      <c r="V537" s="636">
        <f>(V507+V508+V518+V519)-(26355+46679)</f>
        <v>0</v>
      </c>
      <c r="W537" s="560"/>
      <c r="X537" s="633" t="s">
        <v>1153</v>
      </c>
    </row>
    <row r="538" spans="1:25" ht="15" customHeight="1">
      <c r="A538" s="484"/>
      <c r="B538" s="484"/>
      <c r="C538" s="484"/>
      <c r="D538" s="484"/>
      <c r="E538" s="484"/>
      <c r="F538" s="484"/>
      <c r="G538" s="484"/>
      <c r="H538" s="484"/>
      <c r="I538" s="484"/>
      <c r="J538" s="484"/>
      <c r="K538" s="405"/>
      <c r="L538" s="487"/>
      <c r="M538" s="281"/>
      <c r="N538" s="621"/>
      <c r="O538" s="621"/>
      <c r="P538" s="628"/>
      <c r="Q538" s="626"/>
      <c r="R538" s="629"/>
      <c r="S538" s="629"/>
      <c r="T538" s="629"/>
      <c r="U538" s="629"/>
      <c r="V538" s="629"/>
    </row>
    <row r="539" spans="1:25" ht="24" customHeight="1">
      <c r="A539" s="407" t="s">
        <v>679</v>
      </c>
      <c r="B539" s="328"/>
      <c r="C539" s="328"/>
      <c r="D539" s="328"/>
      <c r="E539" s="328"/>
      <c r="F539" s="328"/>
      <c r="G539" s="328"/>
      <c r="H539" s="328"/>
      <c r="I539" s="328"/>
      <c r="J539" s="328"/>
      <c r="K539" s="328"/>
      <c r="L539" s="209"/>
      <c r="M539" s="240"/>
      <c r="N539" s="620"/>
      <c r="O539" s="620"/>
      <c r="P539" s="624"/>
      <c r="Q539" s="624"/>
      <c r="R539" s="625"/>
      <c r="S539" s="625"/>
      <c r="T539" s="625"/>
      <c r="U539" s="625"/>
      <c r="V539" s="625"/>
    </row>
    <row r="540" spans="1:25" ht="15" customHeight="1">
      <c r="A540" s="328"/>
      <c r="B540" s="328"/>
      <c r="C540" s="328"/>
      <c r="D540" s="328"/>
      <c r="E540" s="328"/>
      <c r="F540" s="328"/>
      <c r="G540" s="328"/>
      <c r="H540" s="328"/>
      <c r="I540" s="328"/>
      <c r="J540" s="328"/>
      <c r="K540" s="328"/>
      <c r="L540" s="209"/>
      <c r="M540" s="240"/>
      <c r="N540" s="620"/>
      <c r="O540" s="620"/>
      <c r="P540" s="624"/>
      <c r="Q540" s="624"/>
      <c r="R540" s="625"/>
      <c r="S540" s="625"/>
      <c r="T540" s="625"/>
      <c r="U540" s="625"/>
      <c r="V540" s="625"/>
    </row>
    <row r="541" spans="1:25" ht="24" customHeight="1">
      <c r="A541" s="555" t="s">
        <v>1398</v>
      </c>
      <c r="B541" s="328"/>
      <c r="C541" s="328"/>
      <c r="D541" s="328" t="s">
        <v>359</v>
      </c>
      <c r="E541" s="328"/>
      <c r="F541" s="328"/>
      <c r="G541" s="328"/>
      <c r="H541" s="328"/>
      <c r="I541" s="328"/>
      <c r="J541" s="328"/>
      <c r="K541" s="328"/>
      <c r="L541" s="209"/>
      <c r="M541" s="214"/>
      <c r="N541" s="340">
        <v>323350</v>
      </c>
      <c r="O541" s="340">
        <v>324762</v>
      </c>
      <c r="P541" s="225">
        <v>328179</v>
      </c>
      <c r="Q541" s="225">
        <v>315790</v>
      </c>
      <c r="R541" s="221">
        <v>329579</v>
      </c>
      <c r="S541" s="221">
        <v>231000</v>
      </c>
      <c r="T541" s="221">
        <v>142500</v>
      </c>
      <c r="U541" s="221">
        <v>49500</v>
      </c>
      <c r="V541" s="221">
        <v>0</v>
      </c>
      <c r="X541" s="656"/>
      <c r="Y541" s="657"/>
    </row>
    <row r="542" spans="1:25" ht="24" customHeight="1">
      <c r="A542" s="328" t="s">
        <v>360</v>
      </c>
      <c r="B542" s="328"/>
      <c r="C542" s="328"/>
      <c r="D542" s="328" t="s">
        <v>361</v>
      </c>
      <c r="E542" s="328"/>
      <c r="F542" s="328"/>
      <c r="G542" s="328"/>
      <c r="H542" s="328"/>
      <c r="I542" s="328"/>
      <c r="J542" s="328"/>
      <c r="K542" s="328"/>
      <c r="L542" s="209"/>
      <c r="M542" s="214"/>
      <c r="N542" s="339">
        <v>1375</v>
      </c>
      <c r="O542" s="339">
        <v>4694</v>
      </c>
      <c r="P542" s="216">
        <v>1000</v>
      </c>
      <c r="Q542" s="216">
        <v>5000</v>
      </c>
      <c r="R542" s="215">
        <v>2500</v>
      </c>
      <c r="S542" s="215">
        <v>2500</v>
      </c>
      <c r="T542" s="215">
        <v>2500</v>
      </c>
      <c r="U542" s="215">
        <v>2500</v>
      </c>
      <c r="V542" s="215">
        <v>2500</v>
      </c>
    </row>
    <row r="543" spans="1:25" ht="24" customHeight="1">
      <c r="A543" s="396" t="s">
        <v>1433</v>
      </c>
      <c r="B543" s="596"/>
      <c r="C543" s="597"/>
      <c r="D543" s="396" t="s">
        <v>1078</v>
      </c>
      <c r="E543" s="596"/>
      <c r="F543" s="597"/>
      <c r="G543" s="597"/>
      <c r="H543" s="597"/>
      <c r="I543" s="597"/>
      <c r="J543" s="597"/>
      <c r="K543" s="597"/>
      <c r="L543" s="209"/>
      <c r="M543" s="214"/>
      <c r="N543" s="339">
        <v>0</v>
      </c>
      <c r="O543" s="339">
        <v>0</v>
      </c>
      <c r="P543" s="216">
        <v>0</v>
      </c>
      <c r="Q543" s="216">
        <v>0</v>
      </c>
      <c r="R543" s="215">
        <v>0</v>
      </c>
      <c r="S543" s="215">
        <v>0</v>
      </c>
      <c r="T543" s="215">
        <v>0</v>
      </c>
      <c r="U543" s="215">
        <v>0</v>
      </c>
      <c r="V543" s="215">
        <v>0</v>
      </c>
    </row>
    <row r="544" spans="1:25" ht="24" customHeight="1">
      <c r="A544" s="328" t="s">
        <v>800</v>
      </c>
      <c r="B544" s="328"/>
      <c r="C544" s="328"/>
      <c r="D544" s="328" t="s">
        <v>6</v>
      </c>
      <c r="E544" s="328"/>
      <c r="F544" s="328"/>
      <c r="G544" s="328"/>
      <c r="H544" s="328"/>
      <c r="I544" s="328"/>
      <c r="J544" s="328"/>
      <c r="K544" s="328"/>
      <c r="L544" s="209"/>
      <c r="M544" s="214"/>
      <c r="N544" s="339">
        <v>283</v>
      </c>
      <c r="O544" s="339">
        <v>610</v>
      </c>
      <c r="P544" s="216">
        <v>300</v>
      </c>
      <c r="Q544" s="216">
        <v>100</v>
      </c>
      <c r="R544" s="215">
        <v>100</v>
      </c>
      <c r="S544" s="215">
        <v>100</v>
      </c>
      <c r="T544" s="215">
        <v>100</v>
      </c>
      <c r="U544" s="215">
        <v>100</v>
      </c>
      <c r="V544" s="215">
        <v>100</v>
      </c>
    </row>
    <row r="545" spans="1:40" ht="24" customHeight="1">
      <c r="A545" s="396" t="s">
        <v>362</v>
      </c>
      <c r="B545" s="397"/>
      <c r="C545" s="397"/>
      <c r="D545" s="396" t="s">
        <v>313</v>
      </c>
      <c r="E545" s="397"/>
      <c r="F545" s="397"/>
      <c r="G545" s="397"/>
      <c r="H545" s="397"/>
      <c r="I545" s="397"/>
      <c r="J545" s="397"/>
      <c r="K545" s="397"/>
      <c r="L545" s="218"/>
      <c r="M545" s="214"/>
      <c r="N545" s="340">
        <v>103740</v>
      </c>
      <c r="O545" s="340">
        <v>99465</v>
      </c>
      <c r="P545" s="225">
        <v>0</v>
      </c>
      <c r="Q545" s="225">
        <v>0</v>
      </c>
      <c r="R545" s="221">
        <v>0</v>
      </c>
      <c r="S545" s="221">
        <f>26386+58372-7000+600+12389+800</f>
        <v>91547</v>
      </c>
      <c r="T545" s="221">
        <f>83774-1500+767-450-219+42860+67522-1500+200+400</f>
        <v>191854</v>
      </c>
      <c r="U545" s="221">
        <f>U556+U557-925+300-250-50-129402+79902-1500+200+400</f>
        <v>284854</v>
      </c>
      <c r="V545" s="221">
        <f>V556+V557-925+300-250-50-129402+129402-1500+200+400</f>
        <v>338694</v>
      </c>
    </row>
    <row r="546" spans="1:40" ht="24" customHeight="1">
      <c r="A546" s="396" t="s">
        <v>838</v>
      </c>
      <c r="B546" s="397"/>
      <c r="C546" s="397"/>
      <c r="D546" s="396" t="s">
        <v>839</v>
      </c>
      <c r="E546" s="397"/>
      <c r="F546" s="397"/>
      <c r="G546" s="397"/>
      <c r="H546" s="397"/>
      <c r="I546" s="397"/>
      <c r="J546" s="397"/>
      <c r="K546" s="397"/>
      <c r="L546" s="218"/>
      <c r="M546" s="246"/>
      <c r="N546" s="345">
        <v>78777</v>
      </c>
      <c r="O546" s="345">
        <v>0</v>
      </c>
      <c r="P546" s="235">
        <v>0</v>
      </c>
      <c r="Q546" s="235">
        <v>0</v>
      </c>
      <c r="R546" s="234">
        <v>0</v>
      </c>
      <c r="S546" s="234">
        <v>0</v>
      </c>
      <c r="T546" s="234">
        <v>0</v>
      </c>
      <c r="U546" s="234">
        <v>0</v>
      </c>
      <c r="V546" s="234">
        <v>0</v>
      </c>
    </row>
    <row r="547" spans="1:40" ht="15" customHeight="1">
      <c r="A547" s="328"/>
      <c r="B547" s="413"/>
      <c r="C547" s="413"/>
      <c r="D547" s="413"/>
      <c r="E547" s="328"/>
      <c r="F547" s="399"/>
      <c r="G547" s="399"/>
      <c r="H547" s="399"/>
      <c r="I547" s="399"/>
      <c r="J547" s="399"/>
      <c r="K547" s="399"/>
      <c r="L547" s="236"/>
      <c r="N547" s="346"/>
      <c r="O547" s="346"/>
      <c r="P547" s="238"/>
      <c r="Q547" s="238"/>
      <c r="R547" s="237"/>
      <c r="S547" s="237"/>
      <c r="T547" s="237"/>
      <c r="U547" s="237"/>
      <c r="V547" s="237"/>
    </row>
    <row r="548" spans="1:40" s="328" customFormat="1" ht="24" customHeight="1">
      <c r="K548" s="400" t="s">
        <v>656</v>
      </c>
      <c r="L548" s="422"/>
      <c r="M548" s="423"/>
      <c r="N548" s="348">
        <f t="shared" ref="N548" si="177">SUM(N541:N547)</f>
        <v>507525</v>
      </c>
      <c r="O548" s="348">
        <f t="shared" ref="O548:V548" si="178">SUM(O541:O547)</f>
        <v>429531</v>
      </c>
      <c r="P548" s="349">
        <f t="shared" ref="P548" si="179">SUM(P541:P547)</f>
        <v>329479</v>
      </c>
      <c r="Q548" s="349">
        <f t="shared" si="178"/>
        <v>320890</v>
      </c>
      <c r="R548" s="348">
        <f t="shared" ref="R548:U548" si="180">SUM(R541:R547)</f>
        <v>332179</v>
      </c>
      <c r="S548" s="348">
        <f t="shared" si="180"/>
        <v>325147</v>
      </c>
      <c r="T548" s="348">
        <f t="shared" si="180"/>
        <v>336954</v>
      </c>
      <c r="U548" s="348">
        <f t="shared" si="180"/>
        <v>336954</v>
      </c>
      <c r="V548" s="348">
        <f t="shared" si="178"/>
        <v>341294</v>
      </c>
      <c r="W548" s="640"/>
    </row>
    <row r="549" spans="1:40" ht="15" customHeight="1">
      <c r="A549" s="328"/>
      <c r="B549" s="328"/>
      <c r="C549" s="328"/>
      <c r="D549" s="328"/>
      <c r="E549" s="328"/>
      <c r="F549" s="328"/>
      <c r="G549" s="328"/>
      <c r="H549" s="328"/>
      <c r="I549" s="328"/>
      <c r="J549" s="328"/>
      <c r="K549" s="328"/>
      <c r="L549" s="209"/>
      <c r="N549" s="346"/>
      <c r="O549" s="346"/>
      <c r="P549" s="238"/>
      <c r="Q549" s="238"/>
      <c r="R549" s="237"/>
      <c r="S549" s="237"/>
      <c r="T549" s="237"/>
      <c r="U549" s="237"/>
      <c r="V549" s="237"/>
    </row>
    <row r="550" spans="1:40" ht="24" customHeight="1">
      <c r="A550" s="396" t="s">
        <v>1430</v>
      </c>
      <c r="B550" s="596"/>
      <c r="C550" s="596"/>
      <c r="D550" s="597" t="s">
        <v>1045</v>
      </c>
      <c r="E550" s="596"/>
      <c r="F550" s="596"/>
      <c r="G550" s="596"/>
      <c r="H550" s="596"/>
      <c r="I550" s="596"/>
      <c r="J550" s="596"/>
      <c r="K550" s="596"/>
      <c r="L550" s="218"/>
      <c r="M550" s="253"/>
      <c r="N550" s="340">
        <v>0</v>
      </c>
      <c r="O550" s="340">
        <v>0</v>
      </c>
      <c r="P550" s="225">
        <v>0</v>
      </c>
      <c r="Q550" s="225">
        <v>0</v>
      </c>
      <c r="R550" s="221">
        <v>0</v>
      </c>
      <c r="S550" s="221">
        <v>0</v>
      </c>
      <c r="T550" s="221">
        <v>0</v>
      </c>
      <c r="U550" s="221">
        <v>0</v>
      </c>
      <c r="V550" s="221">
        <v>0</v>
      </c>
    </row>
    <row r="551" spans="1:40" ht="24" customHeight="1">
      <c r="A551" s="396" t="s">
        <v>363</v>
      </c>
      <c r="B551" s="397"/>
      <c r="C551" s="397"/>
      <c r="D551" s="396" t="s">
        <v>364</v>
      </c>
      <c r="E551" s="397"/>
      <c r="F551" s="397"/>
      <c r="G551" s="397"/>
      <c r="H551" s="397"/>
      <c r="I551" s="397"/>
      <c r="J551" s="397"/>
      <c r="K551" s="397"/>
      <c r="L551" s="218"/>
      <c r="M551" s="253"/>
      <c r="N551" s="340">
        <v>749</v>
      </c>
      <c r="O551" s="340">
        <v>589</v>
      </c>
      <c r="P551" s="225">
        <v>375</v>
      </c>
      <c r="Q551" s="225">
        <v>375</v>
      </c>
      <c r="R551" s="221">
        <v>775</v>
      </c>
      <c r="S551" s="221">
        <v>775</v>
      </c>
      <c r="T551" s="221">
        <v>775</v>
      </c>
      <c r="U551" s="221">
        <v>775</v>
      </c>
      <c r="V551" s="221">
        <v>775</v>
      </c>
    </row>
    <row r="552" spans="1:40" ht="24" customHeight="1">
      <c r="A552" s="402" t="s">
        <v>752</v>
      </c>
      <c r="B552" s="397"/>
      <c r="C552" s="397"/>
      <c r="D552" s="396"/>
      <c r="E552" s="397"/>
      <c r="F552" s="397"/>
      <c r="G552" s="397"/>
      <c r="H552" s="397"/>
      <c r="I552" s="397"/>
      <c r="J552" s="397"/>
      <c r="K552" s="397"/>
      <c r="L552" s="218"/>
      <c r="M552" s="264"/>
      <c r="N552" s="340"/>
      <c r="O552" s="340"/>
      <c r="P552" s="225"/>
      <c r="Q552" s="225"/>
      <c r="R552" s="221"/>
      <c r="S552" s="221"/>
      <c r="T552" s="221"/>
      <c r="U552" s="221"/>
      <c r="V552" s="221"/>
    </row>
    <row r="553" spans="1:40" ht="24" customHeight="1">
      <c r="A553" s="396" t="s">
        <v>365</v>
      </c>
      <c r="B553" s="397"/>
      <c r="C553" s="397"/>
      <c r="D553" s="396" t="s">
        <v>1246</v>
      </c>
      <c r="E553" s="397"/>
      <c r="F553" s="397"/>
      <c r="G553" s="397"/>
      <c r="H553" s="397"/>
      <c r="I553" s="397"/>
      <c r="J553" s="397"/>
      <c r="K553" s="397"/>
      <c r="L553" s="218"/>
      <c r="M553" s="247"/>
      <c r="N553" s="340">
        <v>95000</v>
      </c>
      <c r="O553" s="340">
        <v>95000</v>
      </c>
      <c r="P553" s="225">
        <v>0</v>
      </c>
      <c r="Q553" s="225">
        <v>0</v>
      </c>
      <c r="R553" s="221">
        <v>0</v>
      </c>
      <c r="S553" s="221">
        <v>0</v>
      </c>
      <c r="T553" s="221">
        <v>0</v>
      </c>
      <c r="U553" s="221">
        <v>0</v>
      </c>
      <c r="V553" s="221">
        <v>0</v>
      </c>
    </row>
    <row r="554" spans="1:40" ht="24" customHeight="1">
      <c r="A554" s="396" t="s">
        <v>366</v>
      </c>
      <c r="B554" s="397"/>
      <c r="C554" s="397"/>
      <c r="D554" s="396" t="s">
        <v>338</v>
      </c>
      <c r="E554" s="397"/>
      <c r="F554" s="397"/>
      <c r="G554" s="397"/>
      <c r="H554" s="397"/>
      <c r="I554" s="397"/>
      <c r="J554" s="397"/>
      <c r="K554" s="397"/>
      <c r="L554" s="218"/>
      <c r="M554" s="264"/>
      <c r="N554" s="340">
        <v>8740</v>
      </c>
      <c r="O554" s="340">
        <v>4465</v>
      </c>
      <c r="P554" s="225">
        <v>0</v>
      </c>
      <c r="Q554" s="225">
        <v>0</v>
      </c>
      <c r="R554" s="221">
        <v>0</v>
      </c>
      <c r="S554" s="221">
        <v>0</v>
      </c>
      <c r="T554" s="221">
        <v>0</v>
      </c>
      <c r="U554" s="221">
        <v>0</v>
      </c>
      <c r="V554" s="221">
        <v>0</v>
      </c>
      <c r="X554" s="740" t="s">
        <v>1283</v>
      </c>
      <c r="Y554" s="740"/>
      <c r="Z554" s="740"/>
      <c r="AA554" s="740"/>
      <c r="AB554" s="545"/>
      <c r="AC554" s="545"/>
    </row>
    <row r="555" spans="1:40" ht="24" customHeight="1">
      <c r="A555" s="402" t="s">
        <v>753</v>
      </c>
      <c r="B555" s="397"/>
      <c r="C555" s="397"/>
      <c r="D555" s="396"/>
      <c r="E555" s="397"/>
      <c r="F555" s="397"/>
      <c r="G555" s="397"/>
      <c r="H555" s="397"/>
      <c r="I555" s="397"/>
      <c r="J555" s="397"/>
      <c r="K555" s="397"/>
      <c r="L555" s="218"/>
      <c r="M555" s="264"/>
      <c r="N555" s="340"/>
      <c r="O555" s="340"/>
      <c r="P555" s="225"/>
      <c r="Q555" s="225"/>
      <c r="R555" s="221"/>
      <c r="S555" s="221"/>
      <c r="T555" s="221"/>
      <c r="U555" s="221"/>
      <c r="V555" s="221"/>
      <c r="X555" s="631" t="s">
        <v>1266</v>
      </c>
      <c r="Y555" s="631" t="s">
        <v>1267</v>
      </c>
      <c r="Z555" s="631" t="s">
        <v>1268</v>
      </c>
      <c r="AA555" s="631" t="s">
        <v>1269</v>
      </c>
      <c r="AC555" s="322"/>
      <c r="AD555" s="322"/>
      <c r="AE555" s="322"/>
      <c r="AF555" s="322"/>
      <c r="AG555" s="322"/>
      <c r="AH555" s="322"/>
      <c r="AI555" s="322"/>
      <c r="AJ555" s="322"/>
      <c r="AK555" s="322"/>
      <c r="AL555" s="322"/>
      <c r="AM555" s="322"/>
      <c r="AN555" s="322"/>
    </row>
    <row r="556" spans="1:40" ht="24" customHeight="1">
      <c r="A556" s="396" t="s">
        <v>367</v>
      </c>
      <c r="B556" s="397"/>
      <c r="C556" s="397"/>
      <c r="D556" s="396" t="s">
        <v>1246</v>
      </c>
      <c r="E556" s="397"/>
      <c r="F556" s="397"/>
      <c r="G556" s="397"/>
      <c r="H556" s="397"/>
      <c r="I556" s="397"/>
      <c r="J556" s="397"/>
      <c r="K556" s="397"/>
      <c r="L556" s="218"/>
      <c r="M556" s="247"/>
      <c r="N556" s="339">
        <v>195000</v>
      </c>
      <c r="O556" s="339">
        <v>205000</v>
      </c>
      <c r="P556" s="216">
        <v>215000</v>
      </c>
      <c r="Q556" s="216">
        <v>215000</v>
      </c>
      <c r="R556" s="215">
        <v>225000</v>
      </c>
      <c r="S556" s="215">
        <v>235000</v>
      </c>
      <c r="T556" s="215">
        <v>250000</v>
      </c>
      <c r="U556" s="215">
        <v>260000</v>
      </c>
      <c r="V556" s="215">
        <v>275000</v>
      </c>
      <c r="X556" s="630">
        <v>290000</v>
      </c>
      <c r="Y556" s="630">
        <v>300000</v>
      </c>
      <c r="Z556" s="630">
        <v>320000</v>
      </c>
      <c r="AA556" s="630">
        <v>335000</v>
      </c>
    </row>
    <row r="557" spans="1:40" ht="24" customHeight="1">
      <c r="A557" s="396" t="s">
        <v>368</v>
      </c>
      <c r="B557" s="397"/>
      <c r="C557" s="397"/>
      <c r="D557" s="396" t="s">
        <v>338</v>
      </c>
      <c r="E557" s="397"/>
      <c r="F557" s="397"/>
      <c r="G557" s="397"/>
      <c r="H557" s="397"/>
      <c r="I557" s="397"/>
      <c r="J557" s="397"/>
      <c r="K557" s="397"/>
      <c r="L557" s="218"/>
      <c r="M557" s="264"/>
      <c r="N557" s="341">
        <v>129179</v>
      </c>
      <c r="O557" s="341">
        <v>121379</v>
      </c>
      <c r="P557" s="216">
        <v>113179</v>
      </c>
      <c r="Q557" s="216">
        <v>113179</v>
      </c>
      <c r="R557" s="215">
        <v>104579</v>
      </c>
      <c r="S557" s="215">
        <v>95579</v>
      </c>
      <c r="T557" s="215">
        <v>86179</v>
      </c>
      <c r="U557" s="215">
        <v>76179</v>
      </c>
      <c r="V557" s="215">
        <v>65519</v>
      </c>
      <c r="X557" s="630">
        <v>54106</v>
      </c>
      <c r="Y557" s="630">
        <v>41781</v>
      </c>
      <c r="Z557" s="630">
        <v>28656</v>
      </c>
      <c r="AA557" s="630">
        <v>14656</v>
      </c>
    </row>
    <row r="558" spans="1:40" ht="24" customHeight="1">
      <c r="A558" s="400" t="s">
        <v>1063</v>
      </c>
      <c r="B558" s="400"/>
      <c r="C558" s="400"/>
      <c r="D558" s="400"/>
      <c r="E558" s="400"/>
      <c r="F558" s="400"/>
      <c r="G558" s="397"/>
      <c r="H558" s="397"/>
      <c r="I558" s="397"/>
      <c r="J558" s="397"/>
      <c r="K558" s="397"/>
      <c r="L558" s="218"/>
      <c r="M558" s="253"/>
      <c r="N558" s="340"/>
      <c r="O558" s="340"/>
      <c r="P558" s="225"/>
      <c r="Q558" s="225"/>
      <c r="R558" s="221"/>
      <c r="S558" s="221"/>
      <c r="T558" s="221"/>
      <c r="U558" s="221"/>
      <c r="V558" s="221"/>
    </row>
    <row r="559" spans="1:40" ht="24" customHeight="1">
      <c r="A559" s="396" t="s">
        <v>840</v>
      </c>
      <c r="B559" s="397"/>
      <c r="C559" s="397"/>
      <c r="D559" s="396" t="s">
        <v>1246</v>
      </c>
      <c r="E559" s="397"/>
      <c r="F559" s="397"/>
      <c r="G559" s="397"/>
      <c r="H559" s="397"/>
      <c r="I559" s="397"/>
      <c r="J559" s="397"/>
      <c r="K559" s="397"/>
      <c r="L559" s="218"/>
      <c r="M559" s="247"/>
      <c r="N559" s="339">
        <v>0</v>
      </c>
      <c r="O559" s="339">
        <v>75000</v>
      </c>
      <c r="P559" s="216">
        <v>0</v>
      </c>
      <c r="Q559" s="216">
        <v>0</v>
      </c>
      <c r="R559" s="215">
        <v>0</v>
      </c>
      <c r="S559" s="215">
        <v>0</v>
      </c>
      <c r="T559" s="215">
        <v>0</v>
      </c>
      <c r="U559" s="215">
        <v>0</v>
      </c>
      <c r="V559" s="215">
        <v>0</v>
      </c>
    </row>
    <row r="560" spans="1:40" ht="24" customHeight="1">
      <c r="A560" s="396" t="s">
        <v>841</v>
      </c>
      <c r="B560" s="397"/>
      <c r="C560" s="397"/>
      <c r="D560" s="396" t="s">
        <v>338</v>
      </c>
      <c r="E560" s="397"/>
      <c r="F560" s="397"/>
      <c r="G560" s="328"/>
      <c r="H560" s="328"/>
      <c r="I560" s="328"/>
      <c r="J560" s="328"/>
      <c r="K560" s="328"/>
      <c r="L560" s="209"/>
      <c r="M560" s="305"/>
      <c r="N560" s="357">
        <v>0</v>
      </c>
      <c r="O560" s="357">
        <v>3563</v>
      </c>
      <c r="P560" s="256">
        <v>0</v>
      </c>
      <c r="Q560" s="256">
        <v>0</v>
      </c>
      <c r="R560" s="255">
        <v>0</v>
      </c>
      <c r="S560" s="255">
        <v>0</v>
      </c>
      <c r="T560" s="255">
        <v>0</v>
      </c>
      <c r="U560" s="255">
        <v>0</v>
      </c>
      <c r="V560" s="255">
        <v>0</v>
      </c>
    </row>
    <row r="561" spans="1:26" ht="15" customHeight="1">
      <c r="A561" s="396"/>
      <c r="B561" s="397"/>
      <c r="C561" s="397"/>
      <c r="D561" s="396"/>
      <c r="E561" s="397"/>
      <c r="F561" s="397"/>
      <c r="G561" s="397"/>
      <c r="H561" s="397"/>
      <c r="I561" s="397"/>
      <c r="J561" s="397"/>
      <c r="K561" s="397"/>
      <c r="L561" s="218"/>
      <c r="M561" s="253"/>
      <c r="N561" s="340"/>
      <c r="O561" s="340"/>
      <c r="P561" s="225"/>
      <c r="Q561" s="225"/>
      <c r="R561" s="221"/>
      <c r="S561" s="221"/>
      <c r="T561" s="221"/>
      <c r="U561" s="221"/>
      <c r="V561" s="221"/>
    </row>
    <row r="562" spans="1:26" s="328" customFormat="1" ht="24" customHeight="1">
      <c r="K562" s="400" t="s">
        <v>659</v>
      </c>
      <c r="L562" s="422"/>
      <c r="M562" s="441"/>
      <c r="N562" s="348">
        <f>SUM(N550:N560)</f>
        <v>428668</v>
      </c>
      <c r="O562" s="348">
        <f t="shared" ref="O562:V562" si="181">SUM(O550:O560)</f>
        <v>504996</v>
      </c>
      <c r="P562" s="349">
        <f t="shared" si="181"/>
        <v>328554</v>
      </c>
      <c r="Q562" s="349">
        <f t="shared" si="181"/>
        <v>328554</v>
      </c>
      <c r="R562" s="348">
        <f t="shared" si="181"/>
        <v>330354</v>
      </c>
      <c r="S562" s="348">
        <f t="shared" si="181"/>
        <v>331354</v>
      </c>
      <c r="T562" s="348">
        <f t="shared" si="181"/>
        <v>336954</v>
      </c>
      <c r="U562" s="348">
        <f t="shared" si="181"/>
        <v>336954</v>
      </c>
      <c r="V562" s="348">
        <f t="shared" si="181"/>
        <v>341294</v>
      </c>
      <c r="W562" s="640"/>
    </row>
    <row r="563" spans="1:26" s="328" customFormat="1" ht="15" customHeight="1">
      <c r="L563" s="424"/>
      <c r="M563" s="435"/>
      <c r="N563" s="346"/>
      <c r="O563" s="346"/>
      <c r="P563" s="347"/>
      <c r="Q563" s="347"/>
      <c r="R563" s="346"/>
      <c r="S563" s="346"/>
      <c r="T563" s="346"/>
      <c r="U563" s="346"/>
      <c r="V563" s="346"/>
      <c r="W563" s="640"/>
    </row>
    <row r="564" spans="1:26" s="328" customFormat="1" ht="24" customHeight="1">
      <c r="K564" s="400" t="s">
        <v>660</v>
      </c>
      <c r="L564" s="422"/>
      <c r="M564" s="422"/>
      <c r="N564" s="365">
        <f t="shared" ref="N564" si="182">N548-N562</f>
        <v>78857</v>
      </c>
      <c r="O564" s="365">
        <f t="shared" ref="O564:V564" si="183">O548-O562</f>
        <v>-75465</v>
      </c>
      <c r="P564" s="366">
        <f t="shared" ref="P564" si="184">P548-P562</f>
        <v>925</v>
      </c>
      <c r="Q564" s="366">
        <f t="shared" si="183"/>
        <v>-7664</v>
      </c>
      <c r="R564" s="365">
        <f t="shared" ref="R564:U564" si="185">R548-R562</f>
        <v>1825</v>
      </c>
      <c r="S564" s="365">
        <f t="shared" si="185"/>
        <v>-6207</v>
      </c>
      <c r="T564" s="365">
        <f t="shared" si="185"/>
        <v>0</v>
      </c>
      <c r="U564" s="365">
        <f t="shared" si="185"/>
        <v>0</v>
      </c>
      <c r="V564" s="365">
        <f t="shared" si="183"/>
        <v>0</v>
      </c>
      <c r="W564" s="640"/>
    </row>
    <row r="565" spans="1:26" s="328" customFormat="1" ht="15" customHeight="1">
      <c r="L565" s="424"/>
      <c r="M565" s="422"/>
      <c r="N565" s="365"/>
      <c r="O565" s="365"/>
      <c r="P565" s="366"/>
      <c r="Q565" s="366"/>
      <c r="R565" s="365"/>
      <c r="S565" s="365"/>
      <c r="T565" s="365"/>
      <c r="U565" s="365"/>
      <c r="V565" s="365"/>
      <c r="W565" s="640"/>
    </row>
    <row r="566" spans="1:26" s="328" customFormat="1" ht="24" customHeight="1">
      <c r="K566" s="405" t="s">
        <v>662</v>
      </c>
      <c r="L566" s="422"/>
      <c r="M566" s="422"/>
      <c r="N566" s="365">
        <v>87510</v>
      </c>
      <c r="O566" s="365">
        <v>12046</v>
      </c>
      <c r="P566" s="366">
        <v>11611</v>
      </c>
      <c r="Q566" s="366">
        <f>O566+Q564</f>
        <v>4382</v>
      </c>
      <c r="R566" s="365">
        <f>Q566+R564</f>
        <v>6207</v>
      </c>
      <c r="S566" s="365">
        <f>R566+S564</f>
        <v>0</v>
      </c>
      <c r="T566" s="365">
        <f>S566+T564</f>
        <v>0</v>
      </c>
      <c r="U566" s="365">
        <f>T566+U564</f>
        <v>0</v>
      </c>
      <c r="V566" s="365">
        <f>U566+V564</f>
        <v>0</v>
      </c>
      <c r="W566" s="640"/>
    </row>
    <row r="567" spans="1:26" ht="15" customHeight="1">
      <c r="A567" s="328"/>
      <c r="B567" s="328"/>
      <c r="C567" s="328"/>
      <c r="D567" s="328"/>
      <c r="E567" s="328"/>
      <c r="F567" s="328"/>
      <c r="G567" s="328"/>
      <c r="H567" s="328"/>
      <c r="I567" s="328"/>
      <c r="J567" s="328"/>
      <c r="K567" s="328"/>
      <c r="L567" s="209"/>
      <c r="M567" s="240"/>
      <c r="N567" s="620"/>
      <c r="O567" s="620"/>
      <c r="P567" s="624"/>
      <c r="Q567" s="624"/>
      <c r="R567" s="625"/>
      <c r="S567" s="625"/>
      <c r="T567" s="625"/>
      <c r="U567" s="625"/>
      <c r="V567" s="625"/>
    </row>
    <row r="568" spans="1:26" ht="24" customHeight="1">
      <c r="A568" s="407" t="s">
        <v>682</v>
      </c>
      <c r="B568" s="328"/>
      <c r="C568" s="328"/>
      <c r="D568" s="328"/>
      <c r="E568" s="328"/>
      <c r="F568" s="328"/>
      <c r="G568" s="328"/>
      <c r="H568" s="328"/>
      <c r="I568" s="328"/>
      <c r="J568" s="328"/>
      <c r="K568" s="328"/>
      <c r="L568" s="209"/>
      <c r="N568" s="394"/>
      <c r="O568" s="394"/>
      <c r="P568" s="618"/>
      <c r="Q568" s="618"/>
      <c r="R568" s="619"/>
      <c r="S568" s="619"/>
      <c r="T568" s="619"/>
      <c r="U568" s="619"/>
      <c r="V568" s="619"/>
    </row>
    <row r="569" spans="1:26" ht="15" customHeight="1">
      <c r="A569" s="328"/>
      <c r="B569" s="328"/>
      <c r="C569" s="328"/>
      <c r="D569" s="328"/>
      <c r="E569" s="328"/>
      <c r="F569" s="328"/>
      <c r="G569" s="328"/>
      <c r="H569" s="328"/>
      <c r="I569" s="328"/>
      <c r="J569" s="328"/>
      <c r="K569" s="328"/>
      <c r="L569" s="209"/>
      <c r="N569" s="394"/>
      <c r="O569" s="394"/>
      <c r="P569" s="618"/>
      <c r="Q569" s="618"/>
      <c r="R569" s="619"/>
      <c r="S569" s="619"/>
      <c r="T569" s="619"/>
      <c r="U569" s="619"/>
      <c r="V569" s="619"/>
    </row>
    <row r="570" spans="1:26" ht="24" customHeight="1">
      <c r="A570" s="396" t="s">
        <v>1399</v>
      </c>
      <c r="B570" s="397"/>
      <c r="C570" s="397"/>
      <c r="D570" s="328" t="s">
        <v>369</v>
      </c>
      <c r="E570" s="397"/>
      <c r="F570" s="397"/>
      <c r="G570" s="397"/>
      <c r="H570" s="397"/>
      <c r="I570" s="397"/>
      <c r="J570" s="397"/>
      <c r="K570" s="397"/>
      <c r="L570" s="218"/>
      <c r="M570" s="220"/>
      <c r="N570" s="340">
        <v>133524</v>
      </c>
      <c r="O570" s="340">
        <v>132793</v>
      </c>
      <c r="P570" s="225">
        <v>43027</v>
      </c>
      <c r="Q570" s="225">
        <v>41403</v>
      </c>
      <c r="R570" s="221">
        <v>5235</v>
      </c>
      <c r="S570" s="221">
        <v>0</v>
      </c>
      <c r="T570" s="221">
        <v>0</v>
      </c>
      <c r="U570" s="221">
        <v>0</v>
      </c>
      <c r="V570" s="221">
        <v>0</v>
      </c>
      <c r="X570" s="656"/>
      <c r="Y570" s="657"/>
    </row>
    <row r="571" spans="1:26" ht="24" customHeight="1">
      <c r="A571" s="396" t="s">
        <v>1047</v>
      </c>
      <c r="B571" s="397"/>
      <c r="C571" s="397"/>
      <c r="D571" s="396" t="s">
        <v>1078</v>
      </c>
      <c r="E571" s="397"/>
      <c r="F571" s="328"/>
      <c r="G571" s="397"/>
      <c r="H571" s="397"/>
      <c r="I571" s="397"/>
      <c r="J571" s="397"/>
      <c r="K571" s="397"/>
      <c r="L571" s="218"/>
      <c r="M571" s="220"/>
      <c r="N571" s="340">
        <v>11970</v>
      </c>
      <c r="O571" s="340">
        <v>80880</v>
      </c>
      <c r="P571" s="225">
        <v>0</v>
      </c>
      <c r="Q571" s="225">
        <v>0</v>
      </c>
      <c r="R571" s="221">
        <v>0</v>
      </c>
      <c r="S571" s="221">
        <v>0</v>
      </c>
      <c r="T571" s="221">
        <v>0</v>
      </c>
      <c r="U571" s="221">
        <v>0</v>
      </c>
      <c r="V571" s="221">
        <v>0</v>
      </c>
      <c r="X571" s="213"/>
      <c r="Y571" s="306"/>
    </row>
    <row r="572" spans="1:26" ht="24" customHeight="1">
      <c r="A572" s="396" t="s">
        <v>370</v>
      </c>
      <c r="B572" s="397"/>
      <c r="C572" s="397"/>
      <c r="D572" s="396" t="s">
        <v>371</v>
      </c>
      <c r="E572" s="598"/>
      <c r="F572" s="598"/>
      <c r="G572" s="598"/>
      <c r="H572" s="598"/>
      <c r="I572" s="598"/>
      <c r="J572" s="598"/>
      <c r="K572" s="598"/>
      <c r="L572" s="218">
        <v>1640023</v>
      </c>
      <c r="M572" s="214">
        <v>1591745</v>
      </c>
      <c r="N572" s="340">
        <f>1751822+3517</f>
        <v>1755339</v>
      </c>
      <c r="O572" s="340">
        <v>1843103</v>
      </c>
      <c r="P572" s="225">
        <v>1946267</v>
      </c>
      <c r="Q572" s="225">
        <v>1800000</v>
      </c>
      <c r="R572" s="221">
        <v>2127500</v>
      </c>
      <c r="S572" s="221">
        <v>2446625</v>
      </c>
      <c r="T572" s="221">
        <v>2691288</v>
      </c>
      <c r="U572" s="221">
        <v>2691288</v>
      </c>
      <c r="V572" s="221">
        <v>2691288</v>
      </c>
      <c r="X572" s="656"/>
      <c r="Y572" s="657"/>
      <c r="Z572" s="657"/>
    </row>
    <row r="573" spans="1:26" ht="24" customHeight="1">
      <c r="A573" s="396" t="s">
        <v>372</v>
      </c>
      <c r="B573" s="328"/>
      <c r="C573" s="328"/>
      <c r="D573" s="396" t="s">
        <v>373</v>
      </c>
      <c r="E573" s="328"/>
      <c r="F573" s="328"/>
      <c r="G573" s="328"/>
      <c r="H573" s="328"/>
      <c r="I573" s="328"/>
      <c r="J573" s="328"/>
      <c r="K573" s="328"/>
      <c r="L573" s="209">
        <v>4364</v>
      </c>
      <c r="M573" s="214">
        <v>879</v>
      </c>
      <c r="N573" s="340">
        <v>329</v>
      </c>
      <c r="O573" s="340">
        <v>10796</v>
      </c>
      <c r="P573" s="225">
        <v>500</v>
      </c>
      <c r="Q573" s="225">
        <v>4750</v>
      </c>
      <c r="R573" s="221">
        <v>500</v>
      </c>
      <c r="S573" s="221">
        <v>500</v>
      </c>
      <c r="T573" s="221">
        <v>500</v>
      </c>
      <c r="U573" s="221">
        <v>500</v>
      </c>
      <c r="V573" s="221">
        <v>500</v>
      </c>
      <c r="X573" s="213"/>
    </row>
    <row r="574" spans="1:26" ht="24" customHeight="1">
      <c r="A574" s="396" t="s">
        <v>1241</v>
      </c>
      <c r="B574" s="328"/>
      <c r="C574" s="328"/>
      <c r="D574" s="396" t="s">
        <v>1194</v>
      </c>
      <c r="E574" s="397"/>
      <c r="F574" s="397"/>
      <c r="G574" s="397"/>
      <c r="H574" s="397"/>
      <c r="I574" s="397"/>
      <c r="J574" s="397"/>
      <c r="K574" s="397"/>
      <c r="L574" s="218"/>
      <c r="M574" s="220"/>
      <c r="N574" s="340">
        <v>0</v>
      </c>
      <c r="O574" s="340">
        <v>97601</v>
      </c>
      <c r="P574" s="225">
        <v>90000</v>
      </c>
      <c r="Q574" s="225">
        <v>92143</v>
      </c>
      <c r="R574" s="221">
        <v>90000</v>
      </c>
      <c r="S574" s="221">
        <v>90000</v>
      </c>
      <c r="T574" s="221">
        <v>90000</v>
      </c>
      <c r="U574" s="221">
        <v>90000</v>
      </c>
      <c r="V574" s="221">
        <v>90000</v>
      </c>
      <c r="X574" s="213"/>
    </row>
    <row r="575" spans="1:26" ht="24" customHeight="1">
      <c r="A575" s="396" t="s">
        <v>374</v>
      </c>
      <c r="B575" s="397"/>
      <c r="C575" s="397"/>
      <c r="D575" s="396" t="s">
        <v>375</v>
      </c>
      <c r="E575" s="397"/>
      <c r="F575" s="397"/>
      <c r="G575" s="397"/>
      <c r="H575" s="397"/>
      <c r="I575" s="397"/>
      <c r="J575" s="397"/>
      <c r="K575" s="397"/>
      <c r="L575" s="218">
        <v>69762</v>
      </c>
      <c r="M575" s="214">
        <v>44255</v>
      </c>
      <c r="N575" s="340">
        <v>25365</v>
      </c>
      <c r="O575" s="340">
        <v>36725</v>
      </c>
      <c r="P575" s="225">
        <v>27563</v>
      </c>
      <c r="Q575" s="225">
        <v>30000</v>
      </c>
      <c r="R575" s="221">
        <v>30000</v>
      </c>
      <c r="S575" s="221">
        <v>30000</v>
      </c>
      <c r="T575" s="221">
        <v>30000</v>
      </c>
      <c r="U575" s="221">
        <v>30000</v>
      </c>
      <c r="V575" s="221">
        <v>30000</v>
      </c>
    </row>
    <row r="576" spans="1:26" ht="24" customHeight="1">
      <c r="A576" s="396" t="s">
        <v>376</v>
      </c>
      <c r="B576" s="328"/>
      <c r="C576" s="328"/>
      <c r="D576" s="396" t="s">
        <v>377</v>
      </c>
      <c r="E576" s="616"/>
      <c r="F576" s="616"/>
      <c r="G576" s="616"/>
      <c r="H576" s="616"/>
      <c r="I576" s="616"/>
      <c r="J576" s="616"/>
      <c r="K576" s="616"/>
      <c r="L576" s="209">
        <v>0</v>
      </c>
      <c r="M576" s="220">
        <v>0</v>
      </c>
      <c r="N576" s="340">
        <v>696716</v>
      </c>
      <c r="O576" s="340">
        <v>691321</v>
      </c>
      <c r="P576" s="225">
        <v>334560</v>
      </c>
      <c r="Q576" s="225">
        <v>340239</v>
      </c>
      <c r="R576" s="337">
        <v>340000</v>
      </c>
      <c r="S576" s="337">
        <v>340000</v>
      </c>
      <c r="T576" s="337">
        <v>340000</v>
      </c>
      <c r="U576" s="337">
        <v>340000</v>
      </c>
      <c r="V576" s="337">
        <v>340000</v>
      </c>
      <c r="X576" s="213"/>
    </row>
    <row r="577" spans="1:28" ht="24" customHeight="1">
      <c r="A577" s="396" t="s">
        <v>378</v>
      </c>
      <c r="B577" s="397"/>
      <c r="C577" s="397"/>
      <c r="D577" s="178" t="s">
        <v>379</v>
      </c>
      <c r="E577" s="397"/>
      <c r="F577" s="397"/>
      <c r="G577" s="397"/>
      <c r="H577" s="397"/>
      <c r="I577" s="397"/>
      <c r="J577" s="397"/>
      <c r="K577" s="397"/>
      <c r="L577" s="218">
        <v>311440</v>
      </c>
      <c r="M577" s="220">
        <v>201466</v>
      </c>
      <c r="N577" s="337">
        <v>106450</v>
      </c>
      <c r="O577" s="337">
        <v>62930</v>
      </c>
      <c r="P577" s="225">
        <v>59850</v>
      </c>
      <c r="Q577" s="225">
        <v>50000</v>
      </c>
      <c r="R577" s="221">
        <v>105000</v>
      </c>
      <c r="S577" s="221">
        <v>105000</v>
      </c>
      <c r="T577" s="221">
        <v>105000</v>
      </c>
      <c r="U577" s="221">
        <v>105000</v>
      </c>
      <c r="V577" s="221">
        <v>105000</v>
      </c>
    </row>
    <row r="578" spans="1:28" ht="24" customHeight="1">
      <c r="A578" s="396" t="s">
        <v>380</v>
      </c>
      <c r="B578" s="397"/>
      <c r="C578" s="397"/>
      <c r="D578" s="735" t="s">
        <v>6</v>
      </c>
      <c r="E578" s="735"/>
      <c r="F578" s="735"/>
      <c r="G578" s="735"/>
      <c r="H578" s="735"/>
      <c r="I578" s="735"/>
      <c r="J578" s="735"/>
      <c r="K578" s="735"/>
      <c r="L578" s="218"/>
      <c r="M578" s="214"/>
      <c r="N578" s="339">
        <v>282</v>
      </c>
      <c r="O578" s="339">
        <v>2203</v>
      </c>
      <c r="P578" s="216">
        <v>2000</v>
      </c>
      <c r="Q578" s="216">
        <v>2200</v>
      </c>
      <c r="R578" s="215">
        <v>2200</v>
      </c>
      <c r="S578" s="215">
        <v>1000</v>
      </c>
      <c r="T578" s="215">
        <v>1000</v>
      </c>
      <c r="U578" s="215">
        <v>1000</v>
      </c>
      <c r="V578" s="215">
        <v>1000</v>
      </c>
      <c r="W578" s="515"/>
    </row>
    <row r="579" spans="1:28" ht="24" customHeight="1">
      <c r="A579" s="396" t="s">
        <v>729</v>
      </c>
      <c r="B579" s="397"/>
      <c r="C579" s="397"/>
      <c r="D579" s="396" t="s">
        <v>292</v>
      </c>
      <c r="E579" s="397"/>
      <c r="F579" s="397"/>
      <c r="G579" s="397"/>
      <c r="H579" s="397"/>
      <c r="I579" s="397"/>
      <c r="J579" s="397"/>
      <c r="K579" s="397"/>
      <c r="L579" s="218"/>
      <c r="M579" s="214"/>
      <c r="N579" s="340">
        <v>0</v>
      </c>
      <c r="O579" s="340">
        <v>8294</v>
      </c>
      <c r="P579" s="225">
        <v>0</v>
      </c>
      <c r="Q579" s="225">
        <v>0</v>
      </c>
      <c r="R579" s="221">
        <v>0</v>
      </c>
      <c r="S579" s="221">
        <v>0</v>
      </c>
      <c r="T579" s="221">
        <v>0</v>
      </c>
      <c r="U579" s="221">
        <v>0</v>
      </c>
      <c r="V579" s="221">
        <v>0</v>
      </c>
      <c r="X579" s="213"/>
    </row>
    <row r="580" spans="1:28" ht="24" customHeight="1">
      <c r="A580" s="396" t="s">
        <v>736</v>
      </c>
      <c r="B580" s="397"/>
      <c r="C580" s="397"/>
      <c r="D580" s="396" t="s">
        <v>287</v>
      </c>
      <c r="E580" s="397"/>
      <c r="F580" s="397"/>
      <c r="G580" s="397"/>
      <c r="H580" s="397"/>
      <c r="I580" s="397"/>
      <c r="J580" s="397"/>
      <c r="K580" s="397"/>
      <c r="L580" s="218"/>
      <c r="M580" s="214"/>
      <c r="N580" s="340">
        <v>0</v>
      </c>
      <c r="O580" s="340">
        <v>164</v>
      </c>
      <c r="P580" s="228">
        <v>0</v>
      </c>
      <c r="Q580" s="228">
        <v>0</v>
      </c>
      <c r="R580" s="227">
        <v>0</v>
      </c>
      <c r="S580" s="227">
        <v>0</v>
      </c>
      <c r="T580" s="227">
        <v>0</v>
      </c>
      <c r="U580" s="227">
        <v>0</v>
      </c>
      <c r="V580" s="227">
        <v>0</v>
      </c>
      <c r="X580" s="213"/>
    </row>
    <row r="581" spans="1:28" ht="24" customHeight="1">
      <c r="A581" s="396" t="s">
        <v>801</v>
      </c>
      <c r="B581" s="397"/>
      <c r="C581" s="397"/>
      <c r="D581" s="396" t="s">
        <v>67</v>
      </c>
      <c r="E581" s="397"/>
      <c r="F581" s="397"/>
      <c r="G581" s="397"/>
      <c r="H581" s="397"/>
      <c r="I581" s="397"/>
      <c r="J581" s="397"/>
      <c r="K581" s="397"/>
      <c r="L581" s="218"/>
      <c r="M581" s="220"/>
      <c r="N581" s="340">
        <v>1771</v>
      </c>
      <c r="O581" s="340">
        <v>2018</v>
      </c>
      <c r="P581" s="228">
        <v>0</v>
      </c>
      <c r="Q581" s="228">
        <v>6064</v>
      </c>
      <c r="R581" s="227">
        <v>0</v>
      </c>
      <c r="S581" s="227">
        <v>0</v>
      </c>
      <c r="T581" s="227">
        <v>0</v>
      </c>
      <c r="U581" s="227">
        <v>0</v>
      </c>
      <c r="V581" s="227">
        <v>0</v>
      </c>
    </row>
    <row r="582" spans="1:28" ht="24" customHeight="1">
      <c r="A582" s="396" t="s">
        <v>1059</v>
      </c>
      <c r="B582" s="328"/>
      <c r="C582" s="328"/>
      <c r="D582" s="396" t="s">
        <v>1060</v>
      </c>
      <c r="E582" s="555"/>
      <c r="F582" s="555"/>
      <c r="G582" s="399"/>
      <c r="H582" s="399"/>
      <c r="I582" s="399"/>
      <c r="J582" s="399"/>
      <c r="K582" s="399"/>
      <c r="L582" s="236"/>
      <c r="M582" s="298"/>
      <c r="N582" s="352">
        <v>39491</v>
      </c>
      <c r="O582" s="352">
        <v>53073</v>
      </c>
      <c r="P582" s="250">
        <v>54336</v>
      </c>
      <c r="Q582" s="250">
        <v>54121</v>
      </c>
      <c r="R582" s="249">
        <f>ROUND(Q582*1.02,0)</f>
        <v>55203</v>
      </c>
      <c r="S582" s="249">
        <f t="shared" ref="S582:U582" si="186">ROUND(R582*1.02,0)</f>
        <v>56307</v>
      </c>
      <c r="T582" s="249">
        <f t="shared" si="186"/>
        <v>57433</v>
      </c>
      <c r="U582" s="249">
        <f t="shared" si="186"/>
        <v>58582</v>
      </c>
      <c r="V582" s="249">
        <f>ROUND(U582*1.02,0)</f>
        <v>59754</v>
      </c>
      <c r="X582" s="213"/>
    </row>
    <row r="583" spans="1:28" ht="24" customHeight="1">
      <c r="A583" s="396" t="s">
        <v>381</v>
      </c>
      <c r="B583" s="328"/>
      <c r="C583" s="328"/>
      <c r="D583" s="396" t="s">
        <v>7</v>
      </c>
      <c r="E583" s="328"/>
      <c r="F583" s="328"/>
      <c r="G583" s="328"/>
      <c r="H583" s="328"/>
      <c r="I583" s="328"/>
      <c r="J583" s="328"/>
      <c r="K583" s="328"/>
      <c r="L583" s="209"/>
      <c r="M583" s="214"/>
      <c r="N583" s="339">
        <v>98</v>
      </c>
      <c r="O583" s="339">
        <v>150</v>
      </c>
      <c r="P583" s="216">
        <v>0</v>
      </c>
      <c r="Q583" s="216">
        <v>0</v>
      </c>
      <c r="R583" s="215">
        <v>0</v>
      </c>
      <c r="S583" s="215">
        <v>0</v>
      </c>
      <c r="T583" s="215">
        <v>0</v>
      </c>
      <c r="U583" s="215">
        <v>0</v>
      </c>
      <c r="V583" s="215">
        <v>0</v>
      </c>
    </row>
    <row r="584" spans="1:28" ht="24" customHeight="1">
      <c r="A584" s="396" t="s">
        <v>382</v>
      </c>
      <c r="B584" s="397"/>
      <c r="C584" s="397"/>
      <c r="D584" s="396" t="s">
        <v>248</v>
      </c>
      <c r="E584" s="397"/>
      <c r="F584" s="397"/>
      <c r="G584" s="397"/>
      <c r="H584" s="397"/>
      <c r="I584" s="397"/>
      <c r="J584" s="397"/>
      <c r="K584" s="397"/>
      <c r="L584" s="218"/>
      <c r="M584" s="299"/>
      <c r="N584" s="357">
        <v>83863</v>
      </c>
      <c r="O584" s="357">
        <v>82288</v>
      </c>
      <c r="P584" s="262">
        <v>82988</v>
      </c>
      <c r="Q584" s="262">
        <f>Q744</f>
        <v>82988</v>
      </c>
      <c r="R584" s="261">
        <f>R744</f>
        <v>83588</v>
      </c>
      <c r="S584" s="261">
        <f t="shared" ref="S584:U584" si="187">S744</f>
        <v>84088</v>
      </c>
      <c r="T584" s="261">
        <f t="shared" si="187"/>
        <v>84488</v>
      </c>
      <c r="U584" s="261">
        <f t="shared" si="187"/>
        <v>82288</v>
      </c>
      <c r="V584" s="261">
        <f>V744</f>
        <v>85088</v>
      </c>
      <c r="X584" s="217"/>
    </row>
    <row r="585" spans="1:28" ht="15" customHeight="1">
      <c r="A585" s="328"/>
      <c r="B585" s="328"/>
      <c r="C585" s="328"/>
      <c r="D585" s="328"/>
      <c r="E585" s="328"/>
      <c r="F585" s="328"/>
      <c r="G585" s="328"/>
      <c r="H585" s="328"/>
      <c r="I585" s="328"/>
      <c r="J585" s="328"/>
      <c r="K585" s="328"/>
      <c r="L585" s="209"/>
      <c r="N585" s="346"/>
      <c r="O585" s="346"/>
      <c r="P585" s="238"/>
      <c r="Q585" s="238"/>
      <c r="R585" s="237"/>
      <c r="S585" s="237"/>
      <c r="T585" s="237"/>
      <c r="U585" s="237"/>
      <c r="V585" s="237"/>
    </row>
    <row r="586" spans="1:28" s="328" customFormat="1" ht="24" customHeight="1">
      <c r="K586" s="400" t="s">
        <v>656</v>
      </c>
      <c r="L586" s="422"/>
      <c r="M586" s="423"/>
      <c r="N586" s="348">
        <f>SUM(N570:N585)</f>
        <v>2855198</v>
      </c>
      <c r="O586" s="348">
        <f>SUM(O570:O585)</f>
        <v>3104339</v>
      </c>
      <c r="P586" s="349">
        <f t="shared" ref="P586" si="188">SUM(P570:P585)</f>
        <v>2641091</v>
      </c>
      <c r="Q586" s="349">
        <f>SUM(Q570:Q585)</f>
        <v>2503908</v>
      </c>
      <c r="R586" s="348">
        <f t="shared" ref="R586:U586" si="189">SUM(R570:R585)</f>
        <v>2839226</v>
      </c>
      <c r="S586" s="348">
        <f t="shared" si="189"/>
        <v>3153520</v>
      </c>
      <c r="T586" s="348">
        <f t="shared" si="189"/>
        <v>3399709</v>
      </c>
      <c r="U586" s="348">
        <f t="shared" si="189"/>
        <v>3398658</v>
      </c>
      <c r="V586" s="348">
        <f t="shared" ref="V586" si="190">SUM(V570:V585)</f>
        <v>3402630</v>
      </c>
      <c r="W586" s="640"/>
    </row>
    <row r="587" spans="1:28" ht="15" customHeight="1">
      <c r="A587" s="328"/>
      <c r="B587" s="328"/>
      <c r="C587" s="328"/>
      <c r="D587" s="328"/>
      <c r="E587" s="328"/>
      <c r="F587" s="328"/>
      <c r="G587" s="328"/>
      <c r="H587" s="328"/>
      <c r="I587" s="328"/>
      <c r="J587" s="328"/>
      <c r="K587" s="328"/>
      <c r="L587" s="209"/>
      <c r="N587" s="346"/>
      <c r="O587" s="346"/>
      <c r="P587" s="238"/>
      <c r="Q587" s="238"/>
      <c r="R587" s="237"/>
      <c r="S587" s="237"/>
      <c r="T587" s="237"/>
      <c r="U587" s="237"/>
      <c r="V587" s="237"/>
    </row>
    <row r="588" spans="1:28" ht="24" customHeight="1">
      <c r="A588" s="400" t="s">
        <v>1334</v>
      </c>
      <c r="B588" s="328"/>
      <c r="C588" s="328"/>
      <c r="D588" s="328"/>
      <c r="E588" s="328"/>
      <c r="F588" s="328"/>
      <c r="G588" s="328"/>
      <c r="H588" s="328"/>
      <c r="I588" s="328"/>
      <c r="J588" s="328"/>
      <c r="K588" s="328"/>
      <c r="L588" s="209"/>
      <c r="N588" s="346"/>
      <c r="O588" s="346"/>
      <c r="P588" s="238"/>
      <c r="Q588" s="238"/>
      <c r="R588" s="237"/>
      <c r="S588" s="237"/>
      <c r="T588" s="237"/>
      <c r="U588" s="237"/>
      <c r="V588" s="237"/>
    </row>
    <row r="589" spans="1:28" ht="24" customHeight="1">
      <c r="A589" s="396" t="s">
        <v>383</v>
      </c>
      <c r="B589" s="397"/>
      <c r="C589" s="397"/>
      <c r="D589" s="396" t="s">
        <v>1095</v>
      </c>
      <c r="E589" s="397"/>
      <c r="F589" s="397"/>
      <c r="G589" s="397"/>
      <c r="H589" s="397"/>
      <c r="I589" s="397"/>
      <c r="J589" s="397"/>
      <c r="K589" s="397"/>
      <c r="L589" s="218"/>
      <c r="M589" s="247"/>
      <c r="N589" s="339">
        <v>324679</v>
      </c>
      <c r="O589" s="339">
        <v>331616</v>
      </c>
      <c r="P589" s="216">
        <v>327697</v>
      </c>
      <c r="Q589" s="216">
        <v>327697</v>
      </c>
      <c r="R589" s="215">
        <v>334060</v>
      </c>
      <c r="S589" s="227">
        <v>344082</v>
      </c>
      <c r="T589" s="227">
        <v>356125</v>
      </c>
      <c r="U589" s="227">
        <v>368589</v>
      </c>
      <c r="V589" s="227">
        <v>381490</v>
      </c>
      <c r="X589" s="656"/>
      <c r="Y589" s="657"/>
      <c r="Z589" s="657"/>
      <c r="AA589" s="657"/>
      <c r="AB589" s="213"/>
    </row>
    <row r="590" spans="1:28" ht="24" customHeight="1">
      <c r="A590" s="396" t="s">
        <v>1487</v>
      </c>
      <c r="B590" s="661"/>
      <c r="C590" s="661"/>
      <c r="D590" s="396" t="s">
        <v>76</v>
      </c>
      <c r="E590" s="661"/>
      <c r="F590" s="661"/>
      <c r="G590" s="661"/>
      <c r="H590" s="661"/>
      <c r="I590" s="661"/>
      <c r="J590" s="661"/>
      <c r="K590" s="661"/>
      <c r="L590" s="218"/>
      <c r="M590" s="247"/>
      <c r="N590" s="339">
        <v>0</v>
      </c>
      <c r="O590" s="339">
        <v>0</v>
      </c>
      <c r="P590" s="216">
        <v>0</v>
      </c>
      <c r="Q590" s="216">
        <v>0</v>
      </c>
      <c r="R590" s="215">
        <v>5800</v>
      </c>
      <c r="S590" s="227">
        <v>0</v>
      </c>
      <c r="T590" s="227">
        <v>0</v>
      </c>
      <c r="U590" s="227">
        <v>0</v>
      </c>
      <c r="V590" s="227">
        <v>0</v>
      </c>
      <c r="X590" s="656"/>
      <c r="Y590" s="657"/>
      <c r="Z590" s="657"/>
      <c r="AA590" s="657"/>
      <c r="AB590" s="213"/>
    </row>
    <row r="591" spans="1:28" ht="24" customHeight="1">
      <c r="A591" s="396" t="s">
        <v>384</v>
      </c>
      <c r="B591" s="397"/>
      <c r="C591" s="397"/>
      <c r="D591" s="396" t="s">
        <v>15</v>
      </c>
      <c r="E591" s="397"/>
      <c r="F591" s="397"/>
      <c r="G591" s="397"/>
      <c r="H591" s="397"/>
      <c r="I591" s="397"/>
      <c r="J591" s="397"/>
      <c r="K591" s="397"/>
      <c r="L591" s="218"/>
      <c r="M591" s="247"/>
      <c r="N591" s="339">
        <v>7782</v>
      </c>
      <c r="O591" s="339">
        <v>5759</v>
      </c>
      <c r="P591" s="216">
        <v>12000</v>
      </c>
      <c r="Q591" s="216">
        <v>12000</v>
      </c>
      <c r="R591" s="215">
        <v>12000</v>
      </c>
      <c r="S591" s="215">
        <v>12000</v>
      </c>
      <c r="T591" s="215">
        <v>12000</v>
      </c>
      <c r="U591" s="215">
        <v>12000</v>
      </c>
      <c r="V591" s="215">
        <v>12000</v>
      </c>
      <c r="X591" s="656"/>
      <c r="Y591" s="657"/>
      <c r="Z591" s="657"/>
      <c r="AA591" s="657"/>
    </row>
    <row r="592" spans="1:28" ht="24" customHeight="1">
      <c r="A592" s="396" t="s">
        <v>385</v>
      </c>
      <c r="B592" s="397"/>
      <c r="C592" s="397"/>
      <c r="D592" s="396" t="s">
        <v>8</v>
      </c>
      <c r="E592" s="397"/>
      <c r="F592" s="397"/>
      <c r="G592" s="397"/>
      <c r="H592" s="397"/>
      <c r="I592" s="397"/>
      <c r="J592" s="397"/>
      <c r="K592" s="397"/>
      <c r="L592" s="218"/>
      <c r="M592" s="247"/>
      <c r="N592" s="339">
        <v>31777</v>
      </c>
      <c r="O592" s="339">
        <v>35140</v>
      </c>
      <c r="P592" s="216">
        <v>37648</v>
      </c>
      <c r="Q592" s="216">
        <v>37648</v>
      </c>
      <c r="R592" s="215">
        <v>41270</v>
      </c>
      <c r="S592" s="215">
        <v>44042</v>
      </c>
      <c r="T592" s="215">
        <v>48326</v>
      </c>
      <c r="U592" s="215">
        <v>53003</v>
      </c>
      <c r="V592" s="215">
        <v>58177</v>
      </c>
      <c r="X592" s="656"/>
      <c r="Y592" s="657"/>
      <c r="Z592" s="657"/>
      <c r="AA592" s="657"/>
    </row>
    <row r="593" spans="1:29" ht="24" customHeight="1">
      <c r="A593" s="396" t="s">
        <v>386</v>
      </c>
      <c r="B593" s="328"/>
      <c r="C593" s="328"/>
      <c r="D593" s="396" t="s">
        <v>9</v>
      </c>
      <c r="E593" s="328"/>
      <c r="F593" s="328"/>
      <c r="G593" s="328"/>
      <c r="H593" s="328"/>
      <c r="I593" s="328"/>
      <c r="J593" s="328"/>
      <c r="K593" s="328"/>
      <c r="L593" s="209"/>
      <c r="M593" s="247"/>
      <c r="N593" s="339">
        <v>24507</v>
      </c>
      <c r="O593" s="339">
        <v>24639</v>
      </c>
      <c r="P593" s="216">
        <v>25277</v>
      </c>
      <c r="Q593" s="216">
        <v>25277</v>
      </c>
      <c r="R593" s="215">
        <v>25687</v>
      </c>
      <c r="S593" s="227">
        <v>26458</v>
      </c>
      <c r="T593" s="227">
        <v>27384</v>
      </c>
      <c r="U593" s="227">
        <v>28342</v>
      </c>
      <c r="V593" s="227">
        <v>29334</v>
      </c>
      <c r="X593" s="656"/>
      <c r="Y593" s="657"/>
      <c r="Z593" s="657"/>
      <c r="AA593" s="657"/>
    </row>
    <row r="594" spans="1:29" ht="24" customHeight="1">
      <c r="A594" s="396" t="s">
        <v>703</v>
      </c>
      <c r="B594" s="328"/>
      <c r="C594" s="328"/>
      <c r="D594" s="396" t="s">
        <v>13</v>
      </c>
      <c r="E594" s="328"/>
      <c r="F594" s="328"/>
      <c r="G594" s="328"/>
      <c r="H594" s="328"/>
      <c r="I594" s="328"/>
      <c r="J594" s="328"/>
      <c r="K594" s="328"/>
      <c r="L594" s="209"/>
      <c r="M594" s="247"/>
      <c r="N594" s="339">
        <v>0</v>
      </c>
      <c r="O594" s="339">
        <v>85844</v>
      </c>
      <c r="P594" s="216">
        <v>102854</v>
      </c>
      <c r="Q594" s="216">
        <v>102854</v>
      </c>
      <c r="R594" s="223">
        <v>111893</v>
      </c>
      <c r="S594" s="223">
        <f>ROUND(R594*1.08,0)</f>
        <v>120844</v>
      </c>
      <c r="T594" s="223">
        <f>ROUND(S594*1.08,0)+(28000-28000)</f>
        <v>130512</v>
      </c>
      <c r="U594" s="223">
        <f t="shared" ref="U594:V594" si="191">ROUND(T594*1.08,0)</f>
        <v>140953</v>
      </c>
      <c r="V594" s="223">
        <f t="shared" si="191"/>
        <v>152229</v>
      </c>
      <c r="X594" s="656"/>
      <c r="Y594" s="657"/>
      <c r="Z594" s="656"/>
      <c r="AA594" s="657"/>
      <c r="AC594" s="213"/>
    </row>
    <row r="595" spans="1:29" ht="24" customHeight="1">
      <c r="A595" s="396" t="s">
        <v>704</v>
      </c>
      <c r="B595" s="328"/>
      <c r="C595" s="328"/>
      <c r="D595" s="396" t="s">
        <v>207</v>
      </c>
      <c r="E595" s="328"/>
      <c r="F595" s="328"/>
      <c r="G595" s="328"/>
      <c r="H595" s="328"/>
      <c r="I595" s="328"/>
      <c r="J595" s="328"/>
      <c r="K595" s="328"/>
      <c r="L595" s="209"/>
      <c r="M595" s="247"/>
      <c r="N595" s="339">
        <v>0</v>
      </c>
      <c r="O595" s="339">
        <v>883</v>
      </c>
      <c r="P595" s="216">
        <v>722</v>
      </c>
      <c r="Q595" s="216">
        <v>675</v>
      </c>
      <c r="R595" s="223">
        <v>681</v>
      </c>
      <c r="S595" s="223">
        <f>ROUND(R595*1.01,0)</f>
        <v>688</v>
      </c>
      <c r="T595" s="223">
        <f>ROUND(S595*1.01,0)+(125-125)</f>
        <v>695</v>
      </c>
      <c r="U595" s="223">
        <f t="shared" ref="U595:V595" si="192">ROUND(T595*1.01,0)</f>
        <v>702</v>
      </c>
      <c r="V595" s="223">
        <f t="shared" si="192"/>
        <v>709</v>
      </c>
      <c r="X595" s="656"/>
      <c r="Y595" s="657"/>
      <c r="Z595" s="656"/>
      <c r="AA595" s="657"/>
      <c r="AC595" s="213"/>
    </row>
    <row r="596" spans="1:29" ht="24" customHeight="1">
      <c r="A596" s="396" t="s">
        <v>705</v>
      </c>
      <c r="B596" s="328"/>
      <c r="C596" s="328"/>
      <c r="D596" s="396" t="s">
        <v>714</v>
      </c>
      <c r="E596" s="328"/>
      <c r="F596" s="328"/>
      <c r="G596" s="328"/>
      <c r="H596" s="328"/>
      <c r="I596" s="328"/>
      <c r="J596" s="328"/>
      <c r="K596" s="328"/>
      <c r="L596" s="209"/>
      <c r="M596" s="247"/>
      <c r="N596" s="339">
        <v>0</v>
      </c>
      <c r="O596" s="339">
        <v>6461</v>
      </c>
      <c r="P596" s="216">
        <v>6599</v>
      </c>
      <c r="Q596" s="216">
        <v>5800</v>
      </c>
      <c r="R596" s="223">
        <v>5792</v>
      </c>
      <c r="S596" s="223">
        <f>ROUND(R596*1.05,0)</f>
        <v>6082</v>
      </c>
      <c r="T596" s="223">
        <f>ROUND(S596*1.05,0)+(1500-1500)</f>
        <v>6386</v>
      </c>
      <c r="U596" s="223">
        <f t="shared" ref="U596:V596" si="193">ROUND(T596*1.05,0)</f>
        <v>6705</v>
      </c>
      <c r="V596" s="223">
        <f t="shared" si="193"/>
        <v>7040</v>
      </c>
      <c r="X596" s="656"/>
      <c r="Y596" s="657"/>
      <c r="Z596" s="656"/>
      <c r="AA596" s="657"/>
      <c r="AC596" s="213"/>
    </row>
    <row r="597" spans="1:29" ht="24" customHeight="1">
      <c r="A597" s="396" t="s">
        <v>721</v>
      </c>
      <c r="B597" s="328"/>
      <c r="C597" s="328"/>
      <c r="D597" s="396" t="s">
        <v>716</v>
      </c>
      <c r="E597" s="328"/>
      <c r="F597" s="328"/>
      <c r="G597" s="328"/>
      <c r="H597" s="328"/>
      <c r="I597" s="328"/>
      <c r="J597" s="328"/>
      <c r="K597" s="328"/>
      <c r="L597" s="209"/>
      <c r="M597" s="247"/>
      <c r="N597" s="339">
        <v>0</v>
      </c>
      <c r="O597" s="339">
        <v>713</v>
      </c>
      <c r="P597" s="216">
        <v>729</v>
      </c>
      <c r="Q597" s="216">
        <v>750</v>
      </c>
      <c r="R597" s="223">
        <v>751</v>
      </c>
      <c r="S597" s="223">
        <f>ROUND(R597*1.03,0)</f>
        <v>774</v>
      </c>
      <c r="T597" s="223">
        <f>ROUND(S597*1.03,0)+(175-175)</f>
        <v>797</v>
      </c>
      <c r="U597" s="223">
        <f t="shared" ref="U597:V597" si="194">ROUND(T597*1.03,0)</f>
        <v>821</v>
      </c>
      <c r="V597" s="223">
        <f t="shared" si="194"/>
        <v>846</v>
      </c>
      <c r="X597" s="656"/>
      <c r="Y597" s="657"/>
      <c r="Z597" s="656"/>
      <c r="AA597" s="657"/>
      <c r="AC597" s="213"/>
    </row>
    <row r="598" spans="1:29" ht="24" customHeight="1">
      <c r="A598" s="396" t="s">
        <v>686</v>
      </c>
      <c r="B598" s="328"/>
      <c r="C598" s="328"/>
      <c r="D598" s="396" t="s">
        <v>206</v>
      </c>
      <c r="E598" s="328"/>
      <c r="F598" s="328"/>
      <c r="G598" s="328"/>
      <c r="H598" s="328"/>
      <c r="I598" s="328"/>
      <c r="J598" s="328"/>
      <c r="K598" s="328"/>
      <c r="L598" s="209"/>
      <c r="M598" s="247"/>
      <c r="N598" s="339">
        <v>0</v>
      </c>
      <c r="O598" s="339">
        <v>1025</v>
      </c>
      <c r="P598" s="216">
        <v>4000</v>
      </c>
      <c r="Q598" s="216">
        <v>3000</v>
      </c>
      <c r="R598" s="215">
        <v>3000</v>
      </c>
      <c r="S598" s="215">
        <v>3000</v>
      </c>
      <c r="T598" s="215">
        <v>3000</v>
      </c>
      <c r="U598" s="215">
        <v>3000</v>
      </c>
      <c r="V598" s="215">
        <v>3000</v>
      </c>
    </row>
    <row r="599" spans="1:29" ht="24" customHeight="1">
      <c r="A599" s="396" t="s">
        <v>684</v>
      </c>
      <c r="B599" s="328"/>
      <c r="C599" s="328"/>
      <c r="D599" s="396" t="s">
        <v>270</v>
      </c>
      <c r="E599" s="328"/>
      <c r="F599" s="328"/>
      <c r="G599" s="328"/>
      <c r="H599" s="328"/>
      <c r="I599" s="328"/>
      <c r="J599" s="328"/>
      <c r="K599" s="328"/>
      <c r="L599" s="209"/>
      <c r="M599" s="247"/>
      <c r="N599" s="339">
        <v>0</v>
      </c>
      <c r="O599" s="339">
        <v>20767</v>
      </c>
      <c r="P599" s="216">
        <v>24510</v>
      </c>
      <c r="Q599" s="216">
        <v>24510</v>
      </c>
      <c r="R599" s="215">
        <f>ROUND(Q599*1.06,0)</f>
        <v>25981</v>
      </c>
      <c r="S599" s="215">
        <f>ROUND(R599*1.06,0)</f>
        <v>27540</v>
      </c>
      <c r="T599" s="215">
        <f>ROUND(S599*1.06,0)</f>
        <v>29192</v>
      </c>
      <c r="U599" s="215">
        <f>ROUND(T599*1.06,0)</f>
        <v>30944</v>
      </c>
      <c r="V599" s="215">
        <f>ROUND(U599*1.06,0)</f>
        <v>32801</v>
      </c>
    </row>
    <row r="600" spans="1:29" ht="24" customHeight="1">
      <c r="A600" s="396" t="s">
        <v>1112</v>
      </c>
      <c r="B600" s="397"/>
      <c r="C600" s="397"/>
      <c r="D600" s="396" t="s">
        <v>1119</v>
      </c>
      <c r="E600" s="397"/>
      <c r="F600" s="397"/>
      <c r="G600" s="397"/>
      <c r="H600" s="397"/>
      <c r="I600" s="397"/>
      <c r="J600" s="397"/>
      <c r="K600" s="397"/>
      <c r="L600" s="218"/>
      <c r="M600" s="264"/>
      <c r="N600" s="340">
        <v>91863</v>
      </c>
      <c r="O600" s="340">
        <v>0</v>
      </c>
      <c r="P600" s="225">
        <v>0</v>
      </c>
      <c r="Q600" s="225">
        <v>0</v>
      </c>
      <c r="R600" s="221">
        <v>0</v>
      </c>
      <c r="S600" s="221">
        <v>0</v>
      </c>
      <c r="T600" s="221">
        <v>0</v>
      </c>
      <c r="U600" s="221">
        <v>0</v>
      </c>
      <c r="V600" s="221">
        <v>0</v>
      </c>
      <c r="X600" s="213"/>
    </row>
    <row r="601" spans="1:29" ht="24" customHeight="1">
      <c r="A601" s="396" t="s">
        <v>1048</v>
      </c>
      <c r="B601" s="328"/>
      <c r="C601" s="328"/>
      <c r="D601" s="328" t="s">
        <v>1045</v>
      </c>
      <c r="E601" s="328"/>
      <c r="F601" s="328"/>
      <c r="G601" s="328"/>
      <c r="H601" s="328"/>
      <c r="I601" s="328"/>
      <c r="J601" s="328"/>
      <c r="K601" s="328"/>
      <c r="L601" s="209"/>
      <c r="M601" s="247"/>
      <c r="N601" s="339">
        <v>11970</v>
      </c>
      <c r="O601" s="339">
        <v>80880</v>
      </c>
      <c r="P601" s="216">
        <v>0</v>
      </c>
      <c r="Q601" s="216">
        <f>Q571</f>
        <v>0</v>
      </c>
      <c r="R601" s="215">
        <f t="shared" ref="R601:U601" si="195">R571</f>
        <v>0</v>
      </c>
      <c r="S601" s="215">
        <f t="shared" si="195"/>
        <v>0</v>
      </c>
      <c r="T601" s="215">
        <f t="shared" si="195"/>
        <v>0</v>
      </c>
      <c r="U601" s="215">
        <f t="shared" si="195"/>
        <v>0</v>
      </c>
      <c r="V601" s="215">
        <f t="shared" ref="V601" si="196">V571</f>
        <v>0</v>
      </c>
      <c r="X601" s="213"/>
    </row>
    <row r="602" spans="1:29" ht="24" customHeight="1">
      <c r="A602" s="396" t="s">
        <v>387</v>
      </c>
      <c r="B602" s="397"/>
      <c r="C602" s="397"/>
      <c r="D602" s="396" t="s">
        <v>99</v>
      </c>
      <c r="E602" s="397"/>
      <c r="F602" s="397"/>
      <c r="G602" s="397"/>
      <c r="H602" s="397"/>
      <c r="I602" s="397"/>
      <c r="J602" s="397"/>
      <c r="K602" s="397"/>
      <c r="L602" s="218"/>
      <c r="M602" s="247"/>
      <c r="N602" s="339">
        <v>330</v>
      </c>
      <c r="O602" s="339">
        <v>600</v>
      </c>
      <c r="P602" s="216">
        <v>2000</v>
      </c>
      <c r="Q602" s="216">
        <v>2000</v>
      </c>
      <c r="R602" s="215">
        <v>3000</v>
      </c>
      <c r="S602" s="215">
        <v>3000</v>
      </c>
      <c r="T602" s="215">
        <v>3000</v>
      </c>
      <c r="U602" s="215">
        <v>3000</v>
      </c>
      <c r="V602" s="215">
        <v>3000</v>
      </c>
    </row>
    <row r="603" spans="1:29" ht="24" customHeight="1">
      <c r="A603" s="396" t="s">
        <v>388</v>
      </c>
      <c r="B603" s="328"/>
      <c r="C603" s="328"/>
      <c r="D603" s="396" t="s">
        <v>1319</v>
      </c>
      <c r="E603" s="328"/>
      <c r="F603" s="328"/>
      <c r="G603" s="397"/>
      <c r="H603" s="397"/>
      <c r="I603" s="397"/>
      <c r="J603" s="397"/>
      <c r="K603" s="397"/>
      <c r="L603" s="218"/>
      <c r="M603" s="247"/>
      <c r="N603" s="339">
        <v>287</v>
      </c>
      <c r="O603" s="339">
        <v>293</v>
      </c>
      <c r="P603" s="216">
        <v>1600</v>
      </c>
      <c r="Q603" s="216">
        <v>1600</v>
      </c>
      <c r="R603" s="215">
        <v>1600</v>
      </c>
      <c r="S603" s="215">
        <v>1600</v>
      </c>
      <c r="T603" s="215">
        <v>1600</v>
      </c>
      <c r="U603" s="215">
        <v>1600</v>
      </c>
      <c r="V603" s="215">
        <v>1600</v>
      </c>
    </row>
    <row r="604" spans="1:29" ht="24" customHeight="1">
      <c r="A604" s="396" t="s">
        <v>389</v>
      </c>
      <c r="B604" s="328"/>
      <c r="C604" s="328"/>
      <c r="D604" s="396" t="s">
        <v>98</v>
      </c>
      <c r="E604" s="553"/>
      <c r="F604" s="553"/>
      <c r="G604" s="552"/>
      <c r="H604" s="552"/>
      <c r="I604" s="552"/>
      <c r="J604" s="552"/>
      <c r="K604" s="552"/>
      <c r="L604" s="218"/>
      <c r="M604" s="247"/>
      <c r="N604" s="339">
        <v>1172</v>
      </c>
      <c r="O604" s="339">
        <v>1117</v>
      </c>
      <c r="P604" s="216">
        <v>1000</v>
      </c>
      <c r="Q604" s="216">
        <v>1000</v>
      </c>
      <c r="R604" s="215">
        <v>1000</v>
      </c>
      <c r="S604" s="215">
        <v>1000</v>
      </c>
      <c r="T604" s="215">
        <v>1000</v>
      </c>
      <c r="U604" s="215">
        <v>1000</v>
      </c>
      <c r="V604" s="215">
        <v>1000</v>
      </c>
    </row>
    <row r="605" spans="1:29" ht="24" customHeight="1">
      <c r="A605" s="396" t="s">
        <v>390</v>
      </c>
      <c r="B605" s="328"/>
      <c r="C605" s="328"/>
      <c r="D605" s="396" t="s">
        <v>391</v>
      </c>
      <c r="E605" s="328"/>
      <c r="F605" s="328"/>
      <c r="G605" s="397"/>
      <c r="H605" s="397"/>
      <c r="I605" s="397"/>
      <c r="J605" s="397"/>
      <c r="K605" s="397"/>
      <c r="L605" s="218"/>
      <c r="M605" s="229"/>
      <c r="N605" s="337">
        <v>4294</v>
      </c>
      <c r="O605" s="337">
        <v>7170</v>
      </c>
      <c r="P605" s="212">
        <v>14000</v>
      </c>
      <c r="Q605" s="212">
        <v>14000</v>
      </c>
      <c r="R605" s="211">
        <v>14000</v>
      </c>
      <c r="S605" s="211">
        <v>14000</v>
      </c>
      <c r="T605" s="211">
        <v>14000</v>
      </c>
      <c r="U605" s="211">
        <v>14000</v>
      </c>
      <c r="V605" s="211">
        <v>14000</v>
      </c>
    </row>
    <row r="606" spans="1:29" ht="24" customHeight="1">
      <c r="A606" s="396" t="s">
        <v>392</v>
      </c>
      <c r="B606" s="328"/>
      <c r="C606" s="328"/>
      <c r="D606" s="396" t="s">
        <v>1320</v>
      </c>
      <c r="E606" s="328"/>
      <c r="F606" s="328"/>
      <c r="G606" s="397"/>
      <c r="H606" s="397"/>
      <c r="I606" s="397"/>
      <c r="J606" s="397"/>
      <c r="K606" s="397"/>
      <c r="L606" s="218"/>
      <c r="M606" s="247"/>
      <c r="N606" s="339">
        <v>86</v>
      </c>
      <c r="O606" s="339">
        <v>42</v>
      </c>
      <c r="P606" s="216">
        <v>2500</v>
      </c>
      <c r="Q606" s="216">
        <v>2500</v>
      </c>
      <c r="R606" s="215">
        <v>2500</v>
      </c>
      <c r="S606" s="215">
        <v>2500</v>
      </c>
      <c r="T606" s="215">
        <v>2500</v>
      </c>
      <c r="U606" s="215">
        <v>2500</v>
      </c>
      <c r="V606" s="215">
        <v>2500</v>
      </c>
    </row>
    <row r="607" spans="1:29" ht="24" customHeight="1">
      <c r="A607" s="396" t="s">
        <v>393</v>
      </c>
      <c r="B607" s="328"/>
      <c r="C607" s="328"/>
      <c r="D607" s="396" t="s">
        <v>265</v>
      </c>
      <c r="E607" s="328"/>
      <c r="F607" s="397"/>
      <c r="G607" s="328"/>
      <c r="H607" s="328"/>
      <c r="I607" s="328"/>
      <c r="J607" s="328"/>
      <c r="K607" s="328"/>
      <c r="L607" s="209"/>
      <c r="M607" s="247"/>
      <c r="N607" s="339">
        <v>19205</v>
      </c>
      <c r="O607" s="339">
        <v>22942</v>
      </c>
      <c r="P607" s="216">
        <v>24500</v>
      </c>
      <c r="Q607" s="216">
        <v>24500</v>
      </c>
      <c r="R607" s="215">
        <f t="shared" ref="R607:V607" si="197">22000+2500</f>
        <v>24500</v>
      </c>
      <c r="S607" s="215">
        <f t="shared" si="197"/>
        <v>24500</v>
      </c>
      <c r="T607" s="215">
        <f t="shared" si="197"/>
        <v>24500</v>
      </c>
      <c r="U607" s="215">
        <f t="shared" si="197"/>
        <v>24500</v>
      </c>
      <c r="V607" s="215">
        <f t="shared" si="197"/>
        <v>24500</v>
      </c>
      <c r="X607" s="213"/>
    </row>
    <row r="608" spans="1:29" ht="24" customHeight="1">
      <c r="A608" s="396" t="s">
        <v>877</v>
      </c>
      <c r="B608" s="328"/>
      <c r="C608" s="328"/>
      <c r="D608" s="396" t="s">
        <v>878</v>
      </c>
      <c r="E608" s="328"/>
      <c r="F608" s="397"/>
      <c r="G608" s="328"/>
      <c r="H608" s="328"/>
      <c r="I608" s="328"/>
      <c r="J608" s="328"/>
      <c r="K608" s="328"/>
      <c r="L608" s="209"/>
      <c r="M608" s="247"/>
      <c r="N608" s="339">
        <v>85003</v>
      </c>
      <c r="O608" s="339">
        <v>89598</v>
      </c>
      <c r="P608" s="216">
        <v>100000</v>
      </c>
      <c r="Q608" s="216">
        <v>100000</v>
      </c>
      <c r="R608" s="215">
        <v>100000</v>
      </c>
      <c r="S608" s="215">
        <v>100000</v>
      </c>
      <c r="T608" s="215">
        <v>100000</v>
      </c>
      <c r="U608" s="215">
        <v>100000</v>
      </c>
      <c r="V608" s="215">
        <v>100000</v>
      </c>
    </row>
    <row r="609" spans="1:26" ht="24" customHeight="1">
      <c r="A609" s="396" t="s">
        <v>856</v>
      </c>
      <c r="B609" s="328"/>
      <c r="C609" s="328"/>
      <c r="D609" s="396" t="s">
        <v>50</v>
      </c>
      <c r="E609" s="328"/>
      <c r="F609" s="397"/>
      <c r="G609" s="328"/>
      <c r="H609" s="328"/>
      <c r="I609" s="328"/>
      <c r="J609" s="328"/>
      <c r="K609" s="328"/>
      <c r="L609" s="209"/>
      <c r="M609" s="247"/>
      <c r="N609" s="339">
        <v>5888</v>
      </c>
      <c r="O609" s="339">
        <v>6399</v>
      </c>
      <c r="P609" s="216">
        <v>6200</v>
      </c>
      <c r="Q609" s="216">
        <v>6200</v>
      </c>
      <c r="R609" s="215">
        <v>6500</v>
      </c>
      <c r="S609" s="215">
        <v>6500</v>
      </c>
      <c r="T609" s="215">
        <v>6500</v>
      </c>
      <c r="U609" s="215">
        <v>6500</v>
      </c>
      <c r="V609" s="215">
        <v>6500</v>
      </c>
    </row>
    <row r="610" spans="1:26" ht="24" customHeight="1">
      <c r="A610" s="396" t="s">
        <v>394</v>
      </c>
      <c r="B610" s="397"/>
      <c r="C610" s="397"/>
      <c r="D610" s="396" t="s">
        <v>97</v>
      </c>
      <c r="E610" s="397"/>
      <c r="F610" s="397"/>
      <c r="G610" s="328"/>
      <c r="H610" s="328"/>
      <c r="I610" s="328"/>
      <c r="J610" s="328"/>
      <c r="K610" s="328"/>
      <c r="L610" s="209"/>
      <c r="M610" s="229"/>
      <c r="N610" s="337">
        <v>17167</v>
      </c>
      <c r="O610" s="337">
        <v>17609</v>
      </c>
      <c r="P610" s="212">
        <v>22000</v>
      </c>
      <c r="Q610" s="212">
        <v>22000</v>
      </c>
      <c r="R610" s="211">
        <v>22000</v>
      </c>
      <c r="S610" s="211">
        <v>22000</v>
      </c>
      <c r="T610" s="211">
        <v>22000</v>
      </c>
      <c r="U610" s="211">
        <v>22000</v>
      </c>
      <c r="V610" s="211">
        <v>22000</v>
      </c>
    </row>
    <row r="611" spans="1:26" ht="24" customHeight="1">
      <c r="A611" s="396" t="s">
        <v>395</v>
      </c>
      <c r="B611" s="328"/>
      <c r="C611" s="328"/>
      <c r="D611" s="396" t="s">
        <v>1321</v>
      </c>
      <c r="E611" s="328"/>
      <c r="F611" s="328"/>
      <c r="G611" s="328"/>
      <c r="H611" s="328"/>
      <c r="I611" s="328"/>
      <c r="J611" s="328"/>
      <c r="K611" s="328"/>
      <c r="L611" s="209"/>
      <c r="M611" s="247"/>
      <c r="N611" s="339">
        <v>629</v>
      </c>
      <c r="O611" s="339">
        <v>858</v>
      </c>
      <c r="P611" s="216">
        <v>1250</v>
      </c>
      <c r="Q611" s="216">
        <v>1250</v>
      </c>
      <c r="R611" s="215">
        <f t="shared" ref="R611:V611" si="198">1000+250</f>
        <v>1250</v>
      </c>
      <c r="S611" s="215">
        <f t="shared" si="198"/>
        <v>1250</v>
      </c>
      <c r="T611" s="215">
        <f t="shared" si="198"/>
        <v>1250</v>
      </c>
      <c r="U611" s="215">
        <f t="shared" si="198"/>
        <v>1250</v>
      </c>
      <c r="V611" s="215">
        <f t="shared" si="198"/>
        <v>1250</v>
      </c>
    </row>
    <row r="612" spans="1:26" ht="24" customHeight="1">
      <c r="A612" s="396" t="s">
        <v>396</v>
      </c>
      <c r="B612" s="328"/>
      <c r="C612" s="328"/>
      <c r="D612" s="396" t="s">
        <v>10</v>
      </c>
      <c r="E612" s="553"/>
      <c r="F612" s="553"/>
      <c r="G612" s="552"/>
      <c r="H612" s="552"/>
      <c r="I612" s="552"/>
      <c r="J612" s="552"/>
      <c r="K612" s="552"/>
      <c r="L612" s="218"/>
      <c r="M612" s="229"/>
      <c r="N612" s="337">
        <v>9755</v>
      </c>
      <c r="O612" s="337">
        <v>13585</v>
      </c>
      <c r="P612" s="212">
        <v>10000</v>
      </c>
      <c r="Q612" s="212">
        <v>10000</v>
      </c>
      <c r="R612" s="211">
        <v>15000</v>
      </c>
      <c r="S612" s="211">
        <v>15000</v>
      </c>
      <c r="T612" s="211">
        <v>15000</v>
      </c>
      <c r="U612" s="211">
        <v>15000</v>
      </c>
      <c r="V612" s="211">
        <v>15000</v>
      </c>
    </row>
    <row r="613" spans="1:26" ht="24" customHeight="1">
      <c r="A613" s="396" t="s">
        <v>397</v>
      </c>
      <c r="B613" s="328"/>
      <c r="C613" s="328"/>
      <c r="D613" s="396" t="s">
        <v>152</v>
      </c>
      <c r="E613" s="328"/>
      <c r="F613" s="328"/>
      <c r="G613" s="397"/>
      <c r="H613" s="397"/>
      <c r="I613" s="397"/>
      <c r="J613" s="397"/>
      <c r="K613" s="397"/>
      <c r="L613" s="218"/>
      <c r="M613" s="247"/>
      <c r="N613" s="339"/>
      <c r="O613" s="339">
        <v>0</v>
      </c>
      <c r="P613" s="216">
        <v>2000</v>
      </c>
      <c r="Q613" s="216">
        <v>2000</v>
      </c>
      <c r="R613" s="215">
        <v>2000</v>
      </c>
      <c r="S613" s="215">
        <v>2000</v>
      </c>
      <c r="T613" s="215">
        <v>2000</v>
      </c>
      <c r="U613" s="215">
        <v>2000</v>
      </c>
      <c r="V613" s="215">
        <v>2000</v>
      </c>
    </row>
    <row r="614" spans="1:26" ht="24" customHeight="1">
      <c r="A614" s="396" t="s">
        <v>398</v>
      </c>
      <c r="B614" s="397"/>
      <c r="C614" s="397"/>
      <c r="D614" s="396" t="s">
        <v>18</v>
      </c>
      <c r="E614" s="542"/>
      <c r="F614" s="542"/>
      <c r="G614" s="542"/>
      <c r="H614" s="542"/>
      <c r="I614" s="542"/>
      <c r="J614" s="542"/>
      <c r="K614" s="542"/>
      <c r="L614" s="544"/>
      <c r="M614" s="267"/>
      <c r="N614" s="340">
        <v>239606</v>
      </c>
      <c r="O614" s="340">
        <v>208439</v>
      </c>
      <c r="P614" s="225">
        <v>283500</v>
      </c>
      <c r="Q614" s="225">
        <v>225000</v>
      </c>
      <c r="R614" s="215">
        <f>ROUND(Q614*1.15,0)</f>
        <v>258750</v>
      </c>
      <c r="S614" s="215">
        <f>ROUND(R614*1.06,0)</f>
        <v>274275</v>
      </c>
      <c r="T614" s="215">
        <f t="shared" ref="T614:V614" si="199">ROUND(S614*1.06,0)</f>
        <v>290732</v>
      </c>
      <c r="U614" s="215">
        <f t="shared" si="199"/>
        <v>308176</v>
      </c>
      <c r="V614" s="215">
        <f t="shared" si="199"/>
        <v>326667</v>
      </c>
      <c r="X614" s="217"/>
    </row>
    <row r="615" spans="1:26" ht="24" customHeight="1">
      <c r="A615" s="396" t="s">
        <v>399</v>
      </c>
      <c r="B615" s="328"/>
      <c r="C615" s="328"/>
      <c r="D615" s="396" t="s">
        <v>400</v>
      </c>
      <c r="E615" s="553"/>
      <c r="F615" s="553"/>
      <c r="G615" s="553"/>
      <c r="H615" s="553"/>
      <c r="I615" s="553"/>
      <c r="J615" s="553"/>
      <c r="K615" s="553"/>
      <c r="L615" s="209"/>
      <c r="M615" s="209"/>
      <c r="N615" s="360">
        <v>3426</v>
      </c>
      <c r="O615" s="360">
        <v>6534</v>
      </c>
      <c r="P615" s="269">
        <v>4500</v>
      </c>
      <c r="Q615" s="269">
        <v>4500</v>
      </c>
      <c r="R615" s="268">
        <v>4500</v>
      </c>
      <c r="S615" s="268">
        <v>4500</v>
      </c>
      <c r="T615" s="268">
        <v>4500</v>
      </c>
      <c r="U615" s="268">
        <v>4500</v>
      </c>
      <c r="V615" s="268">
        <v>4500</v>
      </c>
      <c r="X615" s="213"/>
    </row>
    <row r="616" spans="1:26" ht="24" customHeight="1">
      <c r="A616" s="396" t="s">
        <v>401</v>
      </c>
      <c r="B616" s="397"/>
      <c r="C616" s="397"/>
      <c r="D616" s="396" t="s">
        <v>94</v>
      </c>
      <c r="E616" s="397"/>
      <c r="F616" s="397"/>
      <c r="G616" s="328"/>
      <c r="H616" s="328"/>
      <c r="I616" s="328"/>
      <c r="J616" s="328"/>
      <c r="K616" s="328"/>
      <c r="L616" s="209"/>
      <c r="M616" s="209"/>
      <c r="N616" s="360">
        <v>396</v>
      </c>
      <c r="O616" s="360">
        <v>492</v>
      </c>
      <c r="P616" s="269">
        <v>1000</v>
      </c>
      <c r="Q616" s="269">
        <v>1000</v>
      </c>
      <c r="R616" s="268">
        <v>1000</v>
      </c>
      <c r="S616" s="268">
        <v>1000</v>
      </c>
      <c r="T616" s="268">
        <v>1000</v>
      </c>
      <c r="U616" s="268">
        <v>1000</v>
      </c>
      <c r="V616" s="268">
        <v>1000</v>
      </c>
    </row>
    <row r="617" spans="1:26" ht="24" customHeight="1">
      <c r="A617" s="396" t="s">
        <v>1199</v>
      </c>
      <c r="B617" s="397"/>
      <c r="C617" s="397"/>
      <c r="D617" s="396" t="s">
        <v>1196</v>
      </c>
      <c r="E617" s="397"/>
      <c r="F617" s="397"/>
      <c r="G617" s="397"/>
      <c r="H617" s="397"/>
      <c r="I617" s="397"/>
      <c r="J617" s="397"/>
      <c r="K617" s="397"/>
      <c r="L617" s="218"/>
      <c r="M617" s="259"/>
      <c r="N617" s="356">
        <v>12832</v>
      </c>
      <c r="O617" s="356">
        <f>14751-O618</f>
        <v>9790</v>
      </c>
      <c r="P617" s="270">
        <v>5000</v>
      </c>
      <c r="Q617" s="270">
        <v>5000</v>
      </c>
      <c r="R617" s="260">
        <v>6000</v>
      </c>
      <c r="S617" s="260">
        <v>6000</v>
      </c>
      <c r="T617" s="260">
        <v>6000</v>
      </c>
      <c r="U617" s="260">
        <v>6000</v>
      </c>
      <c r="V617" s="260">
        <v>6000</v>
      </c>
      <c r="X617" s="213"/>
    </row>
    <row r="618" spans="1:26" ht="24" customHeight="1">
      <c r="A618" s="396" t="s">
        <v>1376</v>
      </c>
      <c r="B618" s="535"/>
      <c r="C618" s="535"/>
      <c r="D618" s="396" t="s">
        <v>1375</v>
      </c>
      <c r="E618" s="552"/>
      <c r="F618" s="552"/>
      <c r="G618" s="552"/>
      <c r="H618" s="552"/>
      <c r="I618" s="552"/>
      <c r="J618" s="552"/>
      <c r="K618" s="552"/>
      <c r="L618" s="218"/>
      <c r="M618" s="259"/>
      <c r="N618" s="356">
        <v>0</v>
      </c>
      <c r="O618" s="356">
        <f>660+501+3800</f>
        <v>4961</v>
      </c>
      <c r="P618" s="270">
        <v>0</v>
      </c>
      <c r="Q618" s="270">
        <v>0</v>
      </c>
      <c r="R618" s="260">
        <v>4000</v>
      </c>
      <c r="S618" s="260">
        <v>4000</v>
      </c>
      <c r="T618" s="260">
        <v>4000</v>
      </c>
      <c r="U618" s="260">
        <v>4000</v>
      </c>
      <c r="V618" s="260">
        <v>4000</v>
      </c>
      <c r="X618" s="213"/>
    </row>
    <row r="619" spans="1:26" ht="24" customHeight="1">
      <c r="A619" s="396" t="s">
        <v>853</v>
      </c>
      <c r="B619" s="397"/>
      <c r="C619" s="397"/>
      <c r="D619" s="396" t="s">
        <v>364</v>
      </c>
      <c r="E619" s="542"/>
      <c r="F619" s="542"/>
      <c r="G619" s="542"/>
      <c r="H619" s="542"/>
      <c r="I619" s="542"/>
      <c r="J619" s="542"/>
      <c r="K619" s="542"/>
      <c r="L619" s="218"/>
      <c r="M619" s="259"/>
      <c r="N619" s="356">
        <v>1552</v>
      </c>
      <c r="O619" s="356">
        <v>1338</v>
      </c>
      <c r="P619" s="270">
        <v>1400</v>
      </c>
      <c r="Q619" s="270">
        <v>1400</v>
      </c>
      <c r="R619" s="260">
        <v>3100</v>
      </c>
      <c r="S619" s="260">
        <v>3100</v>
      </c>
      <c r="T619" s="260">
        <v>3100</v>
      </c>
      <c r="U619" s="260">
        <v>3100</v>
      </c>
      <c r="V619" s="260">
        <v>3100</v>
      </c>
    </row>
    <row r="620" spans="1:26" ht="24" customHeight="1">
      <c r="A620" s="396" t="s">
        <v>402</v>
      </c>
      <c r="B620" s="397"/>
      <c r="C620" s="397"/>
      <c r="D620" s="396" t="s">
        <v>19</v>
      </c>
      <c r="E620" s="397"/>
      <c r="F620" s="397"/>
      <c r="G620" s="397"/>
      <c r="H620" s="397"/>
      <c r="I620" s="397"/>
      <c r="J620" s="397"/>
      <c r="K620" s="397"/>
      <c r="L620" s="218"/>
      <c r="M620" s="259"/>
      <c r="N620" s="356">
        <v>13370</v>
      </c>
      <c r="O620" s="356">
        <v>17539</v>
      </c>
      <c r="P620" s="270">
        <v>15000</v>
      </c>
      <c r="Q620" s="270">
        <v>15000</v>
      </c>
      <c r="R620" s="260">
        <v>15000</v>
      </c>
      <c r="S620" s="260">
        <v>15000</v>
      </c>
      <c r="T620" s="260">
        <v>15000</v>
      </c>
      <c r="U620" s="260">
        <v>15000</v>
      </c>
      <c r="V620" s="260">
        <v>15000</v>
      </c>
    </row>
    <row r="621" spans="1:26" ht="24" customHeight="1">
      <c r="A621" s="396" t="s">
        <v>403</v>
      </c>
      <c r="B621" s="397"/>
      <c r="C621" s="397"/>
      <c r="D621" s="396" t="s">
        <v>105</v>
      </c>
      <c r="E621" s="397"/>
      <c r="F621" s="397"/>
      <c r="G621" s="397"/>
      <c r="H621" s="397"/>
      <c r="I621" s="397"/>
      <c r="J621" s="397"/>
      <c r="K621" s="397"/>
      <c r="L621" s="218"/>
      <c r="M621" s="247"/>
      <c r="N621" s="340">
        <v>3045</v>
      </c>
      <c r="O621" s="340">
        <v>3067</v>
      </c>
      <c r="P621" s="225">
        <v>4000</v>
      </c>
      <c r="Q621" s="225">
        <v>4000</v>
      </c>
      <c r="R621" s="221">
        <v>4000</v>
      </c>
      <c r="S621" s="221">
        <v>4000</v>
      </c>
      <c r="T621" s="221">
        <v>4000</v>
      </c>
      <c r="U621" s="221">
        <v>4000</v>
      </c>
      <c r="V621" s="221">
        <v>4000</v>
      </c>
    </row>
    <row r="622" spans="1:26" ht="24" customHeight="1">
      <c r="A622" s="396" t="s">
        <v>404</v>
      </c>
      <c r="B622" s="397"/>
      <c r="C622" s="397"/>
      <c r="D622" s="396" t="s">
        <v>12</v>
      </c>
      <c r="E622" s="552"/>
      <c r="F622" s="552"/>
      <c r="G622" s="552"/>
      <c r="H622" s="552"/>
      <c r="I622" s="552"/>
      <c r="J622" s="552"/>
      <c r="K622" s="552"/>
      <c r="L622" s="218"/>
      <c r="M622" s="247"/>
      <c r="N622" s="339">
        <v>16036</v>
      </c>
      <c r="O622" s="339">
        <v>14601</v>
      </c>
      <c r="P622" s="216">
        <v>25000</v>
      </c>
      <c r="Q622" s="216">
        <v>25000</v>
      </c>
      <c r="R622" s="215">
        <v>25000</v>
      </c>
      <c r="S622" s="215">
        <v>25000</v>
      </c>
      <c r="T622" s="215">
        <v>25000</v>
      </c>
      <c r="U622" s="215">
        <v>25000</v>
      </c>
      <c r="V622" s="215">
        <v>25000</v>
      </c>
      <c r="X622" s="213"/>
    </row>
    <row r="623" spans="1:26" ht="24" customHeight="1">
      <c r="A623" s="396" t="s">
        <v>1200</v>
      </c>
      <c r="B623" s="397"/>
      <c r="C623" s="397"/>
      <c r="D623" s="396" t="s">
        <v>1198</v>
      </c>
      <c r="E623" s="397"/>
      <c r="F623" s="397"/>
      <c r="G623" s="397"/>
      <c r="H623" s="397"/>
      <c r="I623" s="397"/>
      <c r="J623" s="397"/>
      <c r="K623" s="397"/>
      <c r="L623" s="218"/>
      <c r="M623" s="247"/>
      <c r="N623" s="339">
        <v>0</v>
      </c>
      <c r="O623" s="339">
        <v>0</v>
      </c>
      <c r="P623" s="216">
        <v>7500</v>
      </c>
      <c r="Q623" s="216">
        <v>7500</v>
      </c>
      <c r="R623" s="215">
        <v>8500</v>
      </c>
      <c r="S623" s="215">
        <v>8500</v>
      </c>
      <c r="T623" s="215">
        <v>8500</v>
      </c>
      <c r="U623" s="215">
        <v>8500</v>
      </c>
      <c r="V623" s="215">
        <v>8500</v>
      </c>
      <c r="X623" s="750"/>
      <c r="Y623" s="750"/>
      <c r="Z623" s="750"/>
    </row>
    <row r="624" spans="1:26" ht="24" customHeight="1">
      <c r="A624" s="396" t="s">
        <v>405</v>
      </c>
      <c r="B624" s="397"/>
      <c r="C624" s="397"/>
      <c r="D624" s="396" t="s">
        <v>17</v>
      </c>
      <c r="E624" s="397"/>
      <c r="F624" s="397"/>
      <c r="G624" s="397"/>
      <c r="H624" s="397"/>
      <c r="I624" s="397"/>
      <c r="J624" s="397"/>
      <c r="K624" s="397"/>
      <c r="L624" s="218"/>
      <c r="M624" s="247"/>
      <c r="N624" s="339">
        <v>459</v>
      </c>
      <c r="O624" s="339">
        <v>3548</v>
      </c>
      <c r="P624" s="216">
        <v>2000</v>
      </c>
      <c r="Q624" s="216">
        <v>2000</v>
      </c>
      <c r="R624" s="215">
        <f>1000+1000</f>
        <v>2000</v>
      </c>
      <c r="S624" s="215">
        <f>1000+1000</f>
        <v>2000</v>
      </c>
      <c r="T624" s="215">
        <f>1000+1000</f>
        <v>2000</v>
      </c>
      <c r="U624" s="215">
        <f>1000+1000</f>
        <v>2000</v>
      </c>
      <c r="V624" s="215">
        <f>1000+1000</f>
        <v>2000</v>
      </c>
      <c r="X624" s="710"/>
      <c r="Y624" s="711"/>
      <c r="Z624" s="656"/>
    </row>
    <row r="625" spans="1:40" ht="24" customHeight="1">
      <c r="A625" s="396" t="s">
        <v>406</v>
      </c>
      <c r="B625" s="397"/>
      <c r="C625" s="397"/>
      <c r="D625" s="396" t="s">
        <v>274</v>
      </c>
      <c r="E625" s="552"/>
      <c r="F625" s="552"/>
      <c r="G625" s="552"/>
      <c r="H625" s="552"/>
      <c r="I625" s="552"/>
      <c r="J625" s="552"/>
      <c r="K625" s="552"/>
      <c r="L625" s="218"/>
      <c r="M625" s="247"/>
      <c r="N625" s="339">
        <v>560</v>
      </c>
      <c r="O625" s="339">
        <v>104</v>
      </c>
      <c r="P625" s="216">
        <v>6000</v>
      </c>
      <c r="Q625" s="216">
        <v>6000</v>
      </c>
      <c r="R625" s="215">
        <v>6000</v>
      </c>
      <c r="S625" s="215">
        <v>6000</v>
      </c>
      <c r="T625" s="215">
        <v>6000</v>
      </c>
      <c r="U625" s="215">
        <v>6000</v>
      </c>
      <c r="V625" s="215">
        <v>6000</v>
      </c>
    </row>
    <row r="626" spans="1:40" ht="24" customHeight="1">
      <c r="A626" s="396" t="s">
        <v>407</v>
      </c>
      <c r="B626" s="397"/>
      <c r="C626" s="397"/>
      <c r="D626" s="396" t="s">
        <v>408</v>
      </c>
      <c r="E626" s="397"/>
      <c r="F626" s="397"/>
      <c r="G626" s="397"/>
      <c r="H626" s="397"/>
      <c r="I626" s="397"/>
      <c r="J626" s="397"/>
      <c r="K626" s="397"/>
      <c r="L626" s="218"/>
      <c r="M626" s="247"/>
      <c r="N626" s="340">
        <v>177643</v>
      </c>
      <c r="O626" s="340">
        <v>155048</v>
      </c>
      <c r="P626" s="225">
        <v>155000</v>
      </c>
      <c r="Q626" s="225">
        <v>155000</v>
      </c>
      <c r="R626" s="221">
        <v>155000</v>
      </c>
      <c r="S626" s="221">
        <v>155000</v>
      </c>
      <c r="T626" s="221">
        <v>155000</v>
      </c>
      <c r="U626" s="221">
        <v>155000</v>
      </c>
      <c r="V626" s="221">
        <v>155000</v>
      </c>
    </row>
    <row r="627" spans="1:40" ht="24" customHeight="1">
      <c r="A627" s="396" t="s">
        <v>409</v>
      </c>
      <c r="B627" s="397"/>
      <c r="C627" s="397"/>
      <c r="D627" s="396" t="s">
        <v>1322</v>
      </c>
      <c r="E627" s="397"/>
      <c r="F627" s="397"/>
      <c r="G627" s="397"/>
      <c r="H627" s="397"/>
      <c r="I627" s="397"/>
      <c r="J627" s="397"/>
      <c r="K627" s="397"/>
      <c r="L627" s="218"/>
      <c r="M627" s="247"/>
      <c r="N627" s="339">
        <v>7368</v>
      </c>
      <c r="O627" s="339">
        <v>9892</v>
      </c>
      <c r="P627" s="216">
        <v>9500</v>
      </c>
      <c r="Q627" s="216">
        <v>9500</v>
      </c>
      <c r="R627" s="215">
        <f t="shared" ref="R627:V627" si="200">9000+500</f>
        <v>9500</v>
      </c>
      <c r="S627" s="215">
        <f t="shared" si="200"/>
        <v>9500</v>
      </c>
      <c r="T627" s="215">
        <f t="shared" si="200"/>
        <v>9500</v>
      </c>
      <c r="U627" s="215">
        <f t="shared" si="200"/>
        <v>9500</v>
      </c>
      <c r="V627" s="215">
        <f t="shared" si="200"/>
        <v>9500</v>
      </c>
    </row>
    <row r="628" spans="1:40" ht="24" customHeight="1">
      <c r="A628" s="396" t="s">
        <v>410</v>
      </c>
      <c r="B628" s="328"/>
      <c r="C628" s="328"/>
      <c r="D628" s="396" t="s">
        <v>1325</v>
      </c>
      <c r="E628" s="328"/>
      <c r="F628" s="328"/>
      <c r="G628" s="328"/>
      <c r="H628" s="328"/>
      <c r="I628" s="328"/>
      <c r="J628" s="328"/>
      <c r="K628" s="328"/>
      <c r="L628" s="209"/>
      <c r="M628" s="247"/>
      <c r="N628" s="339">
        <v>29092</v>
      </c>
      <c r="O628" s="339">
        <v>32809</v>
      </c>
      <c r="P628" s="216">
        <v>52000</v>
      </c>
      <c r="Q628" s="216">
        <v>52000</v>
      </c>
      <c r="R628" s="215">
        <f t="shared" ref="R628:V628" si="201">6000+40000</f>
        <v>46000</v>
      </c>
      <c r="S628" s="215">
        <f t="shared" si="201"/>
        <v>46000</v>
      </c>
      <c r="T628" s="215">
        <f t="shared" si="201"/>
        <v>46000</v>
      </c>
      <c r="U628" s="215">
        <f t="shared" si="201"/>
        <v>46000</v>
      </c>
      <c r="V628" s="215">
        <f t="shared" si="201"/>
        <v>46000</v>
      </c>
    </row>
    <row r="629" spans="1:40" ht="24" customHeight="1">
      <c r="A629" s="396" t="s">
        <v>1382</v>
      </c>
      <c r="B629" s="541"/>
      <c r="C629" s="541"/>
      <c r="D629" s="396" t="s">
        <v>1383</v>
      </c>
      <c r="E629" s="553"/>
      <c r="F629" s="553"/>
      <c r="G629" s="553"/>
      <c r="H629" s="553"/>
      <c r="I629" s="553"/>
      <c r="J629" s="553"/>
      <c r="K629" s="553"/>
      <c r="L629" s="209"/>
      <c r="M629" s="247"/>
      <c r="N629" s="340">
        <v>0</v>
      </c>
      <c r="O629" s="340">
        <v>0</v>
      </c>
      <c r="P629" s="225">
        <v>0</v>
      </c>
      <c r="Q629" s="225">
        <v>0</v>
      </c>
      <c r="R629" s="221">
        <v>1500</v>
      </c>
      <c r="S629" s="221">
        <v>1500</v>
      </c>
      <c r="T629" s="221">
        <v>1500</v>
      </c>
      <c r="U629" s="221">
        <v>1500</v>
      </c>
      <c r="V629" s="221">
        <v>1500</v>
      </c>
    </row>
    <row r="630" spans="1:40" ht="24" customHeight="1">
      <c r="A630" s="396" t="s">
        <v>411</v>
      </c>
      <c r="B630" s="397"/>
      <c r="C630" s="397"/>
      <c r="D630" s="396" t="s">
        <v>161</v>
      </c>
      <c r="E630" s="542"/>
      <c r="F630" s="542"/>
      <c r="G630" s="542"/>
      <c r="H630" s="542"/>
      <c r="I630" s="542"/>
      <c r="J630" s="542"/>
      <c r="K630" s="542"/>
      <c r="L630" s="218"/>
      <c r="M630" s="247"/>
      <c r="N630" s="340">
        <v>33646</v>
      </c>
      <c r="O630" s="340">
        <v>24155</v>
      </c>
      <c r="P630" s="225">
        <v>40873</v>
      </c>
      <c r="Q630" s="225">
        <v>40873</v>
      </c>
      <c r="R630" s="221">
        <f>ROUND(Q630*1.07,0)</f>
        <v>43734</v>
      </c>
      <c r="S630" s="221">
        <f t="shared" ref="S630:V630" si="202">ROUND(R630*1.07,0)</f>
        <v>46795</v>
      </c>
      <c r="T630" s="221">
        <f t="shared" si="202"/>
        <v>50071</v>
      </c>
      <c r="U630" s="221">
        <f t="shared" si="202"/>
        <v>53576</v>
      </c>
      <c r="V630" s="221">
        <f t="shared" si="202"/>
        <v>57326</v>
      </c>
      <c r="X630" s="213"/>
    </row>
    <row r="631" spans="1:40" ht="24" customHeight="1">
      <c r="A631" s="396" t="s">
        <v>1336</v>
      </c>
      <c r="B631" s="397"/>
      <c r="C631" s="397"/>
      <c r="D631" s="398" t="s">
        <v>1331</v>
      </c>
      <c r="E631" s="397"/>
      <c r="F631" s="397"/>
      <c r="G631" s="397"/>
      <c r="H631" s="397"/>
      <c r="I631" s="397"/>
      <c r="J631" s="397"/>
      <c r="K631" s="397"/>
      <c r="L631" s="218"/>
      <c r="M631" s="253"/>
      <c r="N631" s="340">
        <v>0</v>
      </c>
      <c r="O631" s="340">
        <v>0</v>
      </c>
      <c r="P631" s="225">
        <v>206340</v>
      </c>
      <c r="Q631" s="225">
        <v>206340</v>
      </c>
      <c r="R631" s="221">
        <v>353000</v>
      </c>
      <c r="S631" s="221">
        <v>300000</v>
      </c>
      <c r="T631" s="221">
        <v>300000</v>
      </c>
      <c r="U631" s="221">
        <v>100000</v>
      </c>
      <c r="V631" s="221">
        <v>100000</v>
      </c>
      <c r="X631" s="213"/>
    </row>
    <row r="632" spans="1:40" ht="24" customHeight="1">
      <c r="A632" s="396" t="s">
        <v>845</v>
      </c>
      <c r="B632" s="411"/>
      <c r="C632" s="411"/>
      <c r="D632" s="396" t="s">
        <v>334</v>
      </c>
      <c r="E632" s="414"/>
      <c r="F632" s="411"/>
      <c r="G632" s="411"/>
      <c r="H632" s="411"/>
      <c r="I632" s="411"/>
      <c r="J632" s="411"/>
      <c r="K632" s="411"/>
      <c r="L632" s="303"/>
      <c r="M632" s="220"/>
      <c r="N632" s="340">
        <v>0</v>
      </c>
      <c r="O632" s="340">
        <v>0</v>
      </c>
      <c r="P632" s="225">
        <v>10000</v>
      </c>
      <c r="Q632" s="225">
        <v>10000</v>
      </c>
      <c r="R632" s="221">
        <f>ROUND(10000/2,0)</f>
        <v>5000</v>
      </c>
      <c r="S632" s="221">
        <f t="shared" ref="S632:V632" si="203">ROUND(10000/2,0)</f>
        <v>5000</v>
      </c>
      <c r="T632" s="221">
        <f t="shared" si="203"/>
        <v>5000</v>
      </c>
      <c r="U632" s="221">
        <f t="shared" si="203"/>
        <v>5000</v>
      </c>
      <c r="V632" s="221">
        <f t="shared" si="203"/>
        <v>5000</v>
      </c>
      <c r="X632" s="217"/>
    </row>
    <row r="633" spans="1:40" ht="24" customHeight="1">
      <c r="A633" s="396" t="s">
        <v>1435</v>
      </c>
      <c r="B633" s="411"/>
      <c r="C633" s="411"/>
      <c r="D633" s="1" t="s">
        <v>1436</v>
      </c>
      <c r="E633" s="414"/>
      <c r="F633" s="411"/>
      <c r="G633" s="411"/>
      <c r="H633" s="411"/>
      <c r="I633" s="411"/>
      <c r="J633" s="411"/>
      <c r="K633" s="411"/>
      <c r="L633" s="303"/>
      <c r="M633" s="220"/>
      <c r="N633" s="340">
        <v>0</v>
      </c>
      <c r="O633" s="340">
        <v>0</v>
      </c>
      <c r="P633" s="225">
        <v>0</v>
      </c>
      <c r="Q633" s="225">
        <v>0</v>
      </c>
      <c r="R633" s="221">
        <v>0</v>
      </c>
      <c r="S633" s="221">
        <v>200000</v>
      </c>
      <c r="T633" s="221">
        <v>400000</v>
      </c>
      <c r="U633" s="221">
        <v>400000</v>
      </c>
      <c r="V633" s="221">
        <v>0</v>
      </c>
      <c r="X633" s="217"/>
    </row>
    <row r="634" spans="1:40" ht="24" customHeight="1">
      <c r="A634" s="396" t="s">
        <v>1203</v>
      </c>
      <c r="B634" s="411"/>
      <c r="C634" s="411"/>
      <c r="D634" s="396" t="s">
        <v>335</v>
      </c>
      <c r="E634" s="414"/>
      <c r="F634" s="411"/>
      <c r="G634" s="411"/>
      <c r="H634" s="411"/>
      <c r="I634" s="411"/>
      <c r="J634" s="411"/>
      <c r="K634" s="411"/>
      <c r="L634" s="303"/>
      <c r="M634" s="220"/>
      <c r="N634" s="340">
        <v>0</v>
      </c>
      <c r="O634" s="340">
        <v>0</v>
      </c>
      <c r="P634" s="225">
        <v>0</v>
      </c>
      <c r="Q634" s="225">
        <v>0</v>
      </c>
      <c r="R634" s="221">
        <v>18000</v>
      </c>
      <c r="S634" s="221">
        <v>0</v>
      </c>
      <c r="T634" s="221">
        <v>0</v>
      </c>
      <c r="U634" s="221">
        <v>0</v>
      </c>
      <c r="V634" s="221">
        <v>0</v>
      </c>
      <c r="X634" s="217"/>
    </row>
    <row r="635" spans="1:40" ht="24" customHeight="1">
      <c r="A635" s="396" t="s">
        <v>412</v>
      </c>
      <c r="B635" s="411"/>
      <c r="C635" s="411"/>
      <c r="D635" s="396" t="s">
        <v>330</v>
      </c>
      <c r="E635" s="414"/>
      <c r="F635" s="411"/>
      <c r="G635" s="411"/>
      <c r="H635" s="411"/>
      <c r="I635" s="411"/>
      <c r="J635" s="411"/>
      <c r="K635" s="411"/>
      <c r="L635" s="303"/>
      <c r="M635" s="264"/>
      <c r="N635" s="341">
        <v>25054</v>
      </c>
      <c r="O635" s="341">
        <v>75305</v>
      </c>
      <c r="P635" s="224">
        <v>129094</v>
      </c>
      <c r="Q635" s="224">
        <v>129094</v>
      </c>
      <c r="R635" s="211">
        <v>195548</v>
      </c>
      <c r="S635" s="211">
        <v>195548</v>
      </c>
      <c r="T635" s="211">
        <v>195548</v>
      </c>
      <c r="U635" s="211">
        <v>195548</v>
      </c>
      <c r="V635" s="211">
        <v>195548</v>
      </c>
      <c r="W635" s="525"/>
      <c r="X635" s="308"/>
      <c r="Y635" s="307"/>
    </row>
    <row r="636" spans="1:40" ht="24" customHeight="1">
      <c r="A636" s="396" t="s">
        <v>413</v>
      </c>
      <c r="B636" s="328"/>
      <c r="C636" s="328"/>
      <c r="D636" s="396" t="s">
        <v>414</v>
      </c>
      <c r="E636" s="328"/>
      <c r="F636" s="328"/>
      <c r="G636" s="328"/>
      <c r="H636" s="328"/>
      <c r="I636" s="328"/>
      <c r="J636" s="328"/>
      <c r="K636" s="328"/>
      <c r="L636" s="209"/>
      <c r="M636" s="214"/>
      <c r="N636" s="339">
        <v>275865</v>
      </c>
      <c r="O636" s="339">
        <v>160921</v>
      </c>
      <c r="P636" s="216">
        <v>0</v>
      </c>
      <c r="Q636" s="216">
        <v>0</v>
      </c>
      <c r="R636" s="215">
        <v>0</v>
      </c>
      <c r="S636" s="215">
        <v>0</v>
      </c>
      <c r="T636" s="215">
        <v>0</v>
      </c>
      <c r="U636" s="215">
        <v>0</v>
      </c>
      <c r="V636" s="215">
        <v>0</v>
      </c>
      <c r="X636" s="740" t="s">
        <v>1283</v>
      </c>
      <c r="Y636" s="740"/>
      <c r="Z636" s="740"/>
      <c r="AA636" s="740"/>
      <c r="AB636" s="740"/>
      <c r="AC636" s="740"/>
      <c r="AD636" s="561"/>
      <c r="AE636" s="561"/>
    </row>
    <row r="637" spans="1:40" ht="24" customHeight="1">
      <c r="A637" s="400" t="s">
        <v>415</v>
      </c>
      <c r="B637" s="400"/>
      <c r="C637" s="400"/>
      <c r="D637" s="400"/>
      <c r="E637" s="400"/>
      <c r="F637" s="400"/>
      <c r="G637" s="400"/>
      <c r="H637" s="400"/>
      <c r="I637" s="400"/>
      <c r="J637" s="400"/>
      <c r="K637" s="400"/>
      <c r="L637" s="240"/>
      <c r="M637" s="309"/>
      <c r="N637" s="348"/>
      <c r="O637" s="348"/>
      <c r="P637" s="238"/>
      <c r="Q637" s="238"/>
      <c r="R637" s="237"/>
      <c r="S637" s="237"/>
      <c r="T637" s="237"/>
      <c r="U637" s="237"/>
      <c r="V637" s="237"/>
      <c r="X637" s="631" t="s">
        <v>1266</v>
      </c>
      <c r="Y637" s="631" t="s">
        <v>1267</v>
      </c>
      <c r="Z637" s="631" t="s">
        <v>1268</v>
      </c>
      <c r="AA637" s="631" t="s">
        <v>1269</v>
      </c>
      <c r="AB637" s="631" t="s">
        <v>1270</v>
      </c>
      <c r="AC637" s="631" t="s">
        <v>1271</v>
      </c>
      <c r="AD637" s="631" t="s">
        <v>1272</v>
      </c>
      <c r="AE637" s="631" t="s">
        <v>1273</v>
      </c>
      <c r="AG637" s="322"/>
      <c r="AH637" s="322"/>
      <c r="AI637" s="322"/>
      <c r="AJ637" s="322"/>
      <c r="AK637" s="322"/>
      <c r="AL637" s="322"/>
      <c r="AM637" s="322"/>
      <c r="AN637" s="322"/>
    </row>
    <row r="638" spans="1:40" ht="24" customHeight="1">
      <c r="A638" s="396" t="s">
        <v>416</v>
      </c>
      <c r="B638" s="397"/>
      <c r="C638" s="397"/>
      <c r="D638" s="396" t="s">
        <v>1246</v>
      </c>
      <c r="E638" s="397"/>
      <c r="F638" s="397"/>
      <c r="G638" s="397"/>
      <c r="H638" s="397"/>
      <c r="I638" s="397"/>
      <c r="J638" s="397"/>
      <c r="K638" s="397"/>
      <c r="L638" s="218"/>
      <c r="M638" s="247"/>
      <c r="N638" s="339">
        <v>10000</v>
      </c>
      <c r="O638" s="339">
        <v>10000</v>
      </c>
      <c r="P638" s="216">
        <v>15000</v>
      </c>
      <c r="Q638" s="216">
        <v>15000</v>
      </c>
      <c r="R638" s="215">
        <v>15000</v>
      </c>
      <c r="S638" s="215">
        <v>15000</v>
      </c>
      <c r="T638" s="215">
        <v>15000</v>
      </c>
      <c r="U638" s="215">
        <v>15000</v>
      </c>
      <c r="V638" s="215">
        <v>15000</v>
      </c>
      <c r="X638" s="630">
        <v>680000</v>
      </c>
      <c r="Y638" s="630">
        <v>695000</v>
      </c>
      <c r="Z638" s="630">
        <v>725000</v>
      </c>
      <c r="AA638" s="630">
        <v>750000</v>
      </c>
      <c r="AB638" s="630">
        <v>0</v>
      </c>
      <c r="AC638" s="630">
        <v>0</v>
      </c>
      <c r="AD638" s="630">
        <v>0</v>
      </c>
      <c r="AE638" s="630">
        <v>0</v>
      </c>
      <c r="AG638" s="304"/>
      <c r="AH638" s="304"/>
      <c r="AI638" s="304"/>
      <c r="AJ638" s="304"/>
      <c r="AK638" s="304"/>
    </row>
    <row r="639" spans="1:40" ht="24" customHeight="1">
      <c r="A639" s="396" t="s">
        <v>417</v>
      </c>
      <c r="B639" s="397"/>
      <c r="C639" s="397"/>
      <c r="D639" s="396" t="s">
        <v>338</v>
      </c>
      <c r="E639" s="397"/>
      <c r="F639" s="397"/>
      <c r="G639" s="397"/>
      <c r="H639" s="397"/>
      <c r="I639" s="397"/>
      <c r="J639" s="397"/>
      <c r="K639" s="397"/>
      <c r="L639" s="218"/>
      <c r="M639" s="264"/>
      <c r="N639" s="341">
        <v>123866</v>
      </c>
      <c r="O639" s="341">
        <v>123454</v>
      </c>
      <c r="P639" s="216">
        <v>123041</v>
      </c>
      <c r="Q639" s="216">
        <v>123041</v>
      </c>
      <c r="R639" s="215">
        <v>122423</v>
      </c>
      <c r="S639" s="215">
        <v>121793</v>
      </c>
      <c r="T639" s="215">
        <v>121163</v>
      </c>
      <c r="U639" s="215">
        <v>120525</v>
      </c>
      <c r="V639" s="215">
        <v>119888</v>
      </c>
      <c r="X639" s="630">
        <v>119250</v>
      </c>
      <c r="Y639" s="630">
        <v>90350</v>
      </c>
      <c r="Z639" s="630">
        <v>60813</v>
      </c>
      <c r="AA639" s="630">
        <v>30000</v>
      </c>
      <c r="AB639" s="630">
        <v>0</v>
      </c>
      <c r="AC639" s="630">
        <v>0</v>
      </c>
      <c r="AD639" s="630">
        <v>0</v>
      </c>
      <c r="AE639" s="630">
        <v>0</v>
      </c>
      <c r="AG639" s="304"/>
      <c r="AH639" s="304"/>
      <c r="AI639" s="304"/>
      <c r="AJ639" s="304"/>
      <c r="AK639" s="304"/>
    </row>
    <row r="640" spans="1:40" ht="24" customHeight="1">
      <c r="A640" s="400" t="s">
        <v>418</v>
      </c>
      <c r="B640" s="400"/>
      <c r="C640" s="400"/>
      <c r="D640" s="400"/>
      <c r="E640" s="400"/>
      <c r="F640" s="400"/>
      <c r="G640" s="400"/>
      <c r="H640" s="400"/>
      <c r="I640" s="400"/>
      <c r="J640" s="400"/>
      <c r="K640" s="400"/>
      <c r="L640" s="240"/>
      <c r="M640" s="309"/>
      <c r="N640" s="348"/>
      <c r="O640" s="348"/>
      <c r="P640" s="238"/>
      <c r="Q640" s="238"/>
      <c r="R640" s="237"/>
      <c r="S640" s="237"/>
      <c r="T640" s="237"/>
      <c r="U640" s="237"/>
      <c r="V640" s="237"/>
      <c r="X640" s="630"/>
      <c r="Y640" s="630"/>
      <c r="Z640" s="630"/>
      <c r="AA640" s="630"/>
      <c r="AB640" s="630"/>
      <c r="AC640" s="630"/>
      <c r="AD640" s="630"/>
      <c r="AE640" s="630"/>
      <c r="AG640" s="304"/>
      <c r="AH640" s="304"/>
      <c r="AI640" s="304"/>
      <c r="AJ640" s="304"/>
      <c r="AK640" s="304"/>
    </row>
    <row r="641" spans="1:37" ht="24" customHeight="1">
      <c r="A641" s="396" t="s">
        <v>419</v>
      </c>
      <c r="B641" s="397"/>
      <c r="C641" s="397"/>
      <c r="D641" s="396" t="s">
        <v>1246</v>
      </c>
      <c r="E641" s="397"/>
      <c r="F641" s="397"/>
      <c r="G641" s="397"/>
      <c r="H641" s="397"/>
      <c r="I641" s="397"/>
      <c r="J641" s="397"/>
      <c r="K641" s="397"/>
      <c r="L641" s="218"/>
      <c r="M641" s="247"/>
      <c r="N641" s="339">
        <v>285000</v>
      </c>
      <c r="O641" s="339">
        <v>365000</v>
      </c>
      <c r="P641" s="216">
        <v>0</v>
      </c>
      <c r="Q641" s="216">
        <v>0</v>
      </c>
      <c r="R641" s="215">
        <v>0</v>
      </c>
      <c r="S641" s="215">
        <v>0</v>
      </c>
      <c r="T641" s="215">
        <v>0</v>
      </c>
      <c r="U641" s="215">
        <v>0</v>
      </c>
      <c r="V641" s="215">
        <v>0</v>
      </c>
      <c r="X641" s="630">
        <v>0</v>
      </c>
      <c r="Y641" s="630">
        <v>0</v>
      </c>
      <c r="Z641" s="630">
        <v>0</v>
      </c>
      <c r="AA641" s="630">
        <v>0</v>
      </c>
      <c r="AB641" s="630">
        <v>0</v>
      </c>
      <c r="AC641" s="630">
        <v>0</v>
      </c>
      <c r="AD641" s="630">
        <v>0</v>
      </c>
      <c r="AE641" s="630">
        <v>0</v>
      </c>
      <c r="AG641" s="304"/>
      <c r="AH641" s="304"/>
      <c r="AI641" s="304"/>
      <c r="AJ641" s="304"/>
      <c r="AK641" s="304"/>
    </row>
    <row r="642" spans="1:37" ht="24" customHeight="1">
      <c r="A642" s="400" t="s">
        <v>420</v>
      </c>
      <c r="B642" s="400"/>
      <c r="C642" s="400"/>
      <c r="D642" s="400"/>
      <c r="E642" s="400"/>
      <c r="F642" s="400"/>
      <c r="G642" s="400"/>
      <c r="H642" s="400"/>
      <c r="I642" s="400"/>
      <c r="J642" s="400"/>
      <c r="K642" s="400"/>
      <c r="L642" s="240"/>
      <c r="M642" s="309"/>
      <c r="N642" s="348"/>
      <c r="O642" s="348"/>
      <c r="P642" s="238"/>
      <c r="Q642" s="238"/>
      <c r="R642" s="237"/>
      <c r="S642" s="237"/>
      <c r="T642" s="237"/>
      <c r="U642" s="237"/>
      <c r="V642" s="237"/>
      <c r="X642" s="630"/>
      <c r="Y642" s="630"/>
      <c r="Z642" s="630"/>
      <c r="AA642" s="630"/>
      <c r="AB642" s="630"/>
      <c r="AC642" s="630"/>
      <c r="AD642" s="630"/>
      <c r="AE642" s="630"/>
      <c r="AG642" s="304"/>
      <c r="AH642" s="304"/>
      <c r="AI642" s="304"/>
      <c r="AJ642" s="304"/>
      <c r="AK642" s="304"/>
    </row>
    <row r="643" spans="1:37" ht="24" customHeight="1">
      <c r="A643" s="396" t="s">
        <v>421</v>
      </c>
      <c r="B643" s="397"/>
      <c r="C643" s="397"/>
      <c r="D643" s="396" t="s">
        <v>1246</v>
      </c>
      <c r="E643" s="397"/>
      <c r="F643" s="397"/>
      <c r="G643" s="397"/>
      <c r="H643" s="397"/>
      <c r="I643" s="397"/>
      <c r="J643" s="397"/>
      <c r="K643" s="397"/>
      <c r="L643" s="218"/>
      <c r="M643" s="247"/>
      <c r="N643" s="339">
        <v>0</v>
      </c>
      <c r="O643" s="339">
        <v>0</v>
      </c>
      <c r="P643" s="216">
        <v>100000</v>
      </c>
      <c r="Q643" s="216">
        <v>100000</v>
      </c>
      <c r="R643" s="215">
        <v>100000</v>
      </c>
      <c r="S643" s="215">
        <v>100000</v>
      </c>
      <c r="T643" s="215">
        <v>100000</v>
      </c>
      <c r="U643" s="215">
        <v>100000</v>
      </c>
      <c r="V643" s="215">
        <v>300000</v>
      </c>
      <c r="X643" s="630">
        <v>0</v>
      </c>
      <c r="Y643" s="630">
        <v>0</v>
      </c>
      <c r="Z643" s="630">
        <v>0</v>
      </c>
      <c r="AA643" s="630">
        <v>0</v>
      </c>
      <c r="AB643" s="630">
        <v>0</v>
      </c>
      <c r="AC643" s="630">
        <v>0</v>
      </c>
      <c r="AD643" s="630">
        <v>0</v>
      </c>
      <c r="AE643" s="630">
        <v>0</v>
      </c>
      <c r="AG643" s="304"/>
      <c r="AH643" s="304"/>
      <c r="AI643" s="304"/>
      <c r="AJ643" s="304"/>
      <c r="AK643" s="304"/>
    </row>
    <row r="644" spans="1:37" ht="24" customHeight="1">
      <c r="A644" s="396" t="s">
        <v>422</v>
      </c>
      <c r="B644" s="397"/>
      <c r="C644" s="397"/>
      <c r="D644" s="396" t="s">
        <v>1373</v>
      </c>
      <c r="E644" s="397"/>
      <c r="F644" s="397"/>
      <c r="G644" s="397"/>
      <c r="H644" s="397"/>
      <c r="I644" s="397"/>
      <c r="J644" s="397"/>
      <c r="K644" s="397"/>
      <c r="L644" s="218"/>
      <c r="M644" s="264"/>
      <c r="N644" s="341">
        <v>33150</v>
      </c>
      <c r="O644" s="341">
        <v>33150</v>
      </c>
      <c r="P644" s="216">
        <v>33150</v>
      </c>
      <c r="Q644" s="216">
        <v>33150</v>
      </c>
      <c r="R644" s="215">
        <v>29350</v>
      </c>
      <c r="S644" s="215">
        <v>25450</v>
      </c>
      <c r="T644" s="215">
        <v>21450</v>
      </c>
      <c r="U644" s="215">
        <v>17300</v>
      </c>
      <c r="V644" s="215">
        <v>13050</v>
      </c>
      <c r="X644" s="630">
        <v>0</v>
      </c>
      <c r="Y644" s="630">
        <v>0</v>
      </c>
      <c r="Z644" s="630">
        <v>0</v>
      </c>
      <c r="AA644" s="630">
        <v>0</v>
      </c>
      <c r="AB644" s="630">
        <v>0</v>
      </c>
      <c r="AC644" s="630">
        <v>0</v>
      </c>
      <c r="AD644" s="630">
        <v>0</v>
      </c>
      <c r="AE644" s="630">
        <v>0</v>
      </c>
      <c r="AG644" s="304"/>
      <c r="AH644" s="304"/>
      <c r="AI644" s="304"/>
      <c r="AJ644" s="304"/>
      <c r="AK644" s="304"/>
    </row>
    <row r="645" spans="1:37" ht="24" customHeight="1">
      <c r="A645" s="400" t="s">
        <v>423</v>
      </c>
      <c r="B645" s="400"/>
      <c r="C645" s="400"/>
      <c r="D645" s="400"/>
      <c r="E645" s="400"/>
      <c r="F645" s="400"/>
      <c r="G645" s="400"/>
      <c r="H645" s="400"/>
      <c r="I645" s="400"/>
      <c r="J645" s="400"/>
      <c r="K645" s="400"/>
      <c r="L645" s="240"/>
      <c r="M645" s="309"/>
      <c r="N645" s="348"/>
      <c r="O645" s="348"/>
      <c r="P645" s="238"/>
      <c r="Q645" s="238"/>
      <c r="R645" s="237"/>
      <c r="S645" s="237"/>
      <c r="T645" s="237"/>
      <c r="U645" s="237"/>
      <c r="V645" s="237"/>
      <c r="X645" s="630"/>
      <c r="Y645" s="630"/>
      <c r="Z645" s="630"/>
      <c r="AA645" s="630"/>
      <c r="AB645" s="630"/>
      <c r="AC645" s="630"/>
      <c r="AD645" s="630"/>
      <c r="AE645" s="630"/>
      <c r="AG645" s="304"/>
      <c r="AH645" s="304"/>
      <c r="AI645" s="304"/>
      <c r="AJ645" s="304"/>
      <c r="AK645" s="304"/>
    </row>
    <row r="646" spans="1:37" ht="24" customHeight="1">
      <c r="A646" s="396" t="s">
        <v>424</v>
      </c>
      <c r="B646" s="397"/>
      <c r="C646" s="397"/>
      <c r="D646" s="396" t="s">
        <v>1246</v>
      </c>
      <c r="E646" s="397"/>
      <c r="F646" s="397"/>
      <c r="G646" s="397"/>
      <c r="H646" s="397"/>
      <c r="I646" s="397"/>
      <c r="J646" s="397"/>
      <c r="K646" s="397"/>
      <c r="L646" s="218"/>
      <c r="M646" s="247"/>
      <c r="N646" s="339">
        <v>70000</v>
      </c>
      <c r="O646" s="339">
        <v>355000</v>
      </c>
      <c r="P646" s="216">
        <v>405000</v>
      </c>
      <c r="Q646" s="216">
        <v>405000</v>
      </c>
      <c r="R646" s="215">
        <v>420000</v>
      </c>
      <c r="S646" s="215">
        <v>435000</v>
      </c>
      <c r="T646" s="215">
        <v>460000</v>
      </c>
      <c r="U646" s="215">
        <v>475000</v>
      </c>
      <c r="V646" s="215">
        <v>495000</v>
      </c>
      <c r="X646" s="630">
        <v>850000</v>
      </c>
      <c r="Y646" s="630">
        <v>850000</v>
      </c>
      <c r="Z646" s="630">
        <v>390000</v>
      </c>
      <c r="AA646" s="630">
        <v>255000</v>
      </c>
      <c r="AB646" s="630">
        <v>0</v>
      </c>
      <c r="AC646" s="630">
        <v>0</v>
      </c>
      <c r="AD646" s="630">
        <v>0</v>
      </c>
      <c r="AE646" s="630">
        <v>0</v>
      </c>
      <c r="AG646" s="304"/>
      <c r="AH646" s="304"/>
      <c r="AI646" s="304"/>
      <c r="AJ646" s="304"/>
      <c r="AK646" s="304"/>
    </row>
    <row r="647" spans="1:37" ht="24" customHeight="1">
      <c r="A647" s="396" t="s">
        <v>425</v>
      </c>
      <c r="B647" s="397"/>
      <c r="C647" s="397"/>
      <c r="D647" s="396" t="s">
        <v>1373</v>
      </c>
      <c r="E647" s="397"/>
      <c r="F647" s="397"/>
      <c r="G647" s="397"/>
      <c r="H647" s="397"/>
      <c r="I647" s="397"/>
      <c r="J647" s="397"/>
      <c r="K647" s="397"/>
      <c r="L647" s="218"/>
      <c r="M647" s="264"/>
      <c r="N647" s="341">
        <v>88506</v>
      </c>
      <c r="O647" s="341">
        <v>219806</v>
      </c>
      <c r="P647" s="216">
        <v>205606</v>
      </c>
      <c r="Q647" s="216">
        <v>205606</v>
      </c>
      <c r="R647" s="215">
        <v>189406</v>
      </c>
      <c r="S647" s="215">
        <v>172606</v>
      </c>
      <c r="T647" s="215">
        <v>155206</v>
      </c>
      <c r="U647" s="215">
        <v>136806</v>
      </c>
      <c r="V647" s="215">
        <v>117806</v>
      </c>
      <c r="X647" s="630">
        <v>98006</v>
      </c>
      <c r="Y647" s="630">
        <v>62306</v>
      </c>
      <c r="Z647" s="630">
        <v>26606</v>
      </c>
      <c r="AA647" s="630">
        <v>10519</v>
      </c>
      <c r="AB647" s="630">
        <v>0</v>
      </c>
      <c r="AC647" s="630">
        <v>0</v>
      </c>
      <c r="AD647" s="630">
        <v>0</v>
      </c>
      <c r="AE647" s="630">
        <v>0</v>
      </c>
      <c r="AG647" s="304"/>
      <c r="AH647" s="304"/>
      <c r="AI647" s="304"/>
      <c r="AJ647" s="304"/>
      <c r="AK647" s="304"/>
    </row>
    <row r="648" spans="1:37" ht="24" customHeight="1">
      <c r="A648" s="400" t="s">
        <v>426</v>
      </c>
      <c r="B648" s="400"/>
      <c r="C648" s="400"/>
      <c r="D648" s="400"/>
      <c r="E648" s="400"/>
      <c r="F648" s="400"/>
      <c r="G648" s="400"/>
      <c r="H648" s="400"/>
      <c r="I648" s="400"/>
      <c r="J648" s="400"/>
      <c r="K648" s="400"/>
      <c r="L648" s="240"/>
      <c r="M648" s="309"/>
      <c r="N648" s="348"/>
      <c r="O648" s="348"/>
      <c r="P648" s="238"/>
      <c r="Q648" s="238"/>
      <c r="R648" s="237"/>
      <c r="S648" s="237"/>
      <c r="T648" s="237"/>
      <c r="U648" s="237"/>
      <c r="V648" s="237"/>
      <c r="X648" s="630"/>
      <c r="Y648" s="630"/>
      <c r="Z648" s="630"/>
      <c r="AA648" s="630"/>
      <c r="AB648" s="630"/>
      <c r="AC648" s="630"/>
      <c r="AD648" s="630"/>
      <c r="AE648" s="630"/>
      <c r="AG648" s="304"/>
      <c r="AH648" s="304"/>
      <c r="AI648" s="304"/>
      <c r="AJ648" s="304"/>
      <c r="AK648" s="304"/>
    </row>
    <row r="649" spans="1:37" ht="24" customHeight="1">
      <c r="A649" s="396" t="s">
        <v>427</v>
      </c>
      <c r="B649" s="397"/>
      <c r="C649" s="397"/>
      <c r="D649" s="396" t="s">
        <v>1246</v>
      </c>
      <c r="E649" s="397"/>
      <c r="F649" s="397"/>
      <c r="G649" s="397"/>
      <c r="H649" s="397"/>
      <c r="I649" s="397"/>
      <c r="J649" s="397"/>
      <c r="K649" s="397"/>
      <c r="L649" s="218"/>
      <c r="M649" s="247"/>
      <c r="N649" s="339">
        <v>90000</v>
      </c>
      <c r="O649" s="339">
        <v>90000</v>
      </c>
      <c r="P649" s="216">
        <v>95000</v>
      </c>
      <c r="Q649" s="216">
        <v>95000</v>
      </c>
      <c r="R649" s="215">
        <v>100000</v>
      </c>
      <c r="S649" s="215">
        <v>105000</v>
      </c>
      <c r="T649" s="215">
        <v>110000</v>
      </c>
      <c r="U649" s="215">
        <v>110000</v>
      </c>
      <c r="V649" s="215">
        <v>120000</v>
      </c>
      <c r="X649" s="630">
        <v>120000</v>
      </c>
      <c r="Y649" s="630">
        <v>130000</v>
      </c>
      <c r="Z649" s="630">
        <v>135000</v>
      </c>
      <c r="AA649" s="630">
        <v>140000</v>
      </c>
      <c r="AB649" s="630">
        <v>150000</v>
      </c>
      <c r="AC649" s="630">
        <v>150000</v>
      </c>
      <c r="AD649" s="630">
        <v>0</v>
      </c>
      <c r="AE649" s="630">
        <v>0</v>
      </c>
      <c r="AG649" s="304"/>
      <c r="AH649" s="304"/>
      <c r="AI649" s="304"/>
      <c r="AJ649" s="304"/>
      <c r="AK649" s="304"/>
    </row>
    <row r="650" spans="1:37" ht="24" customHeight="1">
      <c r="A650" s="396" t="s">
        <v>428</v>
      </c>
      <c r="B650" s="397"/>
      <c r="C650" s="397"/>
      <c r="D650" s="396" t="s">
        <v>1373</v>
      </c>
      <c r="E650" s="397"/>
      <c r="F650" s="397"/>
      <c r="G650" s="397"/>
      <c r="H650" s="397"/>
      <c r="I650" s="397"/>
      <c r="J650" s="397"/>
      <c r="K650" s="397"/>
      <c r="L650" s="218"/>
      <c r="M650" s="264"/>
      <c r="N650" s="341">
        <v>77725</v>
      </c>
      <c r="O650" s="341">
        <v>74575</v>
      </c>
      <c r="P650" s="216">
        <v>70975</v>
      </c>
      <c r="Q650" s="216">
        <v>70975</v>
      </c>
      <c r="R650" s="215">
        <v>67175</v>
      </c>
      <c r="S650" s="215">
        <v>63175</v>
      </c>
      <c r="T650" s="215">
        <v>58975</v>
      </c>
      <c r="U650" s="215">
        <v>54575</v>
      </c>
      <c r="V650" s="215">
        <v>50175</v>
      </c>
      <c r="X650" s="630">
        <v>45375</v>
      </c>
      <c r="Y650" s="630">
        <v>38775</v>
      </c>
      <c r="Z650" s="630">
        <v>31625</v>
      </c>
      <c r="AA650" s="630">
        <v>24200</v>
      </c>
      <c r="AB650" s="630">
        <v>16500</v>
      </c>
      <c r="AC650" s="630">
        <v>8250</v>
      </c>
      <c r="AD650" s="630">
        <v>0</v>
      </c>
      <c r="AE650" s="630">
        <v>0</v>
      </c>
      <c r="AG650" s="304"/>
      <c r="AH650" s="304"/>
      <c r="AI650" s="304"/>
      <c r="AJ650" s="304"/>
      <c r="AK650" s="304"/>
    </row>
    <row r="651" spans="1:37" ht="24" customHeight="1">
      <c r="A651" s="400" t="s">
        <v>429</v>
      </c>
      <c r="B651" s="400"/>
      <c r="C651" s="400"/>
      <c r="D651" s="400"/>
      <c r="E651" s="400"/>
      <c r="F651" s="400"/>
      <c r="G651" s="400"/>
      <c r="H651" s="400"/>
      <c r="I651" s="400"/>
      <c r="J651" s="400"/>
      <c r="K651" s="400"/>
      <c r="L651" s="240"/>
      <c r="M651" s="309"/>
      <c r="N651" s="348"/>
      <c r="O651" s="348"/>
      <c r="P651" s="238"/>
      <c r="Q651" s="238"/>
      <c r="R651" s="237"/>
      <c r="S651" s="237"/>
      <c r="T651" s="237"/>
      <c r="U651" s="237"/>
      <c r="V651" s="237"/>
      <c r="X651" s="630"/>
      <c r="Y651" s="630"/>
      <c r="Z651" s="630"/>
      <c r="AA651" s="630"/>
      <c r="AB651" s="630"/>
      <c r="AC651" s="630"/>
      <c r="AD651" s="630"/>
      <c r="AE651" s="630"/>
      <c r="AG651" s="304"/>
      <c r="AH651" s="304"/>
      <c r="AI651" s="304"/>
      <c r="AJ651" s="304"/>
      <c r="AK651" s="304"/>
    </row>
    <row r="652" spans="1:37" ht="24" customHeight="1">
      <c r="A652" s="396" t="s">
        <v>430</v>
      </c>
      <c r="B652" s="397"/>
      <c r="C652" s="397"/>
      <c r="D652" s="396" t="s">
        <v>1246</v>
      </c>
      <c r="E652" s="397"/>
      <c r="F652" s="397"/>
      <c r="G652" s="397"/>
      <c r="H652" s="397"/>
      <c r="I652" s="397"/>
      <c r="J652" s="397"/>
      <c r="K652" s="397"/>
      <c r="L652" s="218"/>
      <c r="M652" s="247"/>
      <c r="N652" s="339">
        <v>85600</v>
      </c>
      <c r="O652" s="339">
        <v>87754</v>
      </c>
      <c r="P652" s="216">
        <v>89961</v>
      </c>
      <c r="Q652" s="216">
        <v>89961</v>
      </c>
      <c r="R652" s="215">
        <v>92224</v>
      </c>
      <c r="S652" s="215">
        <v>94544</v>
      </c>
      <c r="T652" s="215">
        <v>96923</v>
      </c>
      <c r="U652" s="215">
        <v>99361</v>
      </c>
      <c r="V652" s="215">
        <v>101860</v>
      </c>
      <c r="X652" s="630">
        <v>104423</v>
      </c>
      <c r="Y652" s="630">
        <v>107050</v>
      </c>
      <c r="Z652" s="630">
        <v>109743</v>
      </c>
      <c r="AA652" s="630">
        <v>112503</v>
      </c>
      <c r="AB652" s="630">
        <v>115333</v>
      </c>
      <c r="AC652" s="630">
        <v>118235</v>
      </c>
      <c r="AD652" s="630">
        <v>121209</v>
      </c>
      <c r="AE652" s="630">
        <v>61744</v>
      </c>
      <c r="AG652" s="304"/>
      <c r="AH652" s="304"/>
      <c r="AI652" s="304"/>
      <c r="AJ652" s="304"/>
      <c r="AK652" s="304"/>
    </row>
    <row r="653" spans="1:37" ht="24" customHeight="1">
      <c r="A653" s="396" t="s">
        <v>431</v>
      </c>
      <c r="B653" s="397"/>
      <c r="C653" s="397"/>
      <c r="D653" s="396" t="s">
        <v>1373</v>
      </c>
      <c r="E653" s="397"/>
      <c r="F653" s="397"/>
      <c r="G653" s="397"/>
      <c r="H653" s="397"/>
      <c r="I653" s="397"/>
      <c r="J653" s="397"/>
      <c r="K653" s="397"/>
      <c r="L653" s="218"/>
      <c r="M653" s="305"/>
      <c r="N653" s="357">
        <v>39430</v>
      </c>
      <c r="O653" s="357">
        <v>37277</v>
      </c>
      <c r="P653" s="256">
        <v>35069</v>
      </c>
      <c r="Q653" s="256">
        <v>35069</v>
      </c>
      <c r="R653" s="255">
        <v>32806</v>
      </c>
      <c r="S653" s="255">
        <v>30486</v>
      </c>
      <c r="T653" s="255">
        <v>28108</v>
      </c>
      <c r="U653" s="255">
        <v>25669</v>
      </c>
      <c r="V653" s="255">
        <v>23170</v>
      </c>
      <c r="X653" s="630">
        <v>20607</v>
      </c>
      <c r="Y653" s="630">
        <v>17981</v>
      </c>
      <c r="Z653" s="630">
        <v>15288</v>
      </c>
      <c r="AA653" s="630">
        <v>12527</v>
      </c>
      <c r="AB653" s="630">
        <v>9697</v>
      </c>
      <c r="AC653" s="630">
        <v>6795</v>
      </c>
      <c r="AD653" s="630">
        <v>3821</v>
      </c>
      <c r="AE653" s="630">
        <v>772</v>
      </c>
      <c r="AG653" s="304"/>
      <c r="AH653" s="304"/>
      <c r="AI653" s="304"/>
      <c r="AJ653" s="304"/>
      <c r="AK653" s="304"/>
    </row>
    <row r="654" spans="1:37" ht="15" customHeight="1">
      <c r="A654" s="328"/>
      <c r="B654" s="328"/>
      <c r="C654" s="328"/>
      <c r="D654" s="328"/>
      <c r="E654" s="328"/>
      <c r="F654" s="328"/>
      <c r="G654" s="328"/>
      <c r="H654" s="328"/>
      <c r="I654" s="328"/>
      <c r="J654" s="328"/>
      <c r="K654" s="328"/>
      <c r="L654" s="209"/>
      <c r="N654" s="346"/>
      <c r="O654" s="346"/>
      <c r="P654" s="238"/>
      <c r="Q654" s="238"/>
      <c r="R654" s="237"/>
      <c r="S654" s="237"/>
      <c r="T654" s="237"/>
      <c r="U654" s="237"/>
      <c r="V654" s="237"/>
      <c r="X654" s="304"/>
      <c r="Y654" s="304"/>
      <c r="Z654" s="304"/>
      <c r="AA654" s="304"/>
      <c r="AB654" s="304"/>
      <c r="AC654" s="304"/>
      <c r="AD654" s="304"/>
      <c r="AE654" s="304"/>
      <c r="AF654" s="304"/>
      <c r="AG654" s="304"/>
      <c r="AH654" s="304"/>
      <c r="AI654" s="304"/>
      <c r="AJ654" s="304"/>
      <c r="AK654" s="304"/>
    </row>
    <row r="655" spans="1:37" s="328" customFormat="1" ht="24" customHeight="1">
      <c r="K655" s="400" t="s">
        <v>661</v>
      </c>
      <c r="L655" s="422"/>
      <c r="M655" s="441"/>
      <c r="N655" s="348">
        <f t="shared" ref="N655:V655" si="204">SUM(N589:N654)</f>
        <v>2379621</v>
      </c>
      <c r="O655" s="348">
        <f t="shared" si="204"/>
        <v>2878499</v>
      </c>
      <c r="P655" s="349">
        <f t="shared" si="204"/>
        <v>2859595</v>
      </c>
      <c r="Q655" s="349">
        <f t="shared" si="204"/>
        <v>2799270</v>
      </c>
      <c r="R655" s="348">
        <f t="shared" si="204"/>
        <v>3093781</v>
      </c>
      <c r="S655" s="348">
        <f t="shared" si="204"/>
        <v>3254632</v>
      </c>
      <c r="T655" s="348">
        <f t="shared" si="204"/>
        <v>3507043</v>
      </c>
      <c r="U655" s="348">
        <f t="shared" si="204"/>
        <v>3346045</v>
      </c>
      <c r="V655" s="348">
        <f t="shared" si="204"/>
        <v>3202566</v>
      </c>
      <c r="W655" s="640"/>
    </row>
    <row r="656" spans="1:37" s="328" customFormat="1" ht="15" customHeight="1">
      <c r="L656" s="424"/>
      <c r="M656" s="435"/>
      <c r="N656" s="346"/>
      <c r="O656" s="346"/>
      <c r="P656" s="347"/>
      <c r="Q656" s="347"/>
      <c r="R656" s="346"/>
      <c r="S656" s="346"/>
      <c r="T656" s="346"/>
      <c r="U656" s="346"/>
      <c r="V656" s="346"/>
      <c r="W656" s="640"/>
    </row>
    <row r="657" spans="1:26" s="328" customFormat="1" ht="24" customHeight="1">
      <c r="K657" s="400" t="s">
        <v>660</v>
      </c>
      <c r="L657" s="422"/>
      <c r="M657" s="422"/>
      <c r="N657" s="365">
        <f t="shared" ref="N657:V657" si="205">N586-N655</f>
        <v>475577</v>
      </c>
      <c r="O657" s="365">
        <f t="shared" si="205"/>
        <v>225840</v>
      </c>
      <c r="P657" s="366">
        <f t="shared" si="205"/>
        <v>-218504</v>
      </c>
      <c r="Q657" s="366">
        <f t="shared" si="205"/>
        <v>-295362</v>
      </c>
      <c r="R657" s="365">
        <f t="shared" si="205"/>
        <v>-254555</v>
      </c>
      <c r="S657" s="365">
        <f t="shared" si="205"/>
        <v>-101112</v>
      </c>
      <c r="T657" s="365">
        <f t="shared" si="205"/>
        <v>-107334</v>
      </c>
      <c r="U657" s="365">
        <f t="shared" si="205"/>
        <v>52613</v>
      </c>
      <c r="V657" s="365">
        <f t="shared" si="205"/>
        <v>200064</v>
      </c>
      <c r="W657" s="640"/>
    </row>
    <row r="658" spans="1:26" s="328" customFormat="1" ht="15" customHeight="1">
      <c r="L658" s="424"/>
      <c r="M658" s="422"/>
      <c r="N658" s="365"/>
      <c r="O658" s="365"/>
      <c r="P658" s="366"/>
      <c r="Q658" s="366"/>
      <c r="R658" s="365"/>
      <c r="S658" s="365"/>
      <c r="T658" s="365"/>
      <c r="U658" s="365"/>
      <c r="V658" s="365"/>
      <c r="W658" s="640"/>
    </row>
    <row r="659" spans="1:26" s="328" customFormat="1" ht="24" customHeight="1">
      <c r="J659" s="415" t="s">
        <v>672</v>
      </c>
      <c r="L659" s="424"/>
      <c r="M659" s="422"/>
      <c r="N659" s="365">
        <v>1300837</v>
      </c>
      <c r="O659" s="365">
        <v>1526679</v>
      </c>
      <c r="P659" s="366">
        <v>1160768</v>
      </c>
      <c r="Q659" s="366">
        <f>O659+Q657</f>
        <v>1231317</v>
      </c>
      <c r="R659" s="365">
        <f>Q659+R657</f>
        <v>976762</v>
      </c>
      <c r="S659" s="365">
        <f>R659+S657</f>
        <v>875650</v>
      </c>
      <c r="T659" s="365">
        <f>S659+T657</f>
        <v>768316</v>
      </c>
      <c r="U659" s="365">
        <f>T659+U657</f>
        <v>820929</v>
      </c>
      <c r="V659" s="365">
        <f>U659+V657</f>
        <v>1020993</v>
      </c>
      <c r="W659" s="640"/>
    </row>
    <row r="660" spans="1:26" s="409" customFormat="1" ht="24" customHeight="1">
      <c r="L660" s="440"/>
      <c r="M660" s="438"/>
      <c r="N660" s="367">
        <f t="shared" ref="N660" si="206">N659/N655</f>
        <v>0.54665721978415893</v>
      </c>
      <c r="O660" s="367">
        <f t="shared" ref="O660:V660" si="207">O659/O655</f>
        <v>0.5303732952486695</v>
      </c>
      <c r="P660" s="368">
        <f t="shared" ref="P660" si="208">P659/P655</f>
        <v>0.4059204188005644</v>
      </c>
      <c r="Q660" s="368">
        <f t="shared" si="207"/>
        <v>0.43987075201749026</v>
      </c>
      <c r="R660" s="367">
        <f>R659/R655</f>
        <v>0.31571788694804187</v>
      </c>
      <c r="S660" s="367">
        <f t="shared" ref="S660:U660" si="209">S659/S655</f>
        <v>0.26904731471945215</v>
      </c>
      <c r="T660" s="367">
        <f t="shared" si="209"/>
        <v>0.2190780095938373</v>
      </c>
      <c r="U660" s="367">
        <f t="shared" si="209"/>
        <v>0.24534308414859932</v>
      </c>
      <c r="V660" s="367">
        <f t="shared" si="207"/>
        <v>0.31880467100443832</v>
      </c>
      <c r="W660" s="522"/>
    </row>
    <row r="661" spans="1:26" ht="15" customHeight="1">
      <c r="A661" s="328"/>
      <c r="B661" s="328"/>
      <c r="C661" s="328"/>
      <c r="D661" s="328"/>
      <c r="E661" s="328"/>
      <c r="F661" s="328"/>
      <c r="G661" s="328"/>
      <c r="H661" s="328"/>
      <c r="I661" s="328"/>
      <c r="J661" s="328"/>
      <c r="K661" s="328"/>
      <c r="L661" s="209"/>
      <c r="M661" s="240"/>
      <c r="N661" s="620"/>
      <c r="O661" s="620"/>
      <c r="P661" s="624"/>
      <c r="Q661" s="624"/>
      <c r="R661" s="625"/>
      <c r="S661" s="625"/>
      <c r="T661" s="625"/>
      <c r="U661" s="625"/>
      <c r="V661" s="625"/>
    </row>
    <row r="662" spans="1:26" ht="24" customHeight="1">
      <c r="A662" s="407" t="s">
        <v>683</v>
      </c>
      <c r="B662" s="328"/>
      <c r="C662" s="328"/>
      <c r="D662" s="328"/>
      <c r="E662" s="328"/>
      <c r="F662" s="328"/>
      <c r="G662" s="328"/>
      <c r="H662" s="328"/>
      <c r="I662" s="328"/>
      <c r="J662" s="328"/>
      <c r="K662" s="328"/>
      <c r="L662" s="209"/>
      <c r="N662" s="394"/>
      <c r="O662" s="394"/>
      <c r="P662" s="618"/>
      <c r="Q662" s="618"/>
      <c r="R662" s="619"/>
      <c r="S662" s="619"/>
      <c r="T662" s="619"/>
      <c r="U662" s="619"/>
      <c r="V662" s="619"/>
    </row>
    <row r="663" spans="1:26" ht="15" customHeight="1">
      <c r="A663" s="328"/>
      <c r="B663" s="328"/>
      <c r="C663" s="328"/>
      <c r="D663" s="328"/>
      <c r="E663" s="328"/>
      <c r="F663" s="328"/>
      <c r="G663" s="328"/>
      <c r="H663" s="328"/>
      <c r="I663" s="328"/>
      <c r="J663" s="328"/>
      <c r="K663" s="328"/>
      <c r="L663" s="209"/>
      <c r="N663" s="394"/>
      <c r="O663" s="394"/>
      <c r="P663" s="618"/>
      <c r="Q663" s="618"/>
      <c r="R663" s="619"/>
      <c r="S663" s="619"/>
      <c r="T663" s="619"/>
      <c r="U663" s="619"/>
      <c r="V663" s="619"/>
    </row>
    <row r="664" spans="1:26" ht="24" customHeight="1">
      <c r="A664" s="396" t="s">
        <v>433</v>
      </c>
      <c r="B664" s="397"/>
      <c r="C664" s="397"/>
      <c r="D664" s="328" t="s">
        <v>434</v>
      </c>
      <c r="E664" s="397"/>
      <c r="F664" s="397"/>
      <c r="G664" s="397"/>
      <c r="H664" s="397"/>
      <c r="I664" s="397"/>
      <c r="J664" s="397"/>
      <c r="K664" s="397"/>
      <c r="L664" s="218"/>
      <c r="M664" s="298"/>
      <c r="N664" s="340">
        <v>257989</v>
      </c>
      <c r="O664" s="340">
        <v>262543</v>
      </c>
      <c r="P664" s="250">
        <v>114940</v>
      </c>
      <c r="Q664" s="250">
        <v>110601</v>
      </c>
      <c r="R664" s="249">
        <v>0</v>
      </c>
      <c r="S664" s="249">
        <v>0</v>
      </c>
      <c r="T664" s="249">
        <v>0</v>
      </c>
      <c r="U664" s="249">
        <v>0</v>
      </c>
      <c r="V664" s="249">
        <v>0</v>
      </c>
      <c r="X664" s="656"/>
      <c r="Y664" s="657"/>
    </row>
    <row r="665" spans="1:26" ht="24" customHeight="1">
      <c r="A665" s="396" t="s">
        <v>435</v>
      </c>
      <c r="B665" s="397"/>
      <c r="C665" s="397"/>
      <c r="D665" s="328" t="s">
        <v>436</v>
      </c>
      <c r="E665" s="397"/>
      <c r="F665" s="397"/>
      <c r="G665" s="397"/>
      <c r="H665" s="397"/>
      <c r="I665" s="397"/>
      <c r="J665" s="397"/>
      <c r="K665" s="397"/>
      <c r="L665" s="218"/>
      <c r="M665" s="298"/>
      <c r="N665" s="340">
        <v>1382408</v>
      </c>
      <c r="O665" s="340">
        <v>0</v>
      </c>
      <c r="P665" s="250">
        <v>0</v>
      </c>
      <c r="Q665" s="250">
        <v>0</v>
      </c>
      <c r="R665" s="249">
        <v>0</v>
      </c>
      <c r="S665" s="249">
        <v>0</v>
      </c>
      <c r="T665" s="249">
        <v>0</v>
      </c>
      <c r="U665" s="249">
        <v>0</v>
      </c>
      <c r="V665" s="249">
        <v>0</v>
      </c>
    </row>
    <row r="666" spans="1:26" ht="24" customHeight="1">
      <c r="A666" s="396" t="s">
        <v>437</v>
      </c>
      <c r="B666" s="397"/>
      <c r="C666" s="397"/>
      <c r="D666" s="328" t="s">
        <v>438</v>
      </c>
      <c r="E666" s="397"/>
      <c r="F666" s="397"/>
      <c r="G666" s="397"/>
      <c r="H666" s="397"/>
      <c r="I666" s="397"/>
      <c r="J666" s="397"/>
      <c r="K666" s="397"/>
      <c r="L666" s="218"/>
      <c r="M666" s="298"/>
      <c r="N666" s="340">
        <v>109809</v>
      </c>
      <c r="O666" s="340">
        <v>0</v>
      </c>
      <c r="P666" s="250">
        <v>0</v>
      </c>
      <c r="Q666" s="250">
        <v>0</v>
      </c>
      <c r="R666" s="249">
        <v>0</v>
      </c>
      <c r="S666" s="249">
        <v>0</v>
      </c>
      <c r="T666" s="249">
        <v>0</v>
      </c>
      <c r="U666" s="249">
        <v>0</v>
      </c>
      <c r="V666" s="249">
        <v>0</v>
      </c>
    </row>
    <row r="667" spans="1:26" ht="24" customHeight="1">
      <c r="A667" s="396" t="s">
        <v>1049</v>
      </c>
      <c r="B667" s="397"/>
      <c r="C667" s="397"/>
      <c r="D667" s="396" t="s">
        <v>1078</v>
      </c>
      <c r="E667" s="549"/>
      <c r="F667" s="549"/>
      <c r="G667" s="549"/>
      <c r="H667" s="549"/>
      <c r="I667" s="549"/>
      <c r="J667" s="549"/>
      <c r="K667" s="549"/>
      <c r="L667" s="218"/>
      <c r="M667" s="298"/>
      <c r="N667" s="340">
        <v>4000</v>
      </c>
      <c r="O667" s="340">
        <v>24000</v>
      </c>
      <c r="P667" s="250">
        <v>0</v>
      </c>
      <c r="Q667" s="250">
        <v>0</v>
      </c>
      <c r="R667" s="249">
        <v>0</v>
      </c>
      <c r="S667" s="249">
        <v>0</v>
      </c>
      <c r="T667" s="249">
        <v>0</v>
      </c>
      <c r="U667" s="249">
        <v>0</v>
      </c>
      <c r="V667" s="249">
        <v>0</v>
      </c>
      <c r="X667" s="213"/>
    </row>
    <row r="668" spans="1:26" ht="24" customHeight="1">
      <c r="A668" s="396" t="s">
        <v>439</v>
      </c>
      <c r="B668" s="328"/>
      <c r="C668" s="328"/>
      <c r="D668" s="396" t="s">
        <v>440</v>
      </c>
      <c r="E668" s="599"/>
      <c r="F668" s="599"/>
      <c r="G668" s="598"/>
      <c r="H668" s="598"/>
      <c r="I668" s="598"/>
      <c r="J668" s="598"/>
      <c r="K668" s="598"/>
      <c r="L668" s="218">
        <v>712331</v>
      </c>
      <c r="M668" s="220">
        <v>723012</v>
      </c>
      <c r="N668" s="340">
        <v>742022</v>
      </c>
      <c r="O668" s="340">
        <v>744820</v>
      </c>
      <c r="P668" s="225">
        <v>740000</v>
      </c>
      <c r="Q668" s="225">
        <v>756315</v>
      </c>
      <c r="R668" s="221">
        <v>772500</v>
      </c>
      <c r="S668" s="221">
        <v>795675</v>
      </c>
      <c r="T668" s="221">
        <v>835459</v>
      </c>
      <c r="U668" s="221">
        <v>877232</v>
      </c>
      <c r="V668" s="221">
        <v>921094</v>
      </c>
      <c r="X668" s="656"/>
      <c r="Y668" s="657"/>
      <c r="Z668" s="657"/>
    </row>
    <row r="669" spans="1:26" ht="24" customHeight="1">
      <c r="A669" s="396" t="s">
        <v>1254</v>
      </c>
      <c r="B669" s="397"/>
      <c r="C669" s="397"/>
      <c r="D669" s="396" t="s">
        <v>1256</v>
      </c>
      <c r="E669" s="615"/>
      <c r="F669" s="615"/>
      <c r="G669" s="615"/>
      <c r="H669" s="615"/>
      <c r="I669" s="615"/>
      <c r="J669" s="615"/>
      <c r="K669" s="615"/>
      <c r="L669" s="218"/>
      <c r="M669" s="220"/>
      <c r="N669" s="340">
        <v>0</v>
      </c>
      <c r="O669" s="340">
        <v>0</v>
      </c>
      <c r="P669" s="225">
        <v>334560</v>
      </c>
      <c r="Q669" s="225">
        <v>330668</v>
      </c>
      <c r="R669" s="337">
        <v>330000</v>
      </c>
      <c r="S669" s="337">
        <v>330000</v>
      </c>
      <c r="T669" s="337">
        <v>330000</v>
      </c>
      <c r="U669" s="337">
        <v>330000</v>
      </c>
      <c r="V669" s="337">
        <v>330000</v>
      </c>
      <c r="X669" s="213"/>
    </row>
    <row r="670" spans="1:26" ht="24" customHeight="1">
      <c r="A670" s="396" t="s">
        <v>441</v>
      </c>
      <c r="B670" s="397"/>
      <c r="C670" s="397"/>
      <c r="D670" s="396" t="s">
        <v>442</v>
      </c>
      <c r="E670" s="615"/>
      <c r="F670" s="615"/>
      <c r="G670" s="615"/>
      <c r="H670" s="615"/>
      <c r="I670" s="615"/>
      <c r="J670" s="615"/>
      <c r="K670" s="615"/>
      <c r="L670" s="218">
        <v>69950</v>
      </c>
      <c r="M670" s="220">
        <v>23400</v>
      </c>
      <c r="N670" s="340">
        <v>4800</v>
      </c>
      <c r="O670" s="340">
        <v>200</v>
      </c>
      <c r="P670" s="225">
        <v>1000</v>
      </c>
      <c r="Q670" s="225">
        <v>1000</v>
      </c>
      <c r="R670" s="221">
        <v>5000</v>
      </c>
      <c r="S670" s="221">
        <v>5000</v>
      </c>
      <c r="T670" s="221">
        <v>5000</v>
      </c>
      <c r="U670" s="221">
        <v>5000</v>
      </c>
      <c r="V670" s="221">
        <v>5000</v>
      </c>
      <c r="X670" s="217"/>
    </row>
    <row r="671" spans="1:26" ht="24" customHeight="1">
      <c r="A671" s="396" t="s">
        <v>443</v>
      </c>
      <c r="B671" s="397"/>
      <c r="C671" s="397"/>
      <c r="D671" s="396" t="s">
        <v>444</v>
      </c>
      <c r="E671" s="549"/>
      <c r="F671" s="549"/>
      <c r="G671" s="549"/>
      <c r="H671" s="549"/>
      <c r="I671" s="549"/>
      <c r="J671" s="549"/>
      <c r="K671" s="549"/>
      <c r="L671" s="218">
        <v>238138</v>
      </c>
      <c r="M671" s="220">
        <v>60400</v>
      </c>
      <c r="N671" s="337">
        <v>43200</v>
      </c>
      <c r="O671" s="337">
        <v>3400</v>
      </c>
      <c r="P671" s="225">
        <v>10000</v>
      </c>
      <c r="Q671" s="225">
        <v>10000</v>
      </c>
      <c r="R671" s="221">
        <v>20000</v>
      </c>
      <c r="S671" s="221">
        <v>20000</v>
      </c>
      <c r="T671" s="221">
        <v>20000</v>
      </c>
      <c r="U671" s="221">
        <v>20000</v>
      </c>
      <c r="V671" s="221">
        <v>20000</v>
      </c>
      <c r="X671" s="217"/>
    </row>
    <row r="672" spans="1:26" ht="24" customHeight="1">
      <c r="A672" s="396" t="s">
        <v>445</v>
      </c>
      <c r="B672" s="397"/>
      <c r="C672" s="397"/>
      <c r="D672" s="396" t="s">
        <v>446</v>
      </c>
      <c r="E672" s="397"/>
      <c r="F672" s="397"/>
      <c r="G672" s="397"/>
      <c r="H672" s="397"/>
      <c r="I672" s="397"/>
      <c r="J672" s="397"/>
      <c r="K672" s="397"/>
      <c r="L672" s="218">
        <v>0</v>
      </c>
      <c r="M672" s="220">
        <v>1176889</v>
      </c>
      <c r="N672" s="340">
        <v>572000</v>
      </c>
      <c r="O672" s="340">
        <v>586000</v>
      </c>
      <c r="P672" s="225">
        <v>0</v>
      </c>
      <c r="Q672" s="225">
        <v>0</v>
      </c>
      <c r="R672" s="221">
        <v>0</v>
      </c>
      <c r="S672" s="221">
        <v>0</v>
      </c>
      <c r="T672" s="221">
        <v>0</v>
      </c>
      <c r="U672" s="221">
        <v>0</v>
      </c>
      <c r="V672" s="221">
        <v>0</v>
      </c>
      <c r="X672" s="217"/>
    </row>
    <row r="673" spans="1:28" ht="24" customHeight="1">
      <c r="A673" s="396" t="s">
        <v>1255</v>
      </c>
      <c r="B673" s="397"/>
      <c r="C673" s="397"/>
      <c r="D673" s="396" t="s">
        <v>1190</v>
      </c>
      <c r="E673" s="397"/>
      <c r="F673" s="397"/>
      <c r="G673" s="397"/>
      <c r="H673" s="397"/>
      <c r="I673" s="397"/>
      <c r="J673" s="397"/>
      <c r="K673" s="397"/>
      <c r="L673" s="218"/>
      <c r="M673" s="298"/>
      <c r="N673" s="340">
        <v>0</v>
      </c>
      <c r="O673" s="340">
        <v>13271</v>
      </c>
      <c r="P673" s="250">
        <v>12000</v>
      </c>
      <c r="Q673" s="250">
        <v>13000</v>
      </c>
      <c r="R673" s="249">
        <v>13000</v>
      </c>
      <c r="S673" s="249">
        <v>13000</v>
      </c>
      <c r="T673" s="249">
        <v>13000</v>
      </c>
      <c r="U673" s="249">
        <v>13000</v>
      </c>
      <c r="V673" s="249">
        <v>13000</v>
      </c>
    </row>
    <row r="674" spans="1:28" ht="24" customHeight="1">
      <c r="A674" s="396" t="s">
        <v>447</v>
      </c>
      <c r="B674" s="397"/>
      <c r="C674" s="397"/>
      <c r="D674" s="396" t="s">
        <v>448</v>
      </c>
      <c r="E674" s="397"/>
      <c r="F674" s="397"/>
      <c r="G674" s="397"/>
      <c r="H674" s="397"/>
      <c r="I674" s="397"/>
      <c r="J674" s="397"/>
      <c r="K674" s="397"/>
      <c r="L674" s="218"/>
      <c r="M674" s="220"/>
      <c r="N674" s="340">
        <v>0</v>
      </c>
      <c r="O674" s="340">
        <v>514</v>
      </c>
      <c r="P674" s="225">
        <v>0</v>
      </c>
      <c r="Q674" s="225">
        <v>278</v>
      </c>
      <c r="R674" s="221">
        <v>0</v>
      </c>
      <c r="S674" s="221">
        <v>0</v>
      </c>
      <c r="T674" s="221">
        <v>0</v>
      </c>
      <c r="U674" s="221">
        <v>0</v>
      </c>
      <c r="V674" s="221">
        <v>0</v>
      </c>
    </row>
    <row r="675" spans="1:28" ht="24" customHeight="1">
      <c r="A675" s="396" t="s">
        <v>449</v>
      </c>
      <c r="B675" s="397"/>
      <c r="C675" s="397"/>
      <c r="D675" s="735" t="s">
        <v>6</v>
      </c>
      <c r="E675" s="735"/>
      <c r="F675" s="735"/>
      <c r="G675" s="735"/>
      <c r="H675" s="735"/>
      <c r="I675" s="735"/>
      <c r="J675" s="735"/>
      <c r="K675" s="735"/>
      <c r="L675" s="218"/>
      <c r="M675" s="214"/>
      <c r="N675" s="339">
        <v>2405</v>
      </c>
      <c r="O675" s="339">
        <v>7339</v>
      </c>
      <c r="P675" s="216">
        <v>5500</v>
      </c>
      <c r="Q675" s="216">
        <v>8500</v>
      </c>
      <c r="R675" s="215">
        <v>6000</v>
      </c>
      <c r="S675" s="215">
        <v>5000</v>
      </c>
      <c r="T675" s="215">
        <v>4500</v>
      </c>
      <c r="U675" s="215">
        <v>4500</v>
      </c>
      <c r="V675" s="215">
        <v>4500</v>
      </c>
    </row>
    <row r="676" spans="1:28" ht="24" customHeight="1">
      <c r="A676" s="396" t="s">
        <v>730</v>
      </c>
      <c r="B676" s="397"/>
      <c r="C676" s="397"/>
      <c r="D676" s="396" t="s">
        <v>292</v>
      </c>
      <c r="E676" s="397"/>
      <c r="F676" s="397"/>
      <c r="G676" s="397"/>
      <c r="H676" s="397"/>
      <c r="I676" s="397"/>
      <c r="J676" s="397"/>
      <c r="K676" s="397"/>
      <c r="L676" s="218"/>
      <c r="M676" s="214"/>
      <c r="N676" s="339">
        <v>0</v>
      </c>
      <c r="O676" s="339">
        <v>4240</v>
      </c>
      <c r="P676" s="216">
        <v>0</v>
      </c>
      <c r="Q676" s="216">
        <v>0</v>
      </c>
      <c r="R676" s="215">
        <v>0</v>
      </c>
      <c r="S676" s="215">
        <v>0</v>
      </c>
      <c r="T676" s="215">
        <v>0</v>
      </c>
      <c r="U676" s="215">
        <v>0</v>
      </c>
      <c r="V676" s="215">
        <v>0</v>
      </c>
      <c r="X676" s="213"/>
    </row>
    <row r="677" spans="1:28" ht="24" customHeight="1">
      <c r="A677" s="396" t="s">
        <v>450</v>
      </c>
      <c r="B677" s="397"/>
      <c r="C677" s="397"/>
      <c r="D677" s="735" t="s">
        <v>67</v>
      </c>
      <c r="E677" s="735"/>
      <c r="F677" s="735"/>
      <c r="G677" s="735"/>
      <c r="H677" s="735"/>
      <c r="I677" s="735"/>
      <c r="J677" s="735"/>
      <c r="K677" s="735"/>
      <c r="L677" s="218"/>
      <c r="M677" s="214"/>
      <c r="N677" s="339">
        <v>1741</v>
      </c>
      <c r="O677" s="339">
        <v>3668</v>
      </c>
      <c r="P677" s="216">
        <v>0</v>
      </c>
      <c r="Q677" s="216">
        <v>0</v>
      </c>
      <c r="R677" s="215">
        <v>0</v>
      </c>
      <c r="S677" s="215">
        <v>0</v>
      </c>
      <c r="T677" s="215">
        <v>0</v>
      </c>
      <c r="U677" s="215">
        <v>0</v>
      </c>
      <c r="V677" s="215">
        <v>0</v>
      </c>
    </row>
    <row r="678" spans="1:28" ht="24" customHeight="1">
      <c r="A678" s="396" t="s">
        <v>451</v>
      </c>
      <c r="B678" s="397"/>
      <c r="C678" s="397"/>
      <c r="D678" s="396" t="s">
        <v>313</v>
      </c>
      <c r="E678" s="397"/>
      <c r="F678" s="397"/>
      <c r="G678" s="397"/>
      <c r="H678" s="397"/>
      <c r="I678" s="397"/>
      <c r="J678" s="397"/>
      <c r="K678" s="397"/>
      <c r="L678" s="218"/>
      <c r="M678" s="310"/>
      <c r="N678" s="339">
        <v>0</v>
      </c>
      <c r="O678" s="339">
        <v>0</v>
      </c>
      <c r="P678" s="216">
        <v>1137220</v>
      </c>
      <c r="Q678" s="216">
        <f t="shared" ref="Q678:V678" si="210">Q732+Q733</f>
        <v>1137220</v>
      </c>
      <c r="R678" s="215">
        <f t="shared" si="210"/>
        <v>1133972</v>
      </c>
      <c r="S678" s="215">
        <f t="shared" si="210"/>
        <v>1134654</v>
      </c>
      <c r="T678" s="215">
        <f t="shared" si="210"/>
        <v>1134052</v>
      </c>
      <c r="U678" s="215">
        <f t="shared" si="210"/>
        <v>1137166</v>
      </c>
      <c r="V678" s="215">
        <f t="shared" si="210"/>
        <v>1133782</v>
      </c>
      <c r="X678" s="213"/>
      <c r="AB678" s="230"/>
    </row>
    <row r="679" spans="1:28" ht="24" customHeight="1">
      <c r="A679" s="396" t="s">
        <v>1392</v>
      </c>
      <c r="B679" s="554"/>
      <c r="C679" s="554"/>
      <c r="D679" s="396" t="s">
        <v>1372</v>
      </c>
      <c r="E679" s="554"/>
      <c r="F679" s="554"/>
      <c r="G679" s="554"/>
      <c r="H679" s="554"/>
      <c r="I679" s="554"/>
      <c r="J679" s="554"/>
      <c r="K679" s="554"/>
      <c r="L679" s="218"/>
      <c r="M679" s="310"/>
      <c r="N679" s="354">
        <v>0</v>
      </c>
      <c r="O679" s="354">
        <v>0</v>
      </c>
      <c r="P679" s="256">
        <v>0</v>
      </c>
      <c r="Q679" s="256">
        <v>0</v>
      </c>
      <c r="R679" s="255">
        <v>105000</v>
      </c>
      <c r="S679" s="255">
        <v>0</v>
      </c>
      <c r="T679" s="255">
        <v>0</v>
      </c>
      <c r="U679" s="255">
        <v>0</v>
      </c>
      <c r="V679" s="255">
        <v>0</v>
      </c>
      <c r="X679" s="213"/>
      <c r="AB679" s="230"/>
    </row>
    <row r="680" spans="1:28" ht="15" customHeight="1">
      <c r="A680" s="396"/>
      <c r="B680" s="397"/>
      <c r="C680" s="397"/>
      <c r="D680" s="328"/>
      <c r="E680" s="397"/>
      <c r="F680" s="397"/>
      <c r="G680" s="397"/>
      <c r="H680" s="397"/>
      <c r="I680" s="397"/>
      <c r="J680" s="397"/>
      <c r="K680" s="397"/>
      <c r="L680" s="218"/>
      <c r="M680" s="246"/>
      <c r="N680" s="345"/>
      <c r="O680" s="345"/>
      <c r="P680" s="235"/>
      <c r="Q680" s="235"/>
      <c r="R680" s="234"/>
      <c r="S680" s="234"/>
      <c r="T680" s="234"/>
      <c r="U680" s="234"/>
      <c r="V680" s="234"/>
    </row>
    <row r="681" spans="1:28" s="328" customFormat="1" ht="24" customHeight="1">
      <c r="K681" s="400" t="s">
        <v>656</v>
      </c>
      <c r="L681" s="422"/>
      <c r="M681" s="423"/>
      <c r="N681" s="348">
        <f>SUM(N664:N680)</f>
        <v>3120374</v>
      </c>
      <c r="O681" s="348">
        <f t="shared" ref="O681:V681" si="211">SUM(O664:O680)</f>
        <v>1649995</v>
      </c>
      <c r="P681" s="349">
        <f t="shared" si="211"/>
        <v>2355220</v>
      </c>
      <c r="Q681" s="349">
        <f t="shared" si="211"/>
        <v>2367582</v>
      </c>
      <c r="R681" s="348">
        <f>SUM(R664:R680)</f>
        <v>2385472</v>
      </c>
      <c r="S681" s="348">
        <f t="shared" si="211"/>
        <v>2303329</v>
      </c>
      <c r="T681" s="348">
        <f t="shared" si="211"/>
        <v>2342011</v>
      </c>
      <c r="U681" s="348">
        <f t="shared" si="211"/>
        <v>2386898</v>
      </c>
      <c r="V681" s="348">
        <f t="shared" si="211"/>
        <v>2427376</v>
      </c>
      <c r="W681" s="640"/>
    </row>
    <row r="682" spans="1:28" ht="15" customHeight="1">
      <c r="A682" s="328"/>
      <c r="B682" s="328"/>
      <c r="C682" s="328"/>
      <c r="D682" s="328"/>
      <c r="E682" s="328"/>
      <c r="F682" s="328"/>
      <c r="G682" s="328"/>
      <c r="H682" s="328"/>
      <c r="I682" s="328"/>
      <c r="J682" s="328"/>
      <c r="K682" s="328"/>
      <c r="L682" s="209"/>
      <c r="M682" s="241"/>
      <c r="N682" s="348"/>
      <c r="O682" s="348"/>
      <c r="P682" s="243"/>
      <c r="Q682" s="243"/>
      <c r="R682" s="242"/>
      <c r="S682" s="242"/>
      <c r="T682" s="242"/>
      <c r="U682" s="242"/>
      <c r="V682" s="242"/>
    </row>
    <row r="683" spans="1:28" ht="24" customHeight="1">
      <c r="A683" s="400" t="s">
        <v>1335</v>
      </c>
      <c r="B683" s="328"/>
      <c r="C683" s="328"/>
      <c r="D683" s="328"/>
      <c r="E683" s="328"/>
      <c r="F683" s="328"/>
      <c r="G683" s="328"/>
      <c r="H683" s="328"/>
      <c r="I683" s="328"/>
      <c r="J683" s="328"/>
      <c r="K683" s="328"/>
      <c r="L683" s="209"/>
      <c r="M683" s="241"/>
      <c r="N683" s="348"/>
      <c r="O683" s="348"/>
      <c r="P683" s="243"/>
      <c r="Q683" s="243"/>
      <c r="R683" s="242"/>
      <c r="S683" s="242"/>
      <c r="T683" s="242"/>
      <c r="U683" s="242"/>
      <c r="V683" s="242"/>
    </row>
    <row r="684" spans="1:28" ht="24" customHeight="1">
      <c r="A684" s="396" t="s">
        <v>452</v>
      </c>
      <c r="B684" s="397"/>
      <c r="C684" s="397"/>
      <c r="D684" s="396" t="s">
        <v>1095</v>
      </c>
      <c r="E684" s="397"/>
      <c r="F684" s="397"/>
      <c r="G684" s="397"/>
      <c r="H684" s="397"/>
      <c r="I684" s="397"/>
      <c r="J684" s="397"/>
      <c r="K684" s="397"/>
      <c r="L684" s="218"/>
      <c r="M684" s="247"/>
      <c r="N684" s="339">
        <v>198017</v>
      </c>
      <c r="O684" s="339">
        <v>189733</v>
      </c>
      <c r="P684" s="216">
        <v>187544</v>
      </c>
      <c r="Q684" s="216">
        <v>187544</v>
      </c>
      <c r="R684" s="215">
        <v>193304</v>
      </c>
      <c r="S684" s="227">
        <v>199103</v>
      </c>
      <c r="T684" s="227">
        <v>206072</v>
      </c>
      <c r="U684" s="227">
        <v>213285</v>
      </c>
      <c r="V684" s="227">
        <v>220750</v>
      </c>
      <c r="X684" s="656"/>
      <c r="Y684" s="657"/>
      <c r="Z684" s="657"/>
      <c r="AA684" s="657"/>
      <c r="AB684" s="213"/>
    </row>
    <row r="685" spans="1:28" ht="24" customHeight="1">
      <c r="A685" s="396" t="s">
        <v>1488</v>
      </c>
      <c r="B685" s="661"/>
      <c r="C685" s="661"/>
      <c r="D685" s="396" t="s">
        <v>76</v>
      </c>
      <c r="E685" s="661"/>
      <c r="F685" s="661"/>
      <c r="G685" s="661"/>
      <c r="H685" s="661"/>
      <c r="I685" s="661"/>
      <c r="J685" s="661"/>
      <c r="K685" s="661"/>
      <c r="L685" s="218"/>
      <c r="M685" s="247"/>
      <c r="N685" s="339">
        <v>0</v>
      </c>
      <c r="O685" s="339">
        <v>0</v>
      </c>
      <c r="P685" s="216">
        <v>0</v>
      </c>
      <c r="Q685" s="216">
        <v>0</v>
      </c>
      <c r="R685" s="215">
        <v>0</v>
      </c>
      <c r="S685" s="227">
        <v>0</v>
      </c>
      <c r="T685" s="227">
        <v>0</v>
      </c>
      <c r="U685" s="227">
        <v>0</v>
      </c>
      <c r="V685" s="227">
        <v>0</v>
      </c>
      <c r="X685" s="656"/>
      <c r="Y685" s="657"/>
      <c r="Z685" s="657"/>
      <c r="AA685" s="657"/>
      <c r="AB685" s="213"/>
    </row>
    <row r="686" spans="1:28" ht="24" customHeight="1">
      <c r="A686" s="396" t="s">
        <v>453</v>
      </c>
      <c r="B686" s="397"/>
      <c r="C686" s="397"/>
      <c r="D686" s="396" t="s">
        <v>15</v>
      </c>
      <c r="E686" s="397"/>
      <c r="F686" s="397"/>
      <c r="G686" s="397"/>
      <c r="H686" s="397"/>
      <c r="I686" s="397"/>
      <c r="J686" s="397"/>
      <c r="K686" s="397"/>
      <c r="L686" s="218"/>
      <c r="M686" s="247"/>
      <c r="N686" s="339">
        <v>201</v>
      </c>
      <c r="O686" s="339">
        <v>719</v>
      </c>
      <c r="P686" s="216">
        <v>2000</v>
      </c>
      <c r="Q686" s="216">
        <v>2000</v>
      </c>
      <c r="R686" s="215">
        <v>2000</v>
      </c>
      <c r="S686" s="215">
        <v>2000</v>
      </c>
      <c r="T686" s="215">
        <v>2000</v>
      </c>
      <c r="U686" s="215">
        <v>2000</v>
      </c>
      <c r="V686" s="215">
        <v>2000</v>
      </c>
      <c r="X686" s="656"/>
      <c r="Y686" s="657"/>
      <c r="Z686" s="657"/>
      <c r="AA686" s="657"/>
    </row>
    <row r="687" spans="1:28" ht="24" customHeight="1">
      <c r="A687" s="396" t="s">
        <v>454</v>
      </c>
      <c r="B687" s="397"/>
      <c r="C687" s="397"/>
      <c r="D687" s="396" t="s">
        <v>8</v>
      </c>
      <c r="E687" s="397"/>
      <c r="F687" s="397"/>
      <c r="G687" s="397"/>
      <c r="H687" s="397"/>
      <c r="I687" s="397"/>
      <c r="J687" s="397"/>
      <c r="K687" s="397"/>
      <c r="L687" s="218"/>
      <c r="M687" s="247"/>
      <c r="N687" s="339">
        <v>18927</v>
      </c>
      <c r="O687" s="339">
        <v>20244</v>
      </c>
      <c r="P687" s="216">
        <v>21007</v>
      </c>
      <c r="Q687" s="216">
        <v>21007</v>
      </c>
      <c r="R687" s="215">
        <v>23291</v>
      </c>
      <c r="S687" s="215">
        <v>25485</v>
      </c>
      <c r="T687" s="215">
        <v>27964</v>
      </c>
      <c r="U687" s="215">
        <v>30670</v>
      </c>
      <c r="V687" s="215">
        <v>33664</v>
      </c>
      <c r="X687" s="656"/>
      <c r="Y687" s="657"/>
      <c r="Z687" s="657"/>
      <c r="AA687" s="657"/>
    </row>
    <row r="688" spans="1:28" ht="24" customHeight="1">
      <c r="A688" s="396" t="s">
        <v>455</v>
      </c>
      <c r="B688" s="328"/>
      <c r="C688" s="328"/>
      <c r="D688" s="396" t="s">
        <v>9</v>
      </c>
      <c r="E688" s="328"/>
      <c r="F688" s="328"/>
      <c r="G688" s="328"/>
      <c r="H688" s="328"/>
      <c r="I688" s="328"/>
      <c r="J688" s="328"/>
      <c r="K688" s="328"/>
      <c r="L688" s="209"/>
      <c r="M688" s="247"/>
      <c r="N688" s="339">
        <v>14636</v>
      </c>
      <c r="O688" s="339">
        <v>14245</v>
      </c>
      <c r="P688" s="216">
        <v>14223</v>
      </c>
      <c r="Q688" s="216">
        <v>14223</v>
      </c>
      <c r="R688" s="215">
        <v>14661</v>
      </c>
      <c r="S688" s="227">
        <v>15101</v>
      </c>
      <c r="T688" s="227">
        <v>15630</v>
      </c>
      <c r="U688" s="227">
        <v>16177</v>
      </c>
      <c r="V688" s="227">
        <v>16743</v>
      </c>
      <c r="X688" s="656"/>
      <c r="Y688" s="657"/>
      <c r="Z688" s="657"/>
      <c r="AA688" s="657"/>
    </row>
    <row r="689" spans="1:29" ht="24" customHeight="1">
      <c r="A689" s="396" t="s">
        <v>706</v>
      </c>
      <c r="B689" s="328"/>
      <c r="C689" s="328"/>
      <c r="D689" s="396" t="s">
        <v>13</v>
      </c>
      <c r="E689" s="328"/>
      <c r="F689" s="328"/>
      <c r="G689" s="328"/>
      <c r="H689" s="328"/>
      <c r="I689" s="328"/>
      <c r="J689" s="328"/>
      <c r="K689" s="328"/>
      <c r="L689" s="209"/>
      <c r="M689" s="247"/>
      <c r="N689" s="339">
        <v>0</v>
      </c>
      <c r="O689" s="339">
        <v>42818</v>
      </c>
      <c r="P689" s="216">
        <v>41481</v>
      </c>
      <c r="Q689" s="216">
        <v>41481</v>
      </c>
      <c r="R689" s="223">
        <v>44546</v>
      </c>
      <c r="S689" s="223">
        <f>ROUND(R689*1.08,0)</f>
        <v>48110</v>
      </c>
      <c r="T689" s="223">
        <f t="shared" ref="T689:V689" si="212">ROUND(S689*1.08,0)</f>
        <v>51959</v>
      </c>
      <c r="U689" s="223">
        <f t="shared" si="212"/>
        <v>56116</v>
      </c>
      <c r="V689" s="223">
        <f t="shared" si="212"/>
        <v>60605</v>
      </c>
      <c r="X689" s="656"/>
      <c r="Y689" s="657"/>
      <c r="Z689" s="656"/>
      <c r="AA689" s="657"/>
      <c r="AC689" s="213"/>
    </row>
    <row r="690" spans="1:29" ht="24" customHeight="1">
      <c r="A690" s="396" t="s">
        <v>707</v>
      </c>
      <c r="B690" s="328"/>
      <c r="C690" s="328"/>
      <c r="D690" s="396" t="s">
        <v>207</v>
      </c>
      <c r="E690" s="328"/>
      <c r="F690" s="328"/>
      <c r="G690" s="328"/>
      <c r="H690" s="328"/>
      <c r="I690" s="328"/>
      <c r="J690" s="328"/>
      <c r="K690" s="328"/>
      <c r="L690" s="209"/>
      <c r="M690" s="247"/>
      <c r="N690" s="339">
        <v>0</v>
      </c>
      <c r="O690" s="339">
        <v>377</v>
      </c>
      <c r="P690" s="216">
        <v>365</v>
      </c>
      <c r="Q690" s="216">
        <v>365</v>
      </c>
      <c r="R690" s="223">
        <v>346</v>
      </c>
      <c r="S690" s="223">
        <f>ROUND(R690*1.01,0)</f>
        <v>349</v>
      </c>
      <c r="T690" s="223">
        <f t="shared" ref="T690:V690" si="213">ROUND(S690*1.01,0)</f>
        <v>352</v>
      </c>
      <c r="U690" s="223">
        <f t="shared" si="213"/>
        <v>356</v>
      </c>
      <c r="V690" s="223">
        <f t="shared" si="213"/>
        <v>360</v>
      </c>
      <c r="X690" s="656"/>
      <c r="Y690" s="657"/>
      <c r="Z690" s="656"/>
      <c r="AA690" s="657"/>
      <c r="AC690" s="213"/>
    </row>
    <row r="691" spans="1:29" ht="24" customHeight="1">
      <c r="A691" s="396" t="s">
        <v>708</v>
      </c>
      <c r="B691" s="328"/>
      <c r="C691" s="328"/>
      <c r="D691" s="396" t="s">
        <v>714</v>
      </c>
      <c r="E691" s="328"/>
      <c r="F691" s="328"/>
      <c r="G691" s="328"/>
      <c r="H691" s="328"/>
      <c r="I691" s="328"/>
      <c r="J691" s="328"/>
      <c r="K691" s="328"/>
      <c r="L691" s="209"/>
      <c r="M691" s="247"/>
      <c r="N691" s="339">
        <v>0</v>
      </c>
      <c r="O691" s="339">
        <v>3521</v>
      </c>
      <c r="P691" s="216">
        <v>2653</v>
      </c>
      <c r="Q691" s="216">
        <v>2653</v>
      </c>
      <c r="R691" s="223">
        <v>2879</v>
      </c>
      <c r="S691" s="223">
        <f>ROUND(R691*1.05,0)</f>
        <v>3023</v>
      </c>
      <c r="T691" s="223">
        <f t="shared" ref="T691:V691" si="214">ROUND(S691*1.05,0)</f>
        <v>3174</v>
      </c>
      <c r="U691" s="223">
        <f t="shared" si="214"/>
        <v>3333</v>
      </c>
      <c r="V691" s="223">
        <f t="shared" si="214"/>
        <v>3500</v>
      </c>
      <c r="X691" s="656"/>
      <c r="Y691" s="657"/>
      <c r="Z691" s="656"/>
      <c r="AA691" s="657"/>
      <c r="AC691" s="213"/>
    </row>
    <row r="692" spans="1:29" ht="24" customHeight="1">
      <c r="A692" s="396" t="s">
        <v>722</v>
      </c>
      <c r="B692" s="328"/>
      <c r="C692" s="328"/>
      <c r="D692" s="396" t="s">
        <v>716</v>
      </c>
      <c r="E692" s="328"/>
      <c r="F692" s="328"/>
      <c r="G692" s="328"/>
      <c r="H692" s="328"/>
      <c r="I692" s="328"/>
      <c r="J692" s="328"/>
      <c r="K692" s="328"/>
      <c r="L692" s="209"/>
      <c r="M692" s="247"/>
      <c r="N692" s="339">
        <v>0</v>
      </c>
      <c r="O692" s="339">
        <v>378</v>
      </c>
      <c r="P692" s="216">
        <v>307</v>
      </c>
      <c r="Q692" s="216">
        <v>307</v>
      </c>
      <c r="R692" s="223">
        <v>369</v>
      </c>
      <c r="S692" s="223">
        <f>ROUND(R692*1.03,0)</f>
        <v>380</v>
      </c>
      <c r="T692" s="223">
        <f t="shared" ref="T692:V692" si="215">ROUND(S692*1.03,0)</f>
        <v>391</v>
      </c>
      <c r="U692" s="223">
        <f t="shared" si="215"/>
        <v>403</v>
      </c>
      <c r="V692" s="223">
        <f t="shared" si="215"/>
        <v>415</v>
      </c>
      <c r="X692" s="656"/>
      <c r="Y692" s="657"/>
      <c r="Z692" s="656"/>
      <c r="AA692" s="657"/>
      <c r="AC692" s="213"/>
    </row>
    <row r="693" spans="1:29" ht="24" customHeight="1">
      <c r="A693" s="396" t="s">
        <v>687</v>
      </c>
      <c r="B693" s="328"/>
      <c r="C693" s="328"/>
      <c r="D693" s="396" t="s">
        <v>206</v>
      </c>
      <c r="E693" s="328"/>
      <c r="F693" s="328"/>
      <c r="G693" s="328"/>
      <c r="H693" s="328"/>
      <c r="I693" s="328"/>
      <c r="J693" s="328"/>
      <c r="K693" s="328"/>
      <c r="L693" s="209"/>
      <c r="M693" s="247"/>
      <c r="N693" s="339">
        <v>0</v>
      </c>
      <c r="O693" s="339">
        <v>552</v>
      </c>
      <c r="P693" s="216">
        <v>2500</v>
      </c>
      <c r="Q693" s="216">
        <v>2000</v>
      </c>
      <c r="R693" s="215">
        <v>2000</v>
      </c>
      <c r="S693" s="215">
        <v>2000</v>
      </c>
      <c r="T693" s="215">
        <v>2000</v>
      </c>
      <c r="U693" s="215">
        <v>2000</v>
      </c>
      <c r="V693" s="215">
        <v>2000</v>
      </c>
    </row>
    <row r="694" spans="1:29" ht="24" customHeight="1">
      <c r="A694" s="396" t="s">
        <v>685</v>
      </c>
      <c r="B694" s="328"/>
      <c r="C694" s="328"/>
      <c r="D694" s="396" t="s">
        <v>270</v>
      </c>
      <c r="E694" s="328"/>
      <c r="F694" s="328"/>
      <c r="G694" s="328"/>
      <c r="H694" s="328"/>
      <c r="I694" s="328"/>
      <c r="J694" s="328"/>
      <c r="K694" s="328"/>
      <c r="L694" s="209"/>
      <c r="M694" s="247"/>
      <c r="N694" s="339">
        <v>0</v>
      </c>
      <c r="O694" s="339">
        <v>13811</v>
      </c>
      <c r="P694" s="216">
        <v>16004</v>
      </c>
      <c r="Q694" s="216">
        <v>16004</v>
      </c>
      <c r="R694" s="215">
        <f>ROUND(Q694*1.06,0)</f>
        <v>16964</v>
      </c>
      <c r="S694" s="215">
        <f>ROUND(R694*1.06,0)</f>
        <v>17982</v>
      </c>
      <c r="T694" s="215">
        <f>ROUND(S694*1.06,0)</f>
        <v>19061</v>
      </c>
      <c r="U694" s="215">
        <f>ROUND(T694*1.06,0)</f>
        <v>20205</v>
      </c>
      <c r="V694" s="215">
        <f>ROUND(U694*1.06,0)</f>
        <v>21417</v>
      </c>
    </row>
    <row r="695" spans="1:29" ht="24" customHeight="1">
      <c r="A695" s="396" t="s">
        <v>1113</v>
      </c>
      <c r="B695" s="397"/>
      <c r="C695" s="397"/>
      <c r="D695" s="396" t="s">
        <v>1119</v>
      </c>
      <c r="E695" s="397"/>
      <c r="F695" s="397"/>
      <c r="G695" s="397"/>
      <c r="H695" s="397"/>
      <c r="I695" s="397"/>
      <c r="J695" s="397"/>
      <c r="K695" s="397"/>
      <c r="L695" s="218"/>
      <c r="M695" s="264"/>
      <c r="N695" s="340">
        <v>83045</v>
      </c>
      <c r="O695" s="340">
        <v>0</v>
      </c>
      <c r="P695" s="216">
        <v>0</v>
      </c>
      <c r="Q695" s="216">
        <v>0</v>
      </c>
      <c r="R695" s="221">
        <v>0</v>
      </c>
      <c r="S695" s="221">
        <v>0</v>
      </c>
      <c r="T695" s="221">
        <v>0</v>
      </c>
      <c r="U695" s="221">
        <v>0</v>
      </c>
      <c r="V695" s="221">
        <v>0</v>
      </c>
      <c r="X695" s="213"/>
    </row>
    <row r="696" spans="1:29" ht="24" customHeight="1">
      <c r="A696" s="396" t="s">
        <v>1050</v>
      </c>
      <c r="B696" s="328"/>
      <c r="C696" s="328"/>
      <c r="D696" s="328" t="s">
        <v>1045</v>
      </c>
      <c r="E696" s="328"/>
      <c r="F696" s="328"/>
      <c r="G696" s="328"/>
      <c r="H696" s="328"/>
      <c r="I696" s="328"/>
      <c r="J696" s="328"/>
      <c r="K696" s="328"/>
      <c r="L696" s="209"/>
      <c r="M696" s="247"/>
      <c r="N696" s="339">
        <v>4000</v>
      </c>
      <c r="O696" s="339">
        <v>24000</v>
      </c>
      <c r="P696" s="216">
        <v>0</v>
      </c>
      <c r="Q696" s="216">
        <f>Q667</f>
        <v>0</v>
      </c>
      <c r="R696" s="215">
        <f t="shared" ref="R696:U696" si="216">R667</f>
        <v>0</v>
      </c>
      <c r="S696" s="215">
        <f t="shared" si="216"/>
        <v>0</v>
      </c>
      <c r="T696" s="215">
        <f t="shared" si="216"/>
        <v>0</v>
      </c>
      <c r="U696" s="215">
        <f t="shared" si="216"/>
        <v>0</v>
      </c>
      <c r="V696" s="215">
        <f t="shared" ref="V696" si="217">V667</f>
        <v>0</v>
      </c>
      <c r="X696" s="213"/>
    </row>
    <row r="697" spans="1:29" ht="24" customHeight="1">
      <c r="A697" s="396" t="s">
        <v>456</v>
      </c>
      <c r="B697" s="397"/>
      <c r="C697" s="397"/>
      <c r="D697" s="396" t="s">
        <v>99</v>
      </c>
      <c r="E697" s="397"/>
      <c r="F697" s="397"/>
      <c r="G697" s="397"/>
      <c r="H697" s="397"/>
      <c r="I697" s="397"/>
      <c r="J697" s="397"/>
      <c r="K697" s="397"/>
      <c r="L697" s="218"/>
      <c r="M697" s="247"/>
      <c r="N697" s="339">
        <v>0</v>
      </c>
      <c r="O697" s="339">
        <v>0</v>
      </c>
      <c r="P697" s="216">
        <v>500</v>
      </c>
      <c r="Q697" s="216">
        <v>500</v>
      </c>
      <c r="R697" s="215">
        <v>500</v>
      </c>
      <c r="S697" s="215">
        <v>500</v>
      </c>
      <c r="T697" s="215">
        <v>500</v>
      </c>
      <c r="U697" s="215">
        <v>500</v>
      </c>
      <c r="V697" s="215">
        <v>500</v>
      </c>
    </row>
    <row r="698" spans="1:29" ht="24" customHeight="1">
      <c r="A698" s="396" t="s">
        <v>457</v>
      </c>
      <c r="B698" s="328"/>
      <c r="C698" s="328"/>
      <c r="D698" s="396" t="s">
        <v>1319</v>
      </c>
      <c r="E698" s="328"/>
      <c r="F698" s="328"/>
      <c r="G698" s="397"/>
      <c r="H698" s="397"/>
      <c r="I698" s="397"/>
      <c r="J698" s="397"/>
      <c r="K698" s="397"/>
      <c r="L698" s="218"/>
      <c r="M698" s="247"/>
      <c r="N698" s="339">
        <v>0</v>
      </c>
      <c r="O698" s="339">
        <v>43</v>
      </c>
      <c r="P698" s="216">
        <v>500</v>
      </c>
      <c r="Q698" s="216">
        <v>500</v>
      </c>
      <c r="R698" s="215">
        <v>500</v>
      </c>
      <c r="S698" s="215">
        <v>500</v>
      </c>
      <c r="T698" s="215">
        <v>500</v>
      </c>
      <c r="U698" s="215">
        <v>500</v>
      </c>
      <c r="V698" s="215">
        <v>500</v>
      </c>
    </row>
    <row r="699" spans="1:29" ht="24" customHeight="1">
      <c r="A699" s="396" t="s">
        <v>844</v>
      </c>
      <c r="B699" s="328"/>
      <c r="C699" s="328"/>
      <c r="D699" s="396" t="s">
        <v>1320</v>
      </c>
      <c r="E699" s="328"/>
      <c r="F699" s="328"/>
      <c r="G699" s="397"/>
      <c r="H699" s="397"/>
      <c r="I699" s="397"/>
      <c r="J699" s="397"/>
      <c r="K699" s="397"/>
      <c r="L699" s="218"/>
      <c r="M699" s="247"/>
      <c r="N699" s="339">
        <v>0</v>
      </c>
      <c r="O699" s="339">
        <v>29</v>
      </c>
      <c r="P699" s="216">
        <v>100</v>
      </c>
      <c r="Q699" s="216">
        <v>100</v>
      </c>
      <c r="R699" s="215">
        <v>100</v>
      </c>
      <c r="S699" s="215">
        <v>100</v>
      </c>
      <c r="T699" s="215">
        <v>100</v>
      </c>
      <c r="U699" s="215">
        <v>100</v>
      </c>
      <c r="V699" s="215">
        <v>100</v>
      </c>
    </row>
    <row r="700" spans="1:29" ht="24" customHeight="1">
      <c r="A700" s="396" t="s">
        <v>458</v>
      </c>
      <c r="B700" s="328"/>
      <c r="C700" s="328"/>
      <c r="D700" s="396" t="s">
        <v>265</v>
      </c>
      <c r="E700" s="328"/>
      <c r="F700" s="397"/>
      <c r="G700" s="328"/>
      <c r="H700" s="328"/>
      <c r="I700" s="328"/>
      <c r="J700" s="328"/>
      <c r="K700" s="328"/>
      <c r="L700" s="209"/>
      <c r="M700" s="247"/>
      <c r="N700" s="339">
        <v>1699</v>
      </c>
      <c r="O700" s="339">
        <v>1521</v>
      </c>
      <c r="P700" s="216">
        <v>2500</v>
      </c>
      <c r="Q700" s="216">
        <v>2500</v>
      </c>
      <c r="R700" s="215">
        <v>2500</v>
      </c>
      <c r="S700" s="215">
        <v>2500</v>
      </c>
      <c r="T700" s="215">
        <v>2500</v>
      </c>
      <c r="U700" s="215">
        <v>2500</v>
      </c>
      <c r="V700" s="215">
        <v>2500</v>
      </c>
      <c r="X700" s="213"/>
    </row>
    <row r="701" spans="1:29" ht="24" customHeight="1">
      <c r="A701" s="396" t="s">
        <v>879</v>
      </c>
      <c r="B701" s="328"/>
      <c r="C701" s="328"/>
      <c r="D701" s="396" t="s">
        <v>880</v>
      </c>
      <c r="E701" s="553"/>
      <c r="F701" s="552"/>
      <c r="G701" s="553"/>
      <c r="H701" s="553"/>
      <c r="I701" s="553"/>
      <c r="J701" s="553"/>
      <c r="K701" s="553"/>
      <c r="L701" s="209"/>
      <c r="M701" s="247"/>
      <c r="N701" s="339">
        <v>16541</v>
      </c>
      <c r="O701" s="339">
        <v>9695</v>
      </c>
      <c r="P701" s="216">
        <v>15750</v>
      </c>
      <c r="Q701" s="216">
        <v>15750</v>
      </c>
      <c r="R701" s="215">
        <f>ROUND(Q701*1.05,0)</f>
        <v>16538</v>
      </c>
      <c r="S701" s="215">
        <f t="shared" ref="S701:V701" si="218">ROUND(R701*1.05,0)</f>
        <v>17365</v>
      </c>
      <c r="T701" s="215">
        <f t="shared" si="218"/>
        <v>18233</v>
      </c>
      <c r="U701" s="215">
        <f t="shared" si="218"/>
        <v>19145</v>
      </c>
      <c r="V701" s="215">
        <f t="shared" si="218"/>
        <v>20102</v>
      </c>
      <c r="X701" s="217"/>
    </row>
    <row r="702" spans="1:29" ht="24" customHeight="1">
      <c r="A702" s="396" t="s">
        <v>459</v>
      </c>
      <c r="B702" s="328"/>
      <c r="C702" s="328"/>
      <c r="D702" s="396" t="s">
        <v>10</v>
      </c>
      <c r="E702" s="328"/>
      <c r="F702" s="328"/>
      <c r="G702" s="397"/>
      <c r="H702" s="397"/>
      <c r="I702" s="397"/>
      <c r="J702" s="397"/>
      <c r="K702" s="397"/>
      <c r="L702" s="218"/>
      <c r="M702" s="247"/>
      <c r="N702" s="339">
        <v>5960</v>
      </c>
      <c r="O702" s="339">
        <v>2893</v>
      </c>
      <c r="P702" s="216">
        <v>5000</v>
      </c>
      <c r="Q702" s="216">
        <v>5000</v>
      </c>
      <c r="R702" s="215">
        <v>7500</v>
      </c>
      <c r="S702" s="215">
        <v>7500</v>
      </c>
      <c r="T702" s="215">
        <v>7500</v>
      </c>
      <c r="U702" s="215">
        <v>7500</v>
      </c>
      <c r="V702" s="215">
        <v>7500</v>
      </c>
    </row>
    <row r="703" spans="1:29" ht="24" customHeight="1">
      <c r="A703" s="396" t="s">
        <v>460</v>
      </c>
      <c r="B703" s="397"/>
      <c r="C703" s="397"/>
      <c r="D703" s="396" t="s">
        <v>18</v>
      </c>
      <c r="E703" s="542"/>
      <c r="F703" s="542"/>
      <c r="G703" s="542"/>
      <c r="H703" s="542"/>
      <c r="I703" s="542"/>
      <c r="J703" s="542"/>
      <c r="K703" s="542"/>
      <c r="L703" s="218"/>
      <c r="M703" s="247"/>
      <c r="N703" s="340">
        <v>19782</v>
      </c>
      <c r="O703" s="340">
        <v>36672</v>
      </c>
      <c r="P703" s="225">
        <v>44100</v>
      </c>
      <c r="Q703" s="225">
        <v>44100</v>
      </c>
      <c r="R703" s="215">
        <f>ROUND(Q703*1.15,0)</f>
        <v>50715</v>
      </c>
      <c r="S703" s="215">
        <f>ROUND(R703*1.06,0)</f>
        <v>53758</v>
      </c>
      <c r="T703" s="215">
        <f t="shared" ref="T703:V703" si="219">ROUND(S703*1.06,0)</f>
        <v>56983</v>
      </c>
      <c r="U703" s="215">
        <f t="shared" si="219"/>
        <v>60402</v>
      </c>
      <c r="V703" s="215">
        <f t="shared" si="219"/>
        <v>64026</v>
      </c>
      <c r="X703" s="217"/>
    </row>
    <row r="704" spans="1:29" ht="24" customHeight="1">
      <c r="A704" s="396" t="s">
        <v>461</v>
      </c>
      <c r="B704" s="397"/>
      <c r="C704" s="397"/>
      <c r="D704" s="396" t="s">
        <v>94</v>
      </c>
      <c r="E704" s="397"/>
      <c r="F704" s="397"/>
      <c r="G704" s="328"/>
      <c r="H704" s="328"/>
      <c r="I704" s="328"/>
      <c r="J704" s="328"/>
      <c r="K704" s="328"/>
      <c r="L704" s="209"/>
      <c r="M704" s="209"/>
      <c r="N704" s="360">
        <v>396</v>
      </c>
      <c r="O704" s="360">
        <v>492</v>
      </c>
      <c r="P704" s="269">
        <v>1500</v>
      </c>
      <c r="Q704" s="269">
        <v>1500</v>
      </c>
      <c r="R704" s="268">
        <v>1500</v>
      </c>
      <c r="S704" s="268">
        <v>1500</v>
      </c>
      <c r="T704" s="268">
        <v>1500</v>
      </c>
      <c r="U704" s="268">
        <v>1500</v>
      </c>
      <c r="V704" s="268">
        <v>1500</v>
      </c>
    </row>
    <row r="705" spans="1:26" ht="24" customHeight="1">
      <c r="A705" s="396" t="s">
        <v>1201</v>
      </c>
      <c r="B705" s="397"/>
      <c r="C705" s="397"/>
      <c r="D705" s="396" t="s">
        <v>1196</v>
      </c>
      <c r="E705" s="397"/>
      <c r="F705" s="397"/>
      <c r="G705" s="397"/>
      <c r="H705" s="397"/>
      <c r="I705" s="397"/>
      <c r="J705" s="397"/>
      <c r="K705" s="397"/>
      <c r="L705" s="218"/>
      <c r="M705" s="259"/>
      <c r="N705" s="356">
        <v>3997</v>
      </c>
      <c r="O705" s="356">
        <v>8388</v>
      </c>
      <c r="P705" s="270">
        <v>5000</v>
      </c>
      <c r="Q705" s="270">
        <v>5000</v>
      </c>
      <c r="R705" s="260">
        <v>5000</v>
      </c>
      <c r="S705" s="260">
        <v>5000</v>
      </c>
      <c r="T705" s="260">
        <v>5000</v>
      </c>
      <c r="U705" s="260">
        <v>5000</v>
      </c>
      <c r="V705" s="260">
        <v>5000</v>
      </c>
      <c r="X705" s="213"/>
    </row>
    <row r="706" spans="1:26" ht="24" customHeight="1">
      <c r="A706" s="396" t="s">
        <v>1377</v>
      </c>
      <c r="B706" s="535"/>
      <c r="C706" s="535"/>
      <c r="D706" s="396" t="s">
        <v>1375</v>
      </c>
      <c r="E706" s="552"/>
      <c r="F706" s="552"/>
      <c r="G706" s="552"/>
      <c r="H706" s="552"/>
      <c r="I706" s="552"/>
      <c r="J706" s="552"/>
      <c r="K706" s="552"/>
      <c r="L706" s="218"/>
      <c r="M706" s="259"/>
      <c r="N706" s="356">
        <v>0</v>
      </c>
      <c r="O706" s="356">
        <v>0</v>
      </c>
      <c r="P706" s="270">
        <v>0</v>
      </c>
      <c r="Q706" s="270">
        <v>0</v>
      </c>
      <c r="R706" s="260">
        <v>4000</v>
      </c>
      <c r="S706" s="260">
        <v>4000</v>
      </c>
      <c r="T706" s="260">
        <v>4000</v>
      </c>
      <c r="U706" s="260">
        <v>4000</v>
      </c>
      <c r="V706" s="260">
        <v>4000</v>
      </c>
      <c r="X706" s="213"/>
    </row>
    <row r="707" spans="1:26" ht="24" customHeight="1">
      <c r="A707" s="396" t="s">
        <v>855</v>
      </c>
      <c r="B707" s="397"/>
      <c r="C707" s="397"/>
      <c r="D707" s="396" t="s">
        <v>364</v>
      </c>
      <c r="E707" s="397"/>
      <c r="F707" s="397"/>
      <c r="G707" s="397"/>
      <c r="H707" s="397"/>
      <c r="I707" s="397"/>
      <c r="J707" s="397"/>
      <c r="K707" s="397"/>
      <c r="L707" s="218"/>
      <c r="M707" s="259"/>
      <c r="N707" s="356">
        <v>2511</v>
      </c>
      <c r="O707" s="356">
        <v>2812</v>
      </c>
      <c r="P707" s="270">
        <v>3000</v>
      </c>
      <c r="Q707" s="270">
        <v>3000</v>
      </c>
      <c r="R707" s="260">
        <v>3725</v>
      </c>
      <c r="S707" s="260">
        <v>3350</v>
      </c>
      <c r="T707" s="260">
        <v>3350</v>
      </c>
      <c r="U707" s="260">
        <v>3350</v>
      </c>
      <c r="V707" s="260">
        <v>3350</v>
      </c>
    </row>
    <row r="708" spans="1:26" ht="24" customHeight="1">
      <c r="A708" s="396" t="s">
        <v>854</v>
      </c>
      <c r="B708" s="397"/>
      <c r="C708" s="397"/>
      <c r="D708" s="396" t="s">
        <v>19</v>
      </c>
      <c r="E708" s="397"/>
      <c r="F708" s="397"/>
      <c r="G708" s="397"/>
      <c r="H708" s="397"/>
      <c r="I708" s="397"/>
      <c r="J708" s="397"/>
      <c r="K708" s="397"/>
      <c r="L708" s="218"/>
      <c r="M708" s="247"/>
      <c r="N708" s="339">
        <v>2529</v>
      </c>
      <c r="O708" s="339">
        <v>2632</v>
      </c>
      <c r="P708" s="216">
        <v>3000</v>
      </c>
      <c r="Q708" s="216">
        <v>3000</v>
      </c>
      <c r="R708" s="215">
        <v>3000</v>
      </c>
      <c r="S708" s="215">
        <v>3000</v>
      </c>
      <c r="T708" s="215">
        <v>3000</v>
      </c>
      <c r="U708" s="215">
        <v>3000</v>
      </c>
      <c r="V708" s="215">
        <v>3000</v>
      </c>
    </row>
    <row r="709" spans="1:26" ht="24" customHeight="1">
      <c r="A709" s="396" t="s">
        <v>462</v>
      </c>
      <c r="B709" s="397"/>
      <c r="C709" s="397"/>
      <c r="D709" s="396" t="s">
        <v>105</v>
      </c>
      <c r="E709" s="397"/>
      <c r="F709" s="397"/>
      <c r="G709" s="397"/>
      <c r="H709" s="397"/>
      <c r="I709" s="397"/>
      <c r="J709" s="397"/>
      <c r="K709" s="397"/>
      <c r="L709" s="218"/>
      <c r="M709" s="247"/>
      <c r="N709" s="339">
        <v>2753</v>
      </c>
      <c r="O709" s="339">
        <v>3194</v>
      </c>
      <c r="P709" s="216">
        <v>2500</v>
      </c>
      <c r="Q709" s="216">
        <v>2500</v>
      </c>
      <c r="R709" s="215">
        <v>2500</v>
      </c>
      <c r="S709" s="215">
        <v>2500</v>
      </c>
      <c r="T709" s="215">
        <v>2500</v>
      </c>
      <c r="U709" s="215">
        <v>2500</v>
      </c>
      <c r="V709" s="215">
        <v>2500</v>
      </c>
    </row>
    <row r="710" spans="1:26" ht="24" customHeight="1">
      <c r="A710" s="396" t="s">
        <v>463</v>
      </c>
      <c r="B710" s="397"/>
      <c r="C710" s="397"/>
      <c r="D710" s="396" t="s">
        <v>11</v>
      </c>
      <c r="E710" s="535"/>
      <c r="F710" s="535"/>
      <c r="G710" s="535"/>
      <c r="H710" s="535"/>
      <c r="I710" s="535"/>
      <c r="J710" s="535"/>
      <c r="K710" s="535"/>
      <c r="L710" s="218"/>
      <c r="M710" s="247"/>
      <c r="N710" s="339">
        <v>519</v>
      </c>
      <c r="O710" s="339">
        <v>1264</v>
      </c>
      <c r="P710" s="216">
        <v>2000</v>
      </c>
      <c r="Q710" s="216">
        <v>2000</v>
      </c>
      <c r="R710" s="215">
        <v>2000</v>
      </c>
      <c r="S710" s="215">
        <v>2000</v>
      </c>
      <c r="T710" s="215">
        <v>2000</v>
      </c>
      <c r="U710" s="215">
        <v>2000</v>
      </c>
      <c r="V710" s="215">
        <v>2000</v>
      </c>
    </row>
    <row r="711" spans="1:26" ht="24" customHeight="1">
      <c r="A711" s="396" t="s">
        <v>464</v>
      </c>
      <c r="B711" s="397"/>
      <c r="C711" s="397"/>
      <c r="D711" s="396" t="s">
        <v>465</v>
      </c>
      <c r="E711" s="552"/>
      <c r="F711" s="552"/>
      <c r="G711" s="552"/>
      <c r="H711" s="552"/>
      <c r="I711" s="552"/>
      <c r="J711" s="552"/>
      <c r="K711" s="552"/>
      <c r="L711" s="218"/>
      <c r="M711" s="229"/>
      <c r="N711" s="340">
        <v>1312</v>
      </c>
      <c r="O711" s="340">
        <v>3071</v>
      </c>
      <c r="P711" s="212">
        <v>10500</v>
      </c>
      <c r="Q711" s="212">
        <v>10500</v>
      </c>
      <c r="R711" s="211">
        <v>12000</v>
      </c>
      <c r="S711" s="211">
        <v>12000</v>
      </c>
      <c r="T711" s="211">
        <v>12000</v>
      </c>
      <c r="U711" s="211">
        <v>12000</v>
      </c>
      <c r="V711" s="211">
        <v>12000</v>
      </c>
      <c r="X711" s="217"/>
    </row>
    <row r="712" spans="1:26" ht="24" customHeight="1">
      <c r="A712" s="396" t="s">
        <v>466</v>
      </c>
      <c r="B712" s="397"/>
      <c r="C712" s="397"/>
      <c r="D712" s="396" t="s">
        <v>12</v>
      </c>
      <c r="E712" s="535"/>
      <c r="F712" s="535"/>
      <c r="G712" s="535"/>
      <c r="H712" s="535"/>
      <c r="I712" s="535"/>
      <c r="J712" s="535"/>
      <c r="K712" s="397"/>
      <c r="L712" s="218"/>
      <c r="M712" s="247"/>
      <c r="N712" s="339">
        <v>3690</v>
      </c>
      <c r="O712" s="339">
        <v>4413</v>
      </c>
      <c r="P712" s="216">
        <v>4500</v>
      </c>
      <c r="Q712" s="216">
        <v>4500</v>
      </c>
      <c r="R712" s="215">
        <f t="shared" ref="R712:V712" si="220">2500+2000</f>
        <v>4500</v>
      </c>
      <c r="S712" s="215">
        <f t="shared" si="220"/>
        <v>4500</v>
      </c>
      <c r="T712" s="215">
        <f t="shared" si="220"/>
        <v>4500</v>
      </c>
      <c r="U712" s="215">
        <f t="shared" si="220"/>
        <v>4500</v>
      </c>
      <c r="V712" s="215">
        <f t="shared" si="220"/>
        <v>4500</v>
      </c>
    </row>
    <row r="713" spans="1:26" ht="24" customHeight="1">
      <c r="A713" s="396" t="s">
        <v>1202</v>
      </c>
      <c r="B713" s="397"/>
      <c r="C713" s="397"/>
      <c r="D713" s="396" t="s">
        <v>1198</v>
      </c>
      <c r="E713" s="397"/>
      <c r="F713" s="397"/>
      <c r="G713" s="397"/>
      <c r="H713" s="397"/>
      <c r="I713" s="397"/>
      <c r="J713" s="397"/>
      <c r="K713" s="397"/>
      <c r="L713" s="218"/>
      <c r="M713" s="247"/>
      <c r="N713" s="339">
        <v>0</v>
      </c>
      <c r="O713" s="339">
        <v>0</v>
      </c>
      <c r="P713" s="216">
        <v>2000</v>
      </c>
      <c r="Q713" s="216">
        <v>2000</v>
      </c>
      <c r="R713" s="215">
        <v>2000</v>
      </c>
      <c r="S713" s="215">
        <v>2000</v>
      </c>
      <c r="T713" s="215">
        <v>2000</v>
      </c>
      <c r="U713" s="215">
        <v>2000</v>
      </c>
      <c r="V713" s="215">
        <v>2000</v>
      </c>
      <c r="W713" s="519"/>
      <c r="X713" s="696"/>
      <c r="Y713" s="696"/>
      <c r="Z713" s="696"/>
    </row>
    <row r="714" spans="1:26" ht="24" customHeight="1">
      <c r="A714" s="396" t="s">
        <v>467</v>
      </c>
      <c r="B714" s="397"/>
      <c r="C714" s="397"/>
      <c r="D714" s="396" t="s">
        <v>17</v>
      </c>
      <c r="E714" s="397"/>
      <c r="F714" s="397"/>
      <c r="G714" s="397"/>
      <c r="H714" s="397"/>
      <c r="I714" s="397"/>
      <c r="J714" s="397"/>
      <c r="K714" s="397"/>
      <c r="L714" s="218"/>
      <c r="M714" s="247"/>
      <c r="N714" s="339">
        <v>781</v>
      </c>
      <c r="O714" s="339">
        <v>2481</v>
      </c>
      <c r="P714" s="216">
        <v>2500</v>
      </c>
      <c r="Q714" s="216">
        <v>2500</v>
      </c>
      <c r="R714" s="215">
        <f>1000+500+1000</f>
        <v>2500</v>
      </c>
      <c r="S714" s="215">
        <f>1000+500+1000</f>
        <v>2500</v>
      </c>
      <c r="T714" s="215">
        <f>1000+500+1000</f>
        <v>2500</v>
      </c>
      <c r="U714" s="215">
        <f>1000+500+1000</f>
        <v>2500</v>
      </c>
      <c r="V714" s="215">
        <f>1000+500+1000</f>
        <v>2500</v>
      </c>
      <c r="X714" s="710"/>
      <c r="Y714" s="708"/>
      <c r="Z714" s="656"/>
    </row>
    <row r="715" spans="1:26" ht="24" customHeight="1">
      <c r="A715" s="396" t="s">
        <v>468</v>
      </c>
      <c r="B715" s="397"/>
      <c r="C715" s="397"/>
      <c r="D715" s="396" t="s">
        <v>274</v>
      </c>
      <c r="E715" s="397"/>
      <c r="F715" s="397"/>
      <c r="G715" s="414"/>
      <c r="H715" s="414"/>
      <c r="I715" s="414"/>
      <c r="J715" s="414"/>
      <c r="K715" s="414"/>
      <c r="L715" s="311"/>
      <c r="M715" s="247"/>
      <c r="N715" s="339">
        <v>77</v>
      </c>
      <c r="O715" s="339">
        <v>0</v>
      </c>
      <c r="P715" s="216">
        <v>1200</v>
      </c>
      <c r="Q715" s="216">
        <v>1200</v>
      </c>
      <c r="R715" s="215">
        <v>1200</v>
      </c>
      <c r="S715" s="215">
        <v>1200</v>
      </c>
      <c r="T715" s="215">
        <v>1200</v>
      </c>
      <c r="U715" s="215">
        <v>1200</v>
      </c>
      <c r="V715" s="215">
        <v>1200</v>
      </c>
      <c r="X715" s="710"/>
      <c r="Y715" s="708"/>
      <c r="Z715" s="656"/>
    </row>
    <row r="716" spans="1:26" ht="24" customHeight="1">
      <c r="A716" s="396" t="s">
        <v>469</v>
      </c>
      <c r="B716" s="397"/>
      <c r="C716" s="397"/>
      <c r="D716" s="396" t="s">
        <v>1322</v>
      </c>
      <c r="E716" s="552"/>
      <c r="F716" s="552"/>
      <c r="G716" s="552"/>
      <c r="H716" s="552"/>
      <c r="I716" s="552"/>
      <c r="J716" s="552"/>
      <c r="K716" s="552"/>
      <c r="L716" s="218"/>
      <c r="M716" s="229"/>
      <c r="N716" s="337">
        <v>5246</v>
      </c>
      <c r="O716" s="337">
        <v>7547</v>
      </c>
      <c r="P716" s="212">
        <v>26750</v>
      </c>
      <c r="Q716" s="212">
        <v>26750</v>
      </c>
      <c r="R716" s="211">
        <v>30000</v>
      </c>
      <c r="S716" s="211">
        <v>30000</v>
      </c>
      <c r="T716" s="211">
        <v>30000</v>
      </c>
      <c r="U716" s="211">
        <v>30000</v>
      </c>
      <c r="V716" s="211">
        <v>30000</v>
      </c>
      <c r="X716" s="710"/>
      <c r="Y716" s="708"/>
      <c r="Z716" s="656"/>
    </row>
    <row r="717" spans="1:26" ht="24" customHeight="1">
      <c r="A717" s="396" t="s">
        <v>470</v>
      </c>
      <c r="B717" s="397"/>
      <c r="C717" s="397"/>
      <c r="D717" s="396" t="s">
        <v>161</v>
      </c>
      <c r="E717" s="542"/>
      <c r="F717" s="542"/>
      <c r="G717" s="542"/>
      <c r="H717" s="542"/>
      <c r="I717" s="542"/>
      <c r="J717" s="542"/>
      <c r="K717" s="542"/>
      <c r="L717" s="218"/>
      <c r="M717" s="247"/>
      <c r="N717" s="340">
        <v>31003</v>
      </c>
      <c r="O717" s="340">
        <v>22408</v>
      </c>
      <c r="P717" s="225">
        <v>31256</v>
      </c>
      <c r="Q717" s="225">
        <v>31256</v>
      </c>
      <c r="R717" s="221">
        <f>ROUND(Q717*1.07,0)</f>
        <v>33444</v>
      </c>
      <c r="S717" s="221">
        <f t="shared" ref="S717:V717" si="221">ROUND(R717*1.07,0)</f>
        <v>35785</v>
      </c>
      <c r="T717" s="221">
        <f t="shared" si="221"/>
        <v>38290</v>
      </c>
      <c r="U717" s="221">
        <f t="shared" si="221"/>
        <v>40970</v>
      </c>
      <c r="V717" s="221">
        <f t="shared" si="221"/>
        <v>43838</v>
      </c>
      <c r="X717" s="213"/>
    </row>
    <row r="718" spans="1:26" ht="24" customHeight="1">
      <c r="A718" s="396" t="s">
        <v>1337</v>
      </c>
      <c r="B718" s="397"/>
      <c r="C718" s="397"/>
      <c r="D718" s="398" t="s">
        <v>1331</v>
      </c>
      <c r="E718" s="397"/>
      <c r="F718" s="397"/>
      <c r="G718" s="397"/>
      <c r="H718" s="397"/>
      <c r="I718" s="397"/>
      <c r="J718" s="397"/>
      <c r="K718" s="397"/>
      <c r="L718" s="218"/>
      <c r="M718" s="247"/>
      <c r="N718" s="340">
        <v>0</v>
      </c>
      <c r="O718" s="340">
        <v>0</v>
      </c>
      <c r="P718" s="225">
        <v>0</v>
      </c>
      <c r="Q718" s="225">
        <v>0</v>
      </c>
      <c r="R718" s="221">
        <v>200000</v>
      </c>
      <c r="S718" s="221">
        <v>200000</v>
      </c>
      <c r="T718" s="221">
        <v>200000</v>
      </c>
      <c r="U718" s="221">
        <v>200000</v>
      </c>
      <c r="V718" s="221">
        <v>200000</v>
      </c>
      <c r="X718" s="213"/>
    </row>
    <row r="719" spans="1:26" ht="24" customHeight="1">
      <c r="A719" s="396" t="s">
        <v>1234</v>
      </c>
      <c r="B719" s="397"/>
      <c r="C719" s="397"/>
      <c r="D719" s="396" t="s">
        <v>335</v>
      </c>
      <c r="E719" s="397"/>
      <c r="F719" s="397"/>
      <c r="G719" s="397"/>
      <c r="H719" s="397"/>
      <c r="I719" s="397"/>
      <c r="J719" s="397"/>
      <c r="K719" s="397"/>
      <c r="L719" s="218"/>
      <c r="M719" s="247"/>
      <c r="N719" s="340">
        <v>0</v>
      </c>
      <c r="O719" s="340">
        <v>0</v>
      </c>
      <c r="P719" s="225">
        <v>0</v>
      </c>
      <c r="Q719" s="225">
        <v>0</v>
      </c>
      <c r="R719" s="221">
        <v>333997</v>
      </c>
      <c r="S719" s="221">
        <v>0</v>
      </c>
      <c r="T719" s="221">
        <v>0</v>
      </c>
      <c r="U719" s="221">
        <v>0</v>
      </c>
      <c r="V719" s="221">
        <v>0</v>
      </c>
      <c r="X719" s="213"/>
    </row>
    <row r="720" spans="1:26" ht="24" customHeight="1">
      <c r="A720" s="396" t="s">
        <v>471</v>
      </c>
      <c r="B720" s="328"/>
      <c r="C720" s="328"/>
      <c r="D720" s="396" t="s">
        <v>330</v>
      </c>
      <c r="E720" s="328"/>
      <c r="F720" s="328"/>
      <c r="G720" s="328"/>
      <c r="H720" s="328"/>
      <c r="I720" s="328"/>
      <c r="J720" s="328"/>
      <c r="K720" s="328"/>
      <c r="L720" s="209"/>
      <c r="M720" s="214"/>
      <c r="N720" s="339">
        <v>25054</v>
      </c>
      <c r="O720" s="339">
        <v>38951</v>
      </c>
      <c r="P720" s="216">
        <v>66773</v>
      </c>
      <c r="Q720" s="216">
        <v>66773</v>
      </c>
      <c r="R720" s="211">
        <v>59098</v>
      </c>
      <c r="S720" s="211">
        <v>59098</v>
      </c>
      <c r="T720" s="211">
        <v>59098</v>
      </c>
      <c r="U720" s="211">
        <v>59098</v>
      </c>
      <c r="V720" s="211">
        <v>59098</v>
      </c>
      <c r="W720" s="515"/>
      <c r="X720" s="213"/>
    </row>
    <row r="721" spans="1:32" ht="24" customHeight="1">
      <c r="A721" s="396" t="s">
        <v>472</v>
      </c>
      <c r="B721" s="328"/>
      <c r="C721" s="328"/>
      <c r="D721" s="396" t="s">
        <v>473</v>
      </c>
      <c r="E721" s="328"/>
      <c r="F721" s="328"/>
      <c r="G721" s="328"/>
      <c r="H721" s="328"/>
      <c r="I721" s="328"/>
      <c r="J721" s="328"/>
      <c r="K721" s="328"/>
      <c r="L721" s="209"/>
      <c r="M721" s="214"/>
      <c r="N721" s="339">
        <v>30996</v>
      </c>
      <c r="O721" s="339">
        <v>30996</v>
      </c>
      <c r="P721" s="216">
        <v>0</v>
      </c>
      <c r="Q721" s="216">
        <v>0</v>
      </c>
      <c r="R721" s="215">
        <v>0</v>
      </c>
      <c r="S721" s="215">
        <v>0</v>
      </c>
      <c r="T721" s="215">
        <v>0</v>
      </c>
      <c r="U721" s="215">
        <v>0</v>
      </c>
      <c r="V721" s="215">
        <v>0</v>
      </c>
      <c r="X721" s="749" t="s">
        <v>1283</v>
      </c>
      <c r="Y721" s="749"/>
      <c r="Z721" s="749"/>
      <c r="AA721" s="749"/>
      <c r="AB721" s="749"/>
      <c r="AC721" s="749"/>
      <c r="AD721" s="749"/>
      <c r="AE721" s="545"/>
    </row>
    <row r="722" spans="1:32" ht="24" customHeight="1">
      <c r="A722" s="400" t="s">
        <v>474</v>
      </c>
      <c r="B722" s="400"/>
      <c r="C722" s="400"/>
      <c r="D722" s="400"/>
      <c r="E722" s="400"/>
      <c r="F722" s="400"/>
      <c r="G722" s="400"/>
      <c r="H722" s="400"/>
      <c r="I722" s="400"/>
      <c r="J722" s="400"/>
      <c r="K722" s="400"/>
      <c r="L722" s="240"/>
      <c r="M722" s="309"/>
      <c r="N722" s="348"/>
      <c r="O722" s="348"/>
      <c r="P722" s="238"/>
      <c r="Q722" s="238"/>
      <c r="R722" s="237"/>
      <c r="S722" s="237"/>
      <c r="T722" s="237"/>
      <c r="U722" s="237"/>
      <c r="V722" s="237"/>
      <c r="X722" s="637" t="s">
        <v>1266</v>
      </c>
      <c r="Y722" s="637" t="s">
        <v>1267</v>
      </c>
      <c r="Z722" s="637" t="s">
        <v>1268</v>
      </c>
      <c r="AA722" s="637" t="s">
        <v>1269</v>
      </c>
      <c r="AB722" s="637" t="s">
        <v>1270</v>
      </c>
      <c r="AC722" s="637" t="s">
        <v>1271</v>
      </c>
      <c r="AD722" s="637" t="s">
        <v>1272</v>
      </c>
      <c r="AF722" s="322"/>
    </row>
    <row r="723" spans="1:32" ht="24" customHeight="1">
      <c r="A723" s="396" t="s">
        <v>475</v>
      </c>
      <c r="B723" s="397"/>
      <c r="C723" s="397"/>
      <c r="D723" s="396" t="s">
        <v>1246</v>
      </c>
      <c r="E723" s="397"/>
      <c r="F723" s="397"/>
      <c r="G723" s="397"/>
      <c r="H723" s="397"/>
      <c r="I723" s="397"/>
      <c r="J723" s="397"/>
      <c r="K723" s="397"/>
      <c r="L723" s="218"/>
      <c r="M723" s="247"/>
      <c r="N723" s="339">
        <v>160000</v>
      </c>
      <c r="O723" s="339">
        <v>170000</v>
      </c>
      <c r="P723" s="216">
        <v>280000</v>
      </c>
      <c r="Q723" s="216">
        <v>280000</v>
      </c>
      <c r="R723" s="215">
        <v>375000</v>
      </c>
      <c r="S723" s="215">
        <v>395000</v>
      </c>
      <c r="T723" s="215">
        <v>410000</v>
      </c>
      <c r="U723" s="215">
        <v>435000</v>
      </c>
      <c r="V723" s="215">
        <v>455000</v>
      </c>
      <c r="X723" s="630">
        <v>0</v>
      </c>
      <c r="Y723" s="630">
        <v>0</v>
      </c>
      <c r="Z723" s="630">
        <v>0</v>
      </c>
      <c r="AA723" s="630">
        <v>0</v>
      </c>
      <c r="AB723" s="630">
        <v>0</v>
      </c>
      <c r="AC723" s="630">
        <v>0</v>
      </c>
      <c r="AD723" s="630">
        <v>0</v>
      </c>
      <c r="AF723" s="304"/>
    </row>
    <row r="724" spans="1:32" ht="24" customHeight="1">
      <c r="A724" s="396" t="s">
        <v>476</v>
      </c>
      <c r="B724" s="397"/>
      <c r="C724" s="397"/>
      <c r="D724" s="396" t="s">
        <v>1373</v>
      </c>
      <c r="E724" s="397"/>
      <c r="F724" s="397"/>
      <c r="G724" s="397"/>
      <c r="H724" s="397"/>
      <c r="I724" s="397"/>
      <c r="J724" s="397"/>
      <c r="K724" s="397"/>
      <c r="L724" s="218"/>
      <c r="M724" s="264"/>
      <c r="N724" s="341">
        <v>98650</v>
      </c>
      <c r="O724" s="341">
        <v>93850</v>
      </c>
      <c r="P724" s="216">
        <v>88750</v>
      </c>
      <c r="Q724" s="216">
        <v>88750</v>
      </c>
      <c r="R724" s="215">
        <v>78950</v>
      </c>
      <c r="S724" s="215">
        <v>65825</v>
      </c>
      <c r="T724" s="215">
        <v>52000</v>
      </c>
      <c r="U724" s="215">
        <v>35600</v>
      </c>
      <c r="V724" s="215">
        <v>18200</v>
      </c>
      <c r="X724" s="630">
        <v>0</v>
      </c>
      <c r="Y724" s="630">
        <v>0</v>
      </c>
      <c r="Z724" s="630">
        <v>0</v>
      </c>
      <c r="AA724" s="630">
        <v>0</v>
      </c>
      <c r="AB724" s="630">
        <v>0</v>
      </c>
      <c r="AC724" s="630">
        <v>0</v>
      </c>
      <c r="AD724" s="630">
        <v>0</v>
      </c>
      <c r="AF724" s="304"/>
    </row>
    <row r="725" spans="1:32" ht="24" customHeight="1">
      <c r="A725" s="400" t="s">
        <v>1352</v>
      </c>
      <c r="B725" s="400"/>
      <c r="C725" s="400"/>
      <c r="D725" s="400"/>
      <c r="E725" s="400"/>
      <c r="F725" s="400"/>
      <c r="G725" s="400"/>
      <c r="H725" s="400"/>
      <c r="I725" s="400"/>
      <c r="J725" s="400"/>
      <c r="K725" s="400"/>
      <c r="L725" s="240"/>
      <c r="M725" s="309"/>
      <c r="N725" s="348"/>
      <c r="O725" s="348"/>
      <c r="P725" s="238"/>
      <c r="Q725" s="238"/>
      <c r="R725" s="237"/>
      <c r="S725" s="237"/>
      <c r="T725" s="237"/>
      <c r="U725" s="237"/>
      <c r="V725" s="237"/>
      <c r="X725" s="630"/>
      <c r="Y725" s="630"/>
      <c r="Z725" s="630"/>
      <c r="AA725" s="630"/>
      <c r="AB725" s="630"/>
      <c r="AC725" s="630"/>
      <c r="AD725" s="630"/>
      <c r="AF725" s="304"/>
    </row>
    <row r="726" spans="1:32" ht="24" customHeight="1">
      <c r="A726" s="396" t="s">
        <v>477</v>
      </c>
      <c r="B726" s="397"/>
      <c r="C726" s="397"/>
      <c r="D726" s="396" t="s">
        <v>1246</v>
      </c>
      <c r="E726" s="397"/>
      <c r="F726" s="397"/>
      <c r="G726" s="397"/>
      <c r="H726" s="397"/>
      <c r="I726" s="397"/>
      <c r="J726" s="397"/>
      <c r="K726" s="397"/>
      <c r="L726" s="218"/>
      <c r="M726" s="247"/>
      <c r="N726" s="339">
        <v>95000</v>
      </c>
      <c r="O726" s="339">
        <v>100000</v>
      </c>
      <c r="P726" s="216">
        <v>100000</v>
      </c>
      <c r="Q726" s="216">
        <v>100000</v>
      </c>
      <c r="R726" s="215">
        <v>105000</v>
      </c>
      <c r="S726" s="215">
        <v>110000</v>
      </c>
      <c r="T726" s="215">
        <v>115000</v>
      </c>
      <c r="U726" s="215">
        <v>120000</v>
      </c>
      <c r="V726" s="215">
        <v>130000</v>
      </c>
      <c r="X726" s="630">
        <v>135000</v>
      </c>
      <c r="Y726" s="630">
        <v>140000</v>
      </c>
      <c r="Z726" s="630">
        <v>150000</v>
      </c>
      <c r="AA726" s="630">
        <v>155000</v>
      </c>
      <c r="AB726" s="630">
        <v>0</v>
      </c>
      <c r="AC726" s="630">
        <v>0</v>
      </c>
      <c r="AD726" s="630">
        <v>0</v>
      </c>
      <c r="AF726" s="304"/>
    </row>
    <row r="727" spans="1:32" ht="24" customHeight="1">
      <c r="A727" s="396" t="s">
        <v>478</v>
      </c>
      <c r="B727" s="397"/>
      <c r="C727" s="397"/>
      <c r="D727" s="396" t="s">
        <v>1373</v>
      </c>
      <c r="E727" s="397"/>
      <c r="F727" s="397"/>
      <c r="G727" s="397"/>
      <c r="H727" s="397"/>
      <c r="I727" s="397"/>
      <c r="J727" s="397"/>
      <c r="K727" s="397"/>
      <c r="L727" s="218"/>
      <c r="M727" s="264"/>
      <c r="N727" s="341">
        <v>70143</v>
      </c>
      <c r="O727" s="341">
        <v>66248</v>
      </c>
      <c r="P727" s="216">
        <v>62048</v>
      </c>
      <c r="Q727" s="216">
        <v>62048</v>
      </c>
      <c r="R727" s="215">
        <v>57648</v>
      </c>
      <c r="S727" s="215">
        <v>52870</v>
      </c>
      <c r="T727" s="215">
        <v>47755</v>
      </c>
      <c r="U727" s="215">
        <v>42293</v>
      </c>
      <c r="V727" s="215">
        <v>36233</v>
      </c>
      <c r="X727" s="630">
        <v>29668</v>
      </c>
      <c r="Y727" s="630">
        <v>22850</v>
      </c>
      <c r="Z727" s="630">
        <v>15710</v>
      </c>
      <c r="AA727" s="630">
        <v>8060</v>
      </c>
      <c r="AB727" s="630">
        <v>0</v>
      </c>
      <c r="AC727" s="630">
        <v>0</v>
      </c>
      <c r="AD727" s="630">
        <v>0</v>
      </c>
      <c r="AF727" s="304"/>
    </row>
    <row r="728" spans="1:32" ht="24" customHeight="1">
      <c r="A728" s="400" t="s">
        <v>479</v>
      </c>
      <c r="B728" s="400"/>
      <c r="C728" s="400"/>
      <c r="D728" s="400"/>
      <c r="E728" s="400"/>
      <c r="F728" s="400"/>
      <c r="G728" s="400"/>
      <c r="H728" s="400"/>
      <c r="I728" s="400"/>
      <c r="J728" s="400"/>
      <c r="K728" s="400"/>
      <c r="L728" s="240"/>
      <c r="M728" s="309"/>
      <c r="N728" s="348"/>
      <c r="O728" s="348"/>
      <c r="P728" s="238"/>
      <c r="Q728" s="238"/>
      <c r="R728" s="237"/>
      <c r="S728" s="237"/>
      <c r="T728" s="237"/>
      <c r="U728" s="237"/>
      <c r="V728" s="237"/>
      <c r="X728" s="630"/>
      <c r="Y728" s="630"/>
      <c r="Z728" s="630"/>
      <c r="AA728" s="630"/>
      <c r="AB728" s="630"/>
      <c r="AC728" s="630"/>
      <c r="AD728" s="630"/>
      <c r="AF728" s="304"/>
    </row>
    <row r="729" spans="1:32" ht="24" customHeight="1">
      <c r="A729" s="396" t="s">
        <v>480</v>
      </c>
      <c r="B729" s="397"/>
      <c r="C729" s="397"/>
      <c r="D729" s="396" t="s">
        <v>1246</v>
      </c>
      <c r="E729" s="397"/>
      <c r="F729" s="397"/>
      <c r="G729" s="397"/>
      <c r="H729" s="397"/>
      <c r="I729" s="397"/>
      <c r="J729" s="397"/>
      <c r="K729" s="397"/>
      <c r="L729" s="218"/>
      <c r="M729" s="247"/>
      <c r="N729" s="339">
        <v>170000</v>
      </c>
      <c r="O729" s="339">
        <v>175000</v>
      </c>
      <c r="P729" s="216">
        <v>180000</v>
      </c>
      <c r="Q729" s="216">
        <v>180000</v>
      </c>
      <c r="R729" s="215">
        <v>190000</v>
      </c>
      <c r="S729" s="215">
        <v>0</v>
      </c>
      <c r="T729" s="215">
        <v>0</v>
      </c>
      <c r="U729" s="215">
        <v>0</v>
      </c>
      <c r="V729" s="215">
        <v>0</v>
      </c>
      <c r="X729" s="630">
        <v>0</v>
      </c>
      <c r="Y729" s="630">
        <v>0</v>
      </c>
      <c r="Z729" s="630">
        <v>0</v>
      </c>
      <c r="AA729" s="630">
        <v>0</v>
      </c>
      <c r="AB729" s="630">
        <v>0</v>
      </c>
      <c r="AC729" s="630">
        <v>0</v>
      </c>
      <c r="AD729" s="630">
        <v>0</v>
      </c>
      <c r="AF729" s="304"/>
    </row>
    <row r="730" spans="1:32" ht="24" customHeight="1">
      <c r="A730" s="396" t="s">
        <v>481</v>
      </c>
      <c r="B730" s="397"/>
      <c r="C730" s="397"/>
      <c r="D730" s="396" t="s">
        <v>1373</v>
      </c>
      <c r="E730" s="397"/>
      <c r="F730" s="397"/>
      <c r="G730" s="397"/>
      <c r="H730" s="397"/>
      <c r="I730" s="397"/>
      <c r="J730" s="397"/>
      <c r="K730" s="397"/>
      <c r="L730" s="218"/>
      <c r="M730" s="264"/>
      <c r="N730" s="341">
        <v>24093</v>
      </c>
      <c r="O730" s="341">
        <v>18738</v>
      </c>
      <c r="P730" s="216">
        <v>13050</v>
      </c>
      <c r="Q730" s="216">
        <v>13050</v>
      </c>
      <c r="R730" s="215">
        <v>6840</v>
      </c>
      <c r="S730" s="215">
        <v>0</v>
      </c>
      <c r="T730" s="215">
        <v>0</v>
      </c>
      <c r="U730" s="215">
        <v>0</v>
      </c>
      <c r="V730" s="215">
        <v>0</v>
      </c>
      <c r="X730" s="630">
        <v>0</v>
      </c>
      <c r="Y730" s="630">
        <v>0</v>
      </c>
      <c r="Z730" s="630">
        <v>0</v>
      </c>
      <c r="AA730" s="630">
        <v>0</v>
      </c>
      <c r="AB730" s="630">
        <v>0</v>
      </c>
      <c r="AC730" s="630">
        <v>0</v>
      </c>
      <c r="AD730" s="630">
        <v>0</v>
      </c>
      <c r="AF730" s="304"/>
    </row>
    <row r="731" spans="1:32" ht="24" customHeight="1">
      <c r="A731" s="400" t="s">
        <v>486</v>
      </c>
      <c r="B731" s="400"/>
      <c r="C731" s="400"/>
      <c r="D731" s="400"/>
      <c r="E731" s="400"/>
      <c r="F731" s="400"/>
      <c r="G731" s="400"/>
      <c r="H731" s="400"/>
      <c r="I731" s="400"/>
      <c r="J731" s="400"/>
      <c r="K731" s="400"/>
      <c r="L731" s="240"/>
      <c r="M731" s="309"/>
      <c r="N731" s="348"/>
      <c r="O731" s="348"/>
      <c r="P731" s="238"/>
      <c r="Q731" s="238"/>
      <c r="R731" s="237"/>
      <c r="S731" s="237"/>
      <c r="T731" s="237"/>
      <c r="U731" s="237"/>
      <c r="V731" s="237"/>
      <c r="X731" s="630"/>
      <c r="Y731" s="630"/>
      <c r="Z731" s="630"/>
      <c r="AA731" s="630"/>
      <c r="AB731" s="630"/>
      <c r="AC731" s="630"/>
      <c r="AD731" s="630"/>
      <c r="AF731" s="304"/>
    </row>
    <row r="732" spans="1:32" ht="24" customHeight="1">
      <c r="A732" s="396" t="s">
        <v>1055</v>
      </c>
      <c r="B732" s="397"/>
      <c r="C732" s="397"/>
      <c r="D732" s="396" t="s">
        <v>1246</v>
      </c>
      <c r="E732" s="397"/>
      <c r="F732" s="397"/>
      <c r="G732" s="397"/>
      <c r="H732" s="397"/>
      <c r="I732" s="397"/>
      <c r="J732" s="397"/>
      <c r="K732" s="397"/>
      <c r="L732" s="218"/>
      <c r="M732" s="247"/>
      <c r="N732" s="339">
        <v>0</v>
      </c>
      <c r="O732" s="339">
        <v>0</v>
      </c>
      <c r="P732" s="216">
        <v>660000</v>
      </c>
      <c r="Q732" s="216">
        <v>660000</v>
      </c>
      <c r="R732" s="215">
        <v>685000</v>
      </c>
      <c r="S732" s="215">
        <v>715000</v>
      </c>
      <c r="T732" s="215">
        <v>745000</v>
      </c>
      <c r="U732" s="215">
        <v>780000</v>
      </c>
      <c r="V732" s="215">
        <v>810000</v>
      </c>
      <c r="X732" s="630">
        <v>845000</v>
      </c>
      <c r="Y732" s="630">
        <v>885000</v>
      </c>
      <c r="Z732" s="630">
        <v>920000</v>
      </c>
      <c r="AA732" s="630">
        <v>960000</v>
      </c>
      <c r="AB732" s="630">
        <v>1000000</v>
      </c>
      <c r="AC732" s="630">
        <v>1045000</v>
      </c>
      <c r="AD732" s="630">
        <v>1100000</v>
      </c>
      <c r="AF732" s="304"/>
    </row>
    <row r="733" spans="1:32" ht="24" customHeight="1">
      <c r="A733" s="396" t="s">
        <v>1056</v>
      </c>
      <c r="B733" s="397"/>
      <c r="C733" s="397"/>
      <c r="D733" s="396" t="s">
        <v>1373</v>
      </c>
      <c r="E733" s="397"/>
      <c r="F733" s="397"/>
      <c r="G733" s="397"/>
      <c r="H733" s="397"/>
      <c r="I733" s="397"/>
      <c r="J733" s="397"/>
      <c r="K733" s="397"/>
      <c r="L733" s="218"/>
      <c r="M733" s="264"/>
      <c r="N733" s="341">
        <v>225354</v>
      </c>
      <c r="O733" s="341">
        <v>318147</v>
      </c>
      <c r="P733" s="224">
        <v>477220</v>
      </c>
      <c r="Q733" s="224">
        <v>477220</v>
      </c>
      <c r="R733" s="223">
        <v>448972</v>
      </c>
      <c r="S733" s="223">
        <v>419654</v>
      </c>
      <c r="T733" s="223">
        <v>389052</v>
      </c>
      <c r="U733" s="223">
        <v>357166</v>
      </c>
      <c r="V733" s="223">
        <v>323782</v>
      </c>
      <c r="X733" s="630">
        <v>289114</v>
      </c>
      <c r="Y733" s="630">
        <v>252948</v>
      </c>
      <c r="Z733" s="630">
        <v>215070</v>
      </c>
      <c r="AA733" s="630">
        <v>175694</v>
      </c>
      <c r="AB733" s="630">
        <v>134606</v>
      </c>
      <c r="AC733" s="630">
        <v>91806</v>
      </c>
      <c r="AD733" s="630">
        <v>47080</v>
      </c>
      <c r="AF733" s="304"/>
    </row>
    <row r="734" spans="1:32" ht="24" customHeight="1">
      <c r="A734" s="400" t="s">
        <v>482</v>
      </c>
      <c r="B734" s="400"/>
      <c r="C734" s="400"/>
      <c r="D734" s="400"/>
      <c r="E734" s="400"/>
      <c r="F734" s="400"/>
      <c r="G734" s="400"/>
      <c r="H734" s="400"/>
      <c r="I734" s="400"/>
      <c r="J734" s="400"/>
      <c r="K734" s="400"/>
      <c r="L734" s="240"/>
      <c r="M734" s="309"/>
      <c r="N734" s="348"/>
      <c r="O734" s="348"/>
      <c r="P734" s="238"/>
      <c r="Q734" s="238"/>
      <c r="R734" s="237"/>
      <c r="S734" s="237"/>
      <c r="T734" s="237"/>
      <c r="U734" s="237"/>
      <c r="V734" s="237"/>
      <c r="X734" s="630"/>
      <c r="Y734" s="630"/>
      <c r="Z734" s="630"/>
      <c r="AA734" s="630"/>
      <c r="AB734" s="630"/>
      <c r="AC734" s="630"/>
      <c r="AD734" s="630"/>
      <c r="AF734" s="304"/>
    </row>
    <row r="735" spans="1:32" ht="24" customHeight="1">
      <c r="A735" s="396" t="s">
        <v>483</v>
      </c>
      <c r="B735" s="397"/>
      <c r="C735" s="397"/>
      <c r="D735" s="396" t="s">
        <v>1373</v>
      </c>
      <c r="E735" s="397"/>
      <c r="F735" s="397"/>
      <c r="G735" s="397"/>
      <c r="H735" s="397"/>
      <c r="I735" s="397"/>
      <c r="J735" s="397"/>
      <c r="K735" s="397"/>
      <c r="L735" s="218"/>
      <c r="M735" s="264"/>
      <c r="N735" s="341">
        <v>332346</v>
      </c>
      <c r="O735" s="341">
        <v>0</v>
      </c>
      <c r="P735" s="216">
        <v>0</v>
      </c>
      <c r="Q735" s="216">
        <v>0</v>
      </c>
      <c r="R735" s="215">
        <v>0</v>
      </c>
      <c r="S735" s="215">
        <v>0</v>
      </c>
      <c r="T735" s="215">
        <v>0</v>
      </c>
      <c r="U735" s="215">
        <v>0</v>
      </c>
      <c r="V735" s="215">
        <v>0</v>
      </c>
      <c r="X735" s="630">
        <v>0</v>
      </c>
      <c r="Y735" s="630">
        <v>0</v>
      </c>
      <c r="Z735" s="630">
        <v>0</v>
      </c>
      <c r="AA735" s="630">
        <v>0</v>
      </c>
      <c r="AB735" s="630">
        <v>0</v>
      </c>
      <c r="AC735" s="630">
        <v>0</v>
      </c>
      <c r="AD735" s="630">
        <v>0</v>
      </c>
      <c r="AF735" s="304"/>
    </row>
    <row r="736" spans="1:32" ht="24" customHeight="1">
      <c r="A736" s="400" t="s">
        <v>484</v>
      </c>
      <c r="B736" s="400"/>
      <c r="C736" s="400"/>
      <c r="D736" s="400"/>
      <c r="E736" s="400"/>
      <c r="F736" s="400"/>
      <c r="G736" s="400"/>
      <c r="H736" s="400"/>
      <c r="I736" s="400"/>
      <c r="J736" s="400"/>
      <c r="K736" s="400"/>
      <c r="L736" s="240"/>
      <c r="M736" s="309"/>
      <c r="N736" s="348"/>
      <c r="O736" s="348"/>
      <c r="P736" s="238"/>
      <c r="Q736" s="238"/>
      <c r="R736" s="237"/>
      <c r="S736" s="237"/>
      <c r="T736" s="237"/>
      <c r="U736" s="237"/>
      <c r="V736" s="237"/>
      <c r="X736" s="630"/>
      <c r="Y736" s="630"/>
      <c r="Z736" s="630"/>
      <c r="AA736" s="630"/>
      <c r="AB736" s="630"/>
      <c r="AC736" s="630"/>
      <c r="AD736" s="630"/>
      <c r="AF736" s="304"/>
    </row>
    <row r="737" spans="1:32" ht="24" customHeight="1">
      <c r="A737" s="396" t="s">
        <v>485</v>
      </c>
      <c r="B737" s="397"/>
      <c r="C737" s="397"/>
      <c r="D737" s="396" t="s">
        <v>338</v>
      </c>
      <c r="E737" s="397"/>
      <c r="F737" s="397"/>
      <c r="G737" s="397"/>
      <c r="H737" s="397"/>
      <c r="I737" s="397"/>
      <c r="J737" s="397"/>
      <c r="K737" s="397"/>
      <c r="L737" s="218"/>
      <c r="M737" s="264"/>
      <c r="N737" s="341">
        <v>94800</v>
      </c>
      <c r="O737" s="341">
        <v>0</v>
      </c>
      <c r="P737" s="224">
        <v>0</v>
      </c>
      <c r="Q737" s="224">
        <v>0</v>
      </c>
      <c r="R737" s="223">
        <v>0</v>
      </c>
      <c r="S737" s="223">
        <v>0</v>
      </c>
      <c r="T737" s="223">
        <v>0</v>
      </c>
      <c r="U737" s="223">
        <v>0</v>
      </c>
      <c r="V737" s="223">
        <v>0</v>
      </c>
      <c r="X737" s="630">
        <v>0</v>
      </c>
      <c r="Y737" s="630">
        <v>0</v>
      </c>
      <c r="Z737" s="630">
        <v>0</v>
      </c>
      <c r="AA737" s="630">
        <v>0</v>
      </c>
      <c r="AB737" s="630">
        <v>0</v>
      </c>
      <c r="AC737" s="630">
        <v>0</v>
      </c>
      <c r="AD737" s="630">
        <v>0</v>
      </c>
      <c r="AF737" s="304"/>
    </row>
    <row r="738" spans="1:32" ht="24" customHeight="1">
      <c r="A738" s="400" t="s">
        <v>487</v>
      </c>
      <c r="B738" s="400"/>
      <c r="C738" s="400"/>
      <c r="D738" s="400"/>
      <c r="E738" s="400"/>
      <c r="F738" s="400"/>
      <c r="G738" s="400"/>
      <c r="H738" s="400"/>
      <c r="I738" s="400"/>
      <c r="J738" s="400"/>
      <c r="K738" s="400"/>
      <c r="L738" s="240"/>
      <c r="M738" s="309"/>
      <c r="N738" s="348"/>
      <c r="O738" s="348"/>
      <c r="P738" s="238"/>
      <c r="Q738" s="238"/>
      <c r="R738" s="237"/>
      <c r="S738" s="237"/>
      <c r="T738" s="237"/>
      <c r="U738" s="237"/>
      <c r="V738" s="237"/>
      <c r="X738" s="630"/>
      <c r="Y738" s="630"/>
      <c r="Z738" s="630"/>
      <c r="AA738" s="630"/>
      <c r="AB738" s="630"/>
      <c r="AC738" s="630"/>
      <c r="AD738" s="630"/>
      <c r="AF738" s="304"/>
    </row>
    <row r="739" spans="1:32" ht="24" customHeight="1">
      <c r="A739" s="396" t="s">
        <v>488</v>
      </c>
      <c r="B739" s="397"/>
      <c r="C739" s="397"/>
      <c r="D739" s="396" t="s">
        <v>1246</v>
      </c>
      <c r="E739" s="397"/>
      <c r="F739" s="397"/>
      <c r="G739" s="397"/>
      <c r="H739" s="397"/>
      <c r="I739" s="397"/>
      <c r="J739" s="397"/>
      <c r="K739" s="397"/>
      <c r="L739" s="218"/>
      <c r="M739" s="247"/>
      <c r="N739" s="339">
        <v>36635</v>
      </c>
      <c r="O739" s="339">
        <v>37958</v>
      </c>
      <c r="P739" s="216">
        <v>0</v>
      </c>
      <c r="Q739" s="216">
        <v>0</v>
      </c>
      <c r="R739" s="215">
        <v>0</v>
      </c>
      <c r="S739" s="215">
        <v>0</v>
      </c>
      <c r="T739" s="215">
        <v>0</v>
      </c>
      <c r="U739" s="215">
        <v>0</v>
      </c>
      <c r="V739" s="215">
        <v>0</v>
      </c>
      <c r="X739" s="630">
        <v>0</v>
      </c>
      <c r="Y739" s="630">
        <v>0</v>
      </c>
      <c r="Z739" s="630">
        <v>0</v>
      </c>
      <c r="AA739" s="630">
        <v>0</v>
      </c>
      <c r="AB739" s="630">
        <v>0</v>
      </c>
      <c r="AC739" s="630">
        <v>0</v>
      </c>
      <c r="AD739" s="630">
        <v>0</v>
      </c>
      <c r="AF739" s="304"/>
    </row>
    <row r="740" spans="1:32" ht="24" customHeight="1">
      <c r="A740" s="396" t="s">
        <v>489</v>
      </c>
      <c r="B740" s="397"/>
      <c r="C740" s="397"/>
      <c r="D740" s="396" t="s">
        <v>1373</v>
      </c>
      <c r="E740" s="397"/>
      <c r="F740" s="397"/>
      <c r="G740" s="397"/>
      <c r="H740" s="397"/>
      <c r="I740" s="397"/>
      <c r="J740" s="397"/>
      <c r="K740" s="397"/>
      <c r="L740" s="218"/>
      <c r="M740" s="264"/>
      <c r="N740" s="341">
        <v>2345</v>
      </c>
      <c r="O740" s="341">
        <v>1021</v>
      </c>
      <c r="P740" s="216">
        <v>0</v>
      </c>
      <c r="Q740" s="216">
        <v>0</v>
      </c>
      <c r="R740" s="215">
        <v>0</v>
      </c>
      <c r="S740" s="215">
        <v>0</v>
      </c>
      <c r="T740" s="215">
        <v>0</v>
      </c>
      <c r="U740" s="215">
        <v>0</v>
      </c>
      <c r="V740" s="215">
        <v>0</v>
      </c>
      <c r="X740" s="630">
        <v>0</v>
      </c>
      <c r="Y740" s="630">
        <v>0</v>
      </c>
      <c r="Z740" s="630">
        <v>0</v>
      </c>
      <c r="AA740" s="630">
        <v>0</v>
      </c>
      <c r="AB740" s="630">
        <v>0</v>
      </c>
      <c r="AC740" s="630">
        <v>0</v>
      </c>
      <c r="AD740" s="630">
        <v>0</v>
      </c>
      <c r="AF740" s="304"/>
    </row>
    <row r="741" spans="1:32" ht="24" customHeight="1">
      <c r="A741" s="400" t="s">
        <v>490</v>
      </c>
      <c r="B741" s="400"/>
      <c r="C741" s="400"/>
      <c r="D741" s="400"/>
      <c r="E741" s="400"/>
      <c r="F741" s="400"/>
      <c r="G741" s="400"/>
      <c r="H741" s="400"/>
      <c r="I741" s="400"/>
      <c r="J741" s="400"/>
      <c r="K741" s="400"/>
      <c r="L741" s="240"/>
      <c r="M741" s="309"/>
      <c r="N741" s="348"/>
      <c r="O741" s="348"/>
      <c r="P741" s="238"/>
      <c r="Q741" s="238"/>
      <c r="R741" s="237"/>
      <c r="S741" s="237"/>
      <c r="T741" s="237"/>
      <c r="U741" s="237"/>
      <c r="V741" s="237"/>
      <c r="X741" s="630"/>
      <c r="Y741" s="630"/>
      <c r="Z741" s="630"/>
      <c r="AA741" s="630"/>
      <c r="AB741" s="630"/>
      <c r="AC741" s="630"/>
      <c r="AD741" s="630"/>
      <c r="AF741" s="304"/>
    </row>
    <row r="742" spans="1:32" ht="24" customHeight="1">
      <c r="A742" s="396" t="s">
        <v>491</v>
      </c>
      <c r="B742" s="397"/>
      <c r="C742" s="397"/>
      <c r="D742" s="396" t="s">
        <v>1246</v>
      </c>
      <c r="E742" s="397"/>
      <c r="F742" s="397"/>
      <c r="G742" s="397"/>
      <c r="H742" s="397"/>
      <c r="I742" s="397"/>
      <c r="J742" s="397"/>
      <c r="K742" s="397"/>
      <c r="L742" s="218"/>
      <c r="M742" s="247"/>
      <c r="N742" s="339">
        <v>86329</v>
      </c>
      <c r="O742" s="339">
        <v>88610</v>
      </c>
      <c r="P742" s="216">
        <v>90952</v>
      </c>
      <c r="Q742" s="216">
        <v>90952</v>
      </c>
      <c r="R742" s="215">
        <v>93355</v>
      </c>
      <c r="S742" s="215">
        <v>95821</v>
      </c>
      <c r="T742" s="215">
        <v>98353</v>
      </c>
      <c r="U742" s="215">
        <v>100952</v>
      </c>
      <c r="V742" s="215">
        <v>103619</v>
      </c>
      <c r="X742" s="630">
        <v>52832</v>
      </c>
      <c r="Y742" s="630">
        <v>0</v>
      </c>
      <c r="Z742" s="630">
        <v>0</v>
      </c>
      <c r="AA742" s="630">
        <v>0</v>
      </c>
      <c r="AB742" s="630">
        <v>0</v>
      </c>
      <c r="AC742" s="630">
        <v>0</v>
      </c>
      <c r="AD742" s="630">
        <v>0</v>
      </c>
      <c r="AF742" s="304"/>
    </row>
    <row r="743" spans="1:32" ht="24" customHeight="1">
      <c r="A743" s="396" t="s">
        <v>492</v>
      </c>
      <c r="B743" s="397"/>
      <c r="C743" s="397"/>
      <c r="D743" s="396" t="s">
        <v>1373</v>
      </c>
      <c r="E743" s="397"/>
      <c r="F743" s="397"/>
      <c r="G743" s="397"/>
      <c r="H743" s="397"/>
      <c r="I743" s="397"/>
      <c r="J743" s="397"/>
      <c r="K743" s="397"/>
      <c r="L743" s="218"/>
      <c r="M743" s="264"/>
      <c r="N743" s="341">
        <v>20721</v>
      </c>
      <c r="O743" s="341">
        <v>18440</v>
      </c>
      <c r="P743" s="216">
        <v>16099</v>
      </c>
      <c r="Q743" s="216">
        <v>16099</v>
      </c>
      <c r="R743" s="215">
        <v>13696</v>
      </c>
      <c r="S743" s="215">
        <v>11229</v>
      </c>
      <c r="T743" s="215">
        <v>8697</v>
      </c>
      <c r="U743" s="215">
        <v>6099</v>
      </c>
      <c r="V743" s="215">
        <v>3431</v>
      </c>
      <c r="X743" s="630">
        <v>693</v>
      </c>
      <c r="Y743" s="630">
        <v>0</v>
      </c>
      <c r="Z743" s="630">
        <v>0</v>
      </c>
      <c r="AA743" s="630">
        <v>0</v>
      </c>
      <c r="AB743" s="630">
        <v>0</v>
      </c>
      <c r="AC743" s="630">
        <v>0</v>
      </c>
      <c r="AD743" s="630">
        <v>0</v>
      </c>
      <c r="AF743" s="304"/>
    </row>
    <row r="744" spans="1:32" ht="24" customHeight="1">
      <c r="A744" s="396" t="s">
        <v>1065</v>
      </c>
      <c r="B744" s="397"/>
      <c r="C744" s="397"/>
      <c r="D744" s="396" t="s">
        <v>246</v>
      </c>
      <c r="E744" s="397"/>
      <c r="F744" s="397"/>
      <c r="G744" s="397"/>
      <c r="H744" s="397"/>
      <c r="I744" s="397"/>
      <c r="J744" s="397"/>
      <c r="K744" s="397"/>
      <c r="L744" s="218"/>
      <c r="M744" s="222"/>
      <c r="N744" s="341">
        <v>83863</v>
      </c>
      <c r="O744" s="341">
        <v>82288</v>
      </c>
      <c r="P744" s="224">
        <v>82988</v>
      </c>
      <c r="Q744" s="224">
        <f t="shared" ref="Q744:V744" si="222">ROUND((Q649+Q650)/2,0)</f>
        <v>82988</v>
      </c>
      <c r="R744" s="223">
        <f t="shared" si="222"/>
        <v>83588</v>
      </c>
      <c r="S744" s="223">
        <f t="shared" si="222"/>
        <v>84088</v>
      </c>
      <c r="T744" s="223">
        <f t="shared" si="222"/>
        <v>84488</v>
      </c>
      <c r="U744" s="223">
        <f t="shared" si="222"/>
        <v>82288</v>
      </c>
      <c r="V744" s="223">
        <f t="shared" si="222"/>
        <v>85088</v>
      </c>
      <c r="X744" s="217"/>
    </row>
    <row r="745" spans="1:32" ht="24" customHeight="1">
      <c r="A745" s="396" t="s">
        <v>758</v>
      </c>
      <c r="B745" s="328"/>
      <c r="C745" s="328"/>
      <c r="D745" s="396" t="s">
        <v>1064</v>
      </c>
      <c r="E745" s="328"/>
      <c r="F745" s="328"/>
      <c r="G745" s="328"/>
      <c r="H745" s="328"/>
      <c r="I745" s="328"/>
      <c r="J745" s="328"/>
      <c r="K745" s="328"/>
      <c r="L745" s="209"/>
      <c r="M745" s="312"/>
      <c r="N745" s="357">
        <v>520719</v>
      </c>
      <c r="O745" s="357">
        <v>0</v>
      </c>
      <c r="P745" s="314">
        <v>0</v>
      </c>
      <c r="Q745" s="314">
        <v>0</v>
      </c>
      <c r="R745" s="313">
        <v>0</v>
      </c>
      <c r="S745" s="313">
        <v>0</v>
      </c>
      <c r="T745" s="313">
        <v>0</v>
      </c>
      <c r="U745" s="313">
        <v>0</v>
      </c>
      <c r="V745" s="313">
        <v>0</v>
      </c>
    </row>
    <row r="746" spans="1:32" ht="15" customHeight="1">
      <c r="A746" s="396"/>
      <c r="B746" s="328"/>
      <c r="C746" s="328"/>
      <c r="D746" s="396"/>
      <c r="E746" s="328"/>
      <c r="F746" s="328"/>
      <c r="G746" s="328"/>
      <c r="H746" s="328"/>
      <c r="I746" s="328"/>
      <c r="J746" s="328"/>
      <c r="K746" s="328"/>
      <c r="L746" s="209"/>
      <c r="N746" s="346"/>
      <c r="O746" s="346"/>
      <c r="P746" s="238"/>
      <c r="Q746" s="238"/>
      <c r="R746" s="237"/>
      <c r="S746" s="237"/>
      <c r="T746" s="237"/>
      <c r="U746" s="237"/>
      <c r="V746" s="237"/>
    </row>
    <row r="747" spans="1:32" s="328" customFormat="1" ht="24" customHeight="1">
      <c r="K747" s="400" t="s">
        <v>661</v>
      </c>
      <c r="L747" s="422"/>
      <c r="M747" s="441"/>
      <c r="N747" s="348">
        <f t="shared" ref="N747:V747" si="223">SUM(N684:N745)</f>
        <v>2494670</v>
      </c>
      <c r="O747" s="348">
        <f t="shared" si="223"/>
        <v>1660200</v>
      </c>
      <c r="P747" s="349">
        <f t="shared" si="223"/>
        <v>2570120</v>
      </c>
      <c r="Q747" s="349">
        <f t="shared" si="223"/>
        <v>2569620</v>
      </c>
      <c r="R747" s="348">
        <f>SUM(R684:R745)</f>
        <v>3217226</v>
      </c>
      <c r="S747" s="348">
        <f>SUM(S684:S745)</f>
        <v>2713676</v>
      </c>
      <c r="T747" s="348">
        <f t="shared" si="223"/>
        <v>2736202</v>
      </c>
      <c r="U747" s="348">
        <f t="shared" si="223"/>
        <v>2768208</v>
      </c>
      <c r="V747" s="348">
        <f t="shared" si="223"/>
        <v>2798521</v>
      </c>
      <c r="W747" s="640"/>
    </row>
    <row r="748" spans="1:32" s="328" customFormat="1" ht="15" customHeight="1">
      <c r="L748" s="424"/>
      <c r="M748" s="422"/>
      <c r="N748" s="365"/>
      <c r="O748" s="365"/>
      <c r="P748" s="366"/>
      <c r="Q748" s="366"/>
      <c r="R748" s="365"/>
      <c r="S748" s="365"/>
      <c r="T748" s="365"/>
      <c r="U748" s="365"/>
      <c r="V748" s="365"/>
      <c r="W748" s="640"/>
    </row>
    <row r="749" spans="1:32" s="328" customFormat="1" ht="24" customHeight="1">
      <c r="K749" s="400" t="s">
        <v>660</v>
      </c>
      <c r="L749" s="422"/>
      <c r="M749" s="422"/>
      <c r="N749" s="365">
        <f t="shared" ref="N749:V749" si="224">N681-N747</f>
        <v>625704</v>
      </c>
      <c r="O749" s="365">
        <f t="shared" si="224"/>
        <v>-10205</v>
      </c>
      <c r="P749" s="366">
        <f t="shared" si="224"/>
        <v>-214900</v>
      </c>
      <c r="Q749" s="366">
        <f t="shared" si="224"/>
        <v>-202038</v>
      </c>
      <c r="R749" s="365">
        <f t="shared" si="224"/>
        <v>-831754</v>
      </c>
      <c r="S749" s="365">
        <f t="shared" si="224"/>
        <v>-410347</v>
      </c>
      <c r="T749" s="365">
        <f t="shared" si="224"/>
        <v>-394191</v>
      </c>
      <c r="U749" s="365">
        <f t="shared" si="224"/>
        <v>-381310</v>
      </c>
      <c r="V749" s="365">
        <f t="shared" si="224"/>
        <v>-371145</v>
      </c>
      <c r="W749" s="640"/>
    </row>
    <row r="750" spans="1:32" s="328" customFormat="1" ht="15" customHeight="1">
      <c r="L750" s="424"/>
      <c r="M750" s="422"/>
      <c r="N750" s="365"/>
      <c r="O750" s="365"/>
      <c r="P750" s="366"/>
      <c r="Q750" s="366"/>
      <c r="R750" s="365"/>
      <c r="S750" s="365"/>
      <c r="T750" s="365"/>
      <c r="U750" s="365"/>
      <c r="V750" s="365"/>
      <c r="W750" s="640"/>
    </row>
    <row r="751" spans="1:32" s="328" customFormat="1" ht="24" customHeight="1">
      <c r="J751" s="405" t="s">
        <v>672</v>
      </c>
      <c r="L751" s="424"/>
      <c r="M751" s="422"/>
      <c r="N751" s="365">
        <v>3003537</v>
      </c>
      <c r="O751" s="365">
        <v>2993332</v>
      </c>
      <c r="P751" s="366">
        <v>2681077</v>
      </c>
      <c r="Q751" s="366">
        <f>O751+Q749</f>
        <v>2791294</v>
      </c>
      <c r="R751" s="365">
        <f>Q751+R749</f>
        <v>1959540</v>
      </c>
      <c r="S751" s="365">
        <f>R751+S749</f>
        <v>1549193</v>
      </c>
      <c r="T751" s="365">
        <f>S751+T749</f>
        <v>1155002</v>
      </c>
      <c r="U751" s="365">
        <f>T751+U749</f>
        <v>773692</v>
      </c>
      <c r="V751" s="365">
        <f>U751+V749</f>
        <v>402547</v>
      </c>
      <c r="W751" s="640"/>
    </row>
    <row r="752" spans="1:32" s="409" customFormat="1" ht="24" customHeight="1">
      <c r="L752" s="440"/>
      <c r="M752" s="438"/>
      <c r="N752" s="367">
        <f t="shared" ref="N752" si="225">N751/N747</f>
        <v>1.2039816889608645</v>
      </c>
      <c r="O752" s="367">
        <f t="shared" ref="O752:V752" si="226">O751/O747</f>
        <v>1.8029948199012167</v>
      </c>
      <c r="P752" s="368">
        <f t="shared" ref="P752" si="227">P751/P747</f>
        <v>1.0431719141518685</v>
      </c>
      <c r="Q752" s="368">
        <f t="shared" si="226"/>
        <v>1.0862672301741114</v>
      </c>
      <c r="R752" s="367">
        <f t="shared" ref="R752:U752" si="228">R751/R747</f>
        <v>0.60907750963096785</v>
      </c>
      <c r="S752" s="367">
        <f t="shared" si="228"/>
        <v>0.570883554263663</v>
      </c>
      <c r="T752" s="367">
        <f t="shared" si="228"/>
        <v>0.42211868860559271</v>
      </c>
      <c r="U752" s="367">
        <f t="shared" si="228"/>
        <v>0.27949200349106712</v>
      </c>
      <c r="V752" s="367">
        <f t="shared" si="226"/>
        <v>0.14384276551792893</v>
      </c>
      <c r="W752" s="522"/>
    </row>
    <row r="753" spans="1:24" ht="15" customHeight="1">
      <c r="A753" s="328"/>
      <c r="B753" s="328"/>
      <c r="C753" s="328"/>
      <c r="D753" s="328"/>
      <c r="E753" s="328"/>
      <c r="F753" s="328"/>
      <c r="G753" s="328"/>
      <c r="H753" s="328"/>
      <c r="I753" s="328"/>
      <c r="J753" s="328"/>
      <c r="K753" s="328"/>
      <c r="L753" s="209"/>
      <c r="M753" s="240"/>
      <c r="N753" s="620"/>
      <c r="O753" s="620"/>
      <c r="P753" s="624"/>
      <c r="Q753" s="624"/>
      <c r="R753" s="625"/>
      <c r="S753" s="625"/>
      <c r="T753" s="625"/>
      <c r="U753" s="625"/>
      <c r="V753" s="625"/>
    </row>
    <row r="754" spans="1:24" ht="24" customHeight="1">
      <c r="A754" s="407" t="s">
        <v>680</v>
      </c>
      <c r="B754" s="328"/>
      <c r="C754" s="328"/>
      <c r="D754" s="328"/>
      <c r="E754" s="328"/>
      <c r="F754" s="328"/>
      <c r="G754" s="328"/>
      <c r="H754" s="328"/>
      <c r="I754" s="328"/>
      <c r="J754" s="328"/>
      <c r="K754" s="328"/>
      <c r="L754" s="209"/>
      <c r="N754" s="394"/>
      <c r="O754" s="394"/>
      <c r="P754" s="618"/>
      <c r="Q754" s="618"/>
      <c r="R754" s="619"/>
      <c r="S754" s="619"/>
      <c r="T754" s="619"/>
      <c r="U754" s="619"/>
      <c r="V754" s="619"/>
    </row>
    <row r="755" spans="1:24" ht="15" customHeight="1">
      <c r="A755" s="328"/>
      <c r="B755" s="328"/>
      <c r="C755" s="328"/>
      <c r="D755" s="328"/>
      <c r="E755" s="328"/>
      <c r="F755" s="328"/>
      <c r="G755" s="328"/>
      <c r="H755" s="328"/>
      <c r="I755" s="328"/>
      <c r="J755" s="328"/>
      <c r="K755" s="328"/>
      <c r="L755" s="209"/>
      <c r="N755" s="394"/>
      <c r="O755" s="394"/>
      <c r="P755" s="618"/>
      <c r="Q755" s="618"/>
      <c r="R755" s="619"/>
      <c r="S755" s="619"/>
      <c r="T755" s="619"/>
      <c r="U755" s="619"/>
      <c r="V755" s="619"/>
    </row>
    <row r="756" spans="1:24" ht="24" customHeight="1">
      <c r="A756" s="396" t="s">
        <v>809</v>
      </c>
      <c r="B756" s="397"/>
      <c r="C756" s="397"/>
      <c r="D756" s="397" t="s">
        <v>834</v>
      </c>
      <c r="E756" s="397"/>
      <c r="F756" s="397"/>
      <c r="G756" s="397"/>
      <c r="H756" s="397"/>
      <c r="I756" s="397"/>
      <c r="J756" s="397"/>
      <c r="K756" s="397"/>
      <c r="L756" s="218"/>
      <c r="M756" s="220"/>
      <c r="N756" s="340">
        <v>400000</v>
      </c>
      <c r="O756" s="340">
        <v>0</v>
      </c>
      <c r="P756" s="225">
        <v>0</v>
      </c>
      <c r="Q756" s="225">
        <v>0</v>
      </c>
      <c r="R756" s="221">
        <v>0</v>
      </c>
      <c r="S756" s="221">
        <v>0</v>
      </c>
      <c r="T756" s="221">
        <v>0</v>
      </c>
      <c r="U756" s="221">
        <v>0</v>
      </c>
      <c r="V756" s="221">
        <v>0</v>
      </c>
    </row>
    <row r="757" spans="1:24" ht="24" customHeight="1">
      <c r="A757" s="396" t="s">
        <v>810</v>
      </c>
      <c r="B757" s="397"/>
      <c r="C757" s="397"/>
      <c r="D757" s="416" t="s">
        <v>835</v>
      </c>
      <c r="E757" s="397"/>
      <c r="F757" s="397"/>
      <c r="G757" s="397"/>
      <c r="H757" s="397"/>
      <c r="I757" s="397"/>
      <c r="J757" s="397"/>
      <c r="K757" s="397"/>
      <c r="L757" s="218"/>
      <c r="M757" s="220"/>
      <c r="N757" s="340">
        <v>0</v>
      </c>
      <c r="O757" s="340">
        <v>400000</v>
      </c>
      <c r="P757" s="225">
        <v>0</v>
      </c>
      <c r="Q757" s="225">
        <v>0</v>
      </c>
      <c r="R757" s="221">
        <v>0</v>
      </c>
      <c r="S757" s="221">
        <v>0</v>
      </c>
      <c r="T757" s="221">
        <v>0</v>
      </c>
      <c r="U757" s="221">
        <v>0</v>
      </c>
      <c r="V757" s="221">
        <v>0</v>
      </c>
    </row>
    <row r="758" spans="1:24" ht="24" customHeight="1">
      <c r="A758" s="396" t="s">
        <v>811</v>
      </c>
      <c r="B758" s="397"/>
      <c r="C758" s="397"/>
      <c r="D758" s="416" t="s">
        <v>1101</v>
      </c>
      <c r="E758" s="397"/>
      <c r="F758" s="397"/>
      <c r="G758" s="397"/>
      <c r="H758" s="397"/>
      <c r="I758" s="397"/>
      <c r="J758" s="397"/>
      <c r="K758" s="397"/>
      <c r="L758" s="218"/>
      <c r="M758" s="220"/>
      <c r="N758" s="340">
        <v>0</v>
      </c>
      <c r="O758" s="340">
        <v>0</v>
      </c>
      <c r="P758" s="225">
        <v>96000</v>
      </c>
      <c r="Q758" s="225">
        <v>96000</v>
      </c>
      <c r="R758" s="221">
        <v>0</v>
      </c>
      <c r="S758" s="221">
        <v>0</v>
      </c>
      <c r="T758" s="221">
        <v>0</v>
      </c>
      <c r="U758" s="221">
        <v>0</v>
      </c>
      <c r="V758" s="221">
        <v>0</v>
      </c>
      <c r="X758" s="213"/>
    </row>
    <row r="759" spans="1:24" ht="24" customHeight="1">
      <c r="A759" s="396" t="s">
        <v>812</v>
      </c>
      <c r="B759" s="397"/>
      <c r="C759" s="397"/>
      <c r="D759" s="416" t="s">
        <v>836</v>
      </c>
      <c r="E759" s="397"/>
      <c r="F759" s="397"/>
      <c r="G759" s="397"/>
      <c r="H759" s="397"/>
      <c r="I759" s="397"/>
      <c r="J759" s="397"/>
      <c r="K759" s="397"/>
      <c r="L759" s="218"/>
      <c r="M759" s="220"/>
      <c r="N759" s="340">
        <v>0</v>
      </c>
      <c r="O759" s="340">
        <v>0</v>
      </c>
      <c r="P759" s="225">
        <v>0</v>
      </c>
      <c r="Q759" s="225">
        <v>0</v>
      </c>
      <c r="R759" s="221">
        <v>0</v>
      </c>
      <c r="S759" s="221">
        <v>0</v>
      </c>
      <c r="T759" s="221">
        <v>400000</v>
      </c>
      <c r="U759" s="221">
        <v>0</v>
      </c>
      <c r="V759" s="221">
        <v>0</v>
      </c>
    </row>
    <row r="760" spans="1:24" ht="24" customHeight="1">
      <c r="A760" s="396" t="s">
        <v>1431</v>
      </c>
      <c r="B760" s="596"/>
      <c r="C760" s="596"/>
      <c r="D760" s="396" t="s">
        <v>1078</v>
      </c>
      <c r="E760" s="596"/>
      <c r="F760" s="596"/>
      <c r="G760" s="596"/>
      <c r="H760" s="596"/>
      <c r="I760" s="596"/>
      <c r="J760" s="596"/>
      <c r="K760" s="596"/>
      <c r="L760" s="218"/>
      <c r="M760" s="220"/>
      <c r="N760" s="340">
        <v>0</v>
      </c>
      <c r="O760" s="340">
        <v>0</v>
      </c>
      <c r="P760" s="225">
        <v>0</v>
      </c>
      <c r="Q760" s="225">
        <v>0</v>
      </c>
      <c r="R760" s="221">
        <v>0</v>
      </c>
      <c r="S760" s="221">
        <v>0</v>
      </c>
      <c r="T760" s="221">
        <v>0</v>
      </c>
      <c r="U760" s="221">
        <v>0</v>
      </c>
      <c r="V760" s="221">
        <v>0</v>
      </c>
    </row>
    <row r="761" spans="1:24" ht="24" customHeight="1">
      <c r="A761" s="396" t="s">
        <v>1456</v>
      </c>
      <c r="B761" s="613"/>
      <c r="C761" s="613"/>
      <c r="D761" s="735" t="s">
        <v>6</v>
      </c>
      <c r="E761" s="735"/>
      <c r="F761" s="735"/>
      <c r="G761" s="735"/>
      <c r="H761" s="735"/>
      <c r="I761" s="735"/>
      <c r="J761" s="735"/>
      <c r="K761" s="735"/>
      <c r="L761" s="218"/>
      <c r="M761" s="220"/>
      <c r="N761" s="340">
        <v>0</v>
      </c>
      <c r="O761" s="340">
        <v>0</v>
      </c>
      <c r="P761" s="225">
        <v>0</v>
      </c>
      <c r="Q761" s="225">
        <v>5</v>
      </c>
      <c r="R761" s="221">
        <v>0</v>
      </c>
      <c r="S761" s="221">
        <v>0</v>
      </c>
      <c r="T761" s="221">
        <v>0</v>
      </c>
      <c r="U761" s="221">
        <v>0</v>
      </c>
      <c r="V761" s="221">
        <v>0</v>
      </c>
    </row>
    <row r="762" spans="1:24" ht="24" customHeight="1">
      <c r="A762" s="328" t="s">
        <v>493</v>
      </c>
      <c r="B762" s="328"/>
      <c r="C762" s="328"/>
      <c r="D762" s="665" t="s">
        <v>494</v>
      </c>
      <c r="E762" s="665"/>
      <c r="F762" s="665"/>
      <c r="G762" s="665"/>
      <c r="H762" s="665"/>
      <c r="I762" s="665"/>
      <c r="J762" s="665"/>
      <c r="K762" s="665"/>
      <c r="L762" s="209"/>
      <c r="M762" s="222"/>
      <c r="N762" s="341">
        <v>30767</v>
      </c>
      <c r="O762" s="341">
        <v>66662</v>
      </c>
      <c r="P762" s="224">
        <v>20000</v>
      </c>
      <c r="Q762" s="224">
        <v>20000</v>
      </c>
      <c r="R762" s="223">
        <v>20000</v>
      </c>
      <c r="S762" s="223">
        <v>20000</v>
      </c>
      <c r="T762" s="223">
        <v>20000</v>
      </c>
      <c r="U762" s="223">
        <v>20000</v>
      </c>
      <c r="V762" s="223">
        <v>20000</v>
      </c>
    </row>
    <row r="763" spans="1:24" ht="24" customHeight="1">
      <c r="A763" s="328" t="s">
        <v>495</v>
      </c>
      <c r="B763" s="328"/>
      <c r="C763" s="328"/>
      <c r="D763" s="328" t="s">
        <v>496</v>
      </c>
      <c r="E763" s="328"/>
      <c r="F763" s="328"/>
      <c r="G763" s="328"/>
      <c r="H763" s="328"/>
      <c r="I763" s="328"/>
      <c r="J763" s="328"/>
      <c r="K763" s="328"/>
      <c r="L763" s="209"/>
      <c r="M763" s="222"/>
      <c r="N763" s="341">
        <v>0</v>
      </c>
      <c r="O763" s="341">
        <v>568</v>
      </c>
      <c r="P763" s="224">
        <v>500</v>
      </c>
      <c r="Q763" s="224">
        <v>2841</v>
      </c>
      <c r="R763" s="223">
        <v>500</v>
      </c>
      <c r="S763" s="223">
        <v>500</v>
      </c>
      <c r="T763" s="223">
        <v>500</v>
      </c>
      <c r="U763" s="223">
        <v>500</v>
      </c>
      <c r="V763" s="223">
        <v>500</v>
      </c>
    </row>
    <row r="764" spans="1:24" ht="24" customHeight="1">
      <c r="A764" s="328" t="s">
        <v>497</v>
      </c>
      <c r="B764" s="328"/>
      <c r="C764" s="328"/>
      <c r="D764" s="328" t="s">
        <v>498</v>
      </c>
      <c r="E764" s="328"/>
      <c r="F764" s="328"/>
      <c r="G764" s="328"/>
      <c r="H764" s="328"/>
      <c r="I764" s="328"/>
      <c r="J764" s="328"/>
      <c r="K764" s="328"/>
      <c r="L764" s="209"/>
      <c r="M764" s="220"/>
      <c r="N764" s="340">
        <v>0</v>
      </c>
      <c r="O764" s="340">
        <v>0</v>
      </c>
      <c r="P764" s="225">
        <v>0</v>
      </c>
      <c r="Q764" s="225">
        <v>0</v>
      </c>
      <c r="R764" s="221">
        <v>2500</v>
      </c>
      <c r="S764" s="221">
        <v>2500</v>
      </c>
      <c r="T764" s="221">
        <v>2500</v>
      </c>
      <c r="U764" s="221">
        <v>2500</v>
      </c>
      <c r="V764" s="221">
        <v>2500</v>
      </c>
    </row>
    <row r="765" spans="1:24" ht="24" customHeight="1">
      <c r="A765" s="328" t="s">
        <v>1191</v>
      </c>
      <c r="B765" s="328"/>
      <c r="C765" s="328"/>
      <c r="D765" s="328" t="s">
        <v>1192</v>
      </c>
      <c r="E765" s="328"/>
      <c r="F765" s="328"/>
      <c r="G765" s="328"/>
      <c r="H765" s="328"/>
      <c r="I765" s="328"/>
      <c r="J765" s="328"/>
      <c r="K765" s="328"/>
      <c r="L765" s="209"/>
      <c r="M765" s="220"/>
      <c r="N765" s="340">
        <v>0</v>
      </c>
      <c r="O765" s="340">
        <v>1538</v>
      </c>
      <c r="P765" s="225">
        <v>0</v>
      </c>
      <c r="Q765" s="225">
        <v>0</v>
      </c>
      <c r="R765" s="221">
        <v>0</v>
      </c>
      <c r="S765" s="221">
        <v>0</v>
      </c>
      <c r="T765" s="221">
        <v>0</v>
      </c>
      <c r="U765" s="221">
        <v>0</v>
      </c>
      <c r="V765" s="221">
        <v>0</v>
      </c>
    </row>
    <row r="766" spans="1:24" ht="24" customHeight="1">
      <c r="A766" s="614" t="s">
        <v>1457</v>
      </c>
      <c r="B766" s="614"/>
      <c r="C766" s="614"/>
      <c r="D766" s="614" t="s">
        <v>1458</v>
      </c>
      <c r="E766" s="614"/>
      <c r="F766" s="614"/>
      <c r="G766" s="614"/>
      <c r="H766" s="614"/>
      <c r="I766" s="614"/>
      <c r="J766" s="614"/>
      <c r="K766" s="614"/>
      <c r="L766" s="209"/>
      <c r="M766" s="220"/>
      <c r="N766" s="340">
        <v>0</v>
      </c>
      <c r="O766" s="340">
        <v>0</v>
      </c>
      <c r="P766" s="225">
        <v>0</v>
      </c>
      <c r="Q766" s="225">
        <v>9371</v>
      </c>
      <c r="R766" s="221">
        <v>0</v>
      </c>
      <c r="S766" s="221">
        <v>0</v>
      </c>
      <c r="T766" s="221">
        <v>0</v>
      </c>
      <c r="U766" s="221">
        <v>0</v>
      </c>
      <c r="V766" s="221">
        <v>0</v>
      </c>
    </row>
    <row r="767" spans="1:24" ht="24" customHeight="1">
      <c r="A767" s="328" t="s">
        <v>1158</v>
      </c>
      <c r="B767" s="328"/>
      <c r="C767" s="328"/>
      <c r="D767" s="328" t="s">
        <v>1159</v>
      </c>
      <c r="E767" s="328"/>
      <c r="F767" s="328"/>
      <c r="G767" s="328"/>
      <c r="H767" s="328"/>
      <c r="I767" s="328"/>
      <c r="J767" s="328"/>
      <c r="K767" s="328"/>
      <c r="L767" s="209"/>
      <c r="M767" s="246"/>
      <c r="N767" s="345">
        <v>0</v>
      </c>
      <c r="O767" s="345">
        <v>0</v>
      </c>
      <c r="P767" s="235">
        <v>50000</v>
      </c>
      <c r="Q767" s="235">
        <v>50000</v>
      </c>
      <c r="R767" s="234">
        <v>50000</v>
      </c>
      <c r="S767" s="234">
        <v>50000</v>
      </c>
      <c r="T767" s="234">
        <v>0</v>
      </c>
      <c r="U767" s="234">
        <v>0</v>
      </c>
      <c r="V767" s="234">
        <v>0</v>
      </c>
      <c r="X767" s="217"/>
    </row>
    <row r="768" spans="1:24" ht="15" customHeight="1">
      <c r="A768" s="328"/>
      <c r="B768" s="328"/>
      <c r="C768" s="328"/>
      <c r="D768" s="328"/>
      <c r="E768" s="328"/>
      <c r="F768" s="328"/>
      <c r="G768" s="328"/>
      <c r="H768" s="328"/>
      <c r="I768" s="328"/>
      <c r="J768" s="328"/>
      <c r="K768" s="328"/>
      <c r="L768" s="209"/>
      <c r="N768" s="346"/>
      <c r="O768" s="346"/>
      <c r="P768" s="238"/>
      <c r="Q768" s="238"/>
      <c r="R768" s="237"/>
      <c r="S768" s="237"/>
      <c r="T768" s="237"/>
      <c r="U768" s="237"/>
      <c r="V768" s="237"/>
    </row>
    <row r="769" spans="1:24" s="328" customFormat="1" ht="24" customHeight="1">
      <c r="K769" s="400" t="s">
        <v>656</v>
      </c>
      <c r="L769" s="422"/>
      <c r="M769" s="423"/>
      <c r="N769" s="348">
        <f t="shared" ref="N769:V769" si="229">SUM(N756:N768)</f>
        <v>430767</v>
      </c>
      <c r="O769" s="348">
        <f t="shared" si="229"/>
        <v>468768</v>
      </c>
      <c r="P769" s="349">
        <f t="shared" si="229"/>
        <v>166500</v>
      </c>
      <c r="Q769" s="349">
        <f t="shared" si="229"/>
        <v>178217</v>
      </c>
      <c r="R769" s="348">
        <f t="shared" si="229"/>
        <v>73000</v>
      </c>
      <c r="S769" s="348">
        <f t="shared" si="229"/>
        <v>73000</v>
      </c>
      <c r="T769" s="348">
        <f t="shared" si="229"/>
        <v>423000</v>
      </c>
      <c r="U769" s="348">
        <f t="shared" si="229"/>
        <v>23000</v>
      </c>
      <c r="V769" s="348">
        <f t="shared" si="229"/>
        <v>23000</v>
      </c>
      <c r="W769" s="640"/>
    </row>
    <row r="770" spans="1:24" ht="15" customHeight="1">
      <c r="A770" s="328"/>
      <c r="B770" s="328"/>
      <c r="C770" s="328"/>
      <c r="D770" s="328"/>
      <c r="E770" s="328"/>
      <c r="F770" s="328"/>
      <c r="G770" s="328"/>
      <c r="H770" s="328"/>
      <c r="I770" s="328"/>
      <c r="J770" s="328"/>
      <c r="K770" s="328"/>
      <c r="L770" s="209"/>
      <c r="N770" s="346"/>
      <c r="O770" s="346"/>
      <c r="P770" s="238"/>
      <c r="Q770" s="238"/>
      <c r="R770" s="237"/>
      <c r="S770" s="237"/>
      <c r="T770" s="237"/>
      <c r="U770" s="237"/>
      <c r="V770" s="237"/>
    </row>
    <row r="771" spans="1:24" ht="24" customHeight="1">
      <c r="A771" s="396" t="s">
        <v>1120</v>
      </c>
      <c r="B771" s="397"/>
      <c r="C771" s="397"/>
      <c r="D771" s="396" t="s">
        <v>1119</v>
      </c>
      <c r="E771" s="397"/>
      <c r="F771" s="397"/>
      <c r="G771" s="397"/>
      <c r="H771" s="397"/>
      <c r="I771" s="397"/>
      <c r="J771" s="397"/>
      <c r="K771" s="397"/>
      <c r="L771" s="218"/>
      <c r="M771" s="229"/>
      <c r="N771" s="337">
        <v>20084</v>
      </c>
      <c r="O771" s="337">
        <v>0</v>
      </c>
      <c r="P771" s="212">
        <v>0</v>
      </c>
      <c r="Q771" s="212">
        <v>0</v>
      </c>
      <c r="R771" s="211">
        <v>0</v>
      </c>
      <c r="S771" s="211">
        <v>0</v>
      </c>
      <c r="T771" s="211">
        <v>0</v>
      </c>
      <c r="U771" s="211">
        <v>0</v>
      </c>
      <c r="V771" s="211">
        <v>0</v>
      </c>
      <c r="X771" s="213"/>
    </row>
    <row r="772" spans="1:24" ht="24" customHeight="1">
      <c r="A772" s="396" t="s">
        <v>1434</v>
      </c>
      <c r="B772" s="597"/>
      <c r="C772" s="597"/>
      <c r="D772" s="597" t="s">
        <v>1045</v>
      </c>
      <c r="E772" s="597"/>
      <c r="F772" s="597"/>
      <c r="G772" s="596"/>
      <c r="H772" s="596"/>
      <c r="I772" s="596"/>
      <c r="J772" s="596"/>
      <c r="K772" s="596"/>
      <c r="L772" s="218"/>
      <c r="M772" s="229"/>
      <c r="N772" s="337">
        <v>0</v>
      </c>
      <c r="O772" s="337">
        <v>0</v>
      </c>
      <c r="P772" s="212">
        <v>0</v>
      </c>
      <c r="Q772" s="212">
        <v>0</v>
      </c>
      <c r="R772" s="211">
        <v>0</v>
      </c>
      <c r="S772" s="211">
        <v>0</v>
      </c>
      <c r="T772" s="211">
        <v>0</v>
      </c>
      <c r="U772" s="211">
        <v>0</v>
      </c>
      <c r="V772" s="211">
        <v>0</v>
      </c>
      <c r="X772" s="213"/>
    </row>
    <row r="773" spans="1:24" ht="24" customHeight="1">
      <c r="A773" s="396" t="s">
        <v>1416</v>
      </c>
      <c r="B773" s="563"/>
      <c r="C773" s="563"/>
      <c r="D773" s="396" t="s">
        <v>1417</v>
      </c>
      <c r="E773" s="563"/>
      <c r="F773" s="563"/>
      <c r="G773" s="563"/>
      <c r="H773" s="563"/>
      <c r="I773" s="563"/>
      <c r="J773" s="563"/>
      <c r="K773" s="563"/>
      <c r="L773" s="218"/>
      <c r="M773" s="253"/>
      <c r="N773" s="340">
        <v>0</v>
      </c>
      <c r="O773" s="340">
        <v>0</v>
      </c>
      <c r="P773" s="225">
        <v>22000</v>
      </c>
      <c r="Q773" s="225">
        <v>22000</v>
      </c>
      <c r="R773" s="221">
        <v>0</v>
      </c>
      <c r="S773" s="221">
        <v>0</v>
      </c>
      <c r="T773" s="221">
        <v>0</v>
      </c>
      <c r="U773" s="221">
        <v>0</v>
      </c>
      <c r="V773" s="221">
        <v>0</v>
      </c>
    </row>
    <row r="774" spans="1:24" ht="24" customHeight="1">
      <c r="A774" s="396" t="s">
        <v>499</v>
      </c>
      <c r="B774" s="397"/>
      <c r="C774" s="397"/>
      <c r="D774" s="396" t="s">
        <v>500</v>
      </c>
      <c r="E774" s="397"/>
      <c r="F774" s="397"/>
      <c r="G774" s="397"/>
      <c r="H774" s="397"/>
      <c r="I774" s="397"/>
      <c r="J774" s="397"/>
      <c r="K774" s="397"/>
      <c r="L774" s="218"/>
      <c r="M774" s="253"/>
      <c r="N774" s="340">
        <v>11000</v>
      </c>
      <c r="O774" s="340">
        <v>12000</v>
      </c>
      <c r="P774" s="225">
        <v>13000</v>
      </c>
      <c r="Q774" s="225">
        <v>13000</v>
      </c>
      <c r="R774" s="221">
        <v>13000</v>
      </c>
      <c r="S774" s="221">
        <v>13000</v>
      </c>
      <c r="T774" s="221">
        <v>13000</v>
      </c>
      <c r="U774" s="221">
        <v>13000</v>
      </c>
      <c r="V774" s="221">
        <v>13000</v>
      </c>
    </row>
    <row r="775" spans="1:24" ht="24" customHeight="1">
      <c r="A775" s="396" t="s">
        <v>501</v>
      </c>
      <c r="B775" s="397"/>
      <c r="C775" s="397"/>
      <c r="D775" s="396" t="s">
        <v>502</v>
      </c>
      <c r="E775" s="397"/>
      <c r="F775" s="397"/>
      <c r="G775" s="397"/>
      <c r="H775" s="397"/>
      <c r="I775" s="397"/>
      <c r="J775" s="397"/>
      <c r="K775" s="397"/>
      <c r="L775" s="218"/>
      <c r="M775" s="253"/>
      <c r="N775" s="340">
        <v>305836</v>
      </c>
      <c r="O775" s="340">
        <v>40570</v>
      </c>
      <c r="P775" s="225">
        <v>0</v>
      </c>
      <c r="Q775" s="225">
        <v>0</v>
      </c>
      <c r="R775" s="221">
        <v>0</v>
      </c>
      <c r="S775" s="221">
        <v>0</v>
      </c>
      <c r="T775" s="221">
        <v>0</v>
      </c>
      <c r="U775" s="221">
        <v>0</v>
      </c>
      <c r="V775" s="221">
        <v>0</v>
      </c>
    </row>
    <row r="776" spans="1:24" ht="24" customHeight="1">
      <c r="A776" s="396" t="s">
        <v>503</v>
      </c>
      <c r="B776" s="397"/>
      <c r="C776" s="397"/>
      <c r="D776" s="416" t="s">
        <v>1102</v>
      </c>
      <c r="E776" s="397"/>
      <c r="F776" s="397"/>
      <c r="G776" s="397"/>
      <c r="H776" s="397"/>
      <c r="I776" s="397"/>
      <c r="J776" s="397"/>
      <c r="K776" s="397"/>
      <c r="L776" s="218"/>
      <c r="M776" s="253"/>
      <c r="N776" s="340">
        <v>0</v>
      </c>
      <c r="O776" s="340">
        <v>0</v>
      </c>
      <c r="P776" s="225">
        <v>76000</v>
      </c>
      <c r="Q776" s="225">
        <v>76000</v>
      </c>
      <c r="R776" s="221">
        <v>0</v>
      </c>
      <c r="S776" s="221">
        <v>0</v>
      </c>
      <c r="T776" s="221">
        <v>0</v>
      </c>
      <c r="U776" s="221">
        <v>0</v>
      </c>
      <c r="V776" s="221">
        <v>0</v>
      </c>
      <c r="X776" s="213"/>
    </row>
    <row r="777" spans="1:24" ht="24" customHeight="1">
      <c r="A777" s="396" t="s">
        <v>504</v>
      </c>
      <c r="B777" s="397"/>
      <c r="C777" s="397"/>
      <c r="D777" s="396" t="s">
        <v>505</v>
      </c>
      <c r="E777" s="397"/>
      <c r="F777" s="397"/>
      <c r="G777" s="397"/>
      <c r="H777" s="397"/>
      <c r="I777" s="397"/>
      <c r="J777" s="397"/>
      <c r="K777" s="397"/>
      <c r="L777" s="218"/>
      <c r="M777" s="253"/>
      <c r="N777" s="340">
        <v>0</v>
      </c>
      <c r="O777" s="340">
        <v>0</v>
      </c>
      <c r="P777" s="225">
        <v>0</v>
      </c>
      <c r="Q777" s="225">
        <v>0</v>
      </c>
      <c r="R777" s="221">
        <v>200000</v>
      </c>
      <c r="S777" s="221">
        <v>200000</v>
      </c>
      <c r="T777" s="221">
        <v>0</v>
      </c>
      <c r="U777" s="221">
        <v>0</v>
      </c>
      <c r="V777" s="221">
        <v>0</v>
      </c>
    </row>
    <row r="778" spans="1:24" ht="24" customHeight="1">
      <c r="A778" s="396" t="s">
        <v>817</v>
      </c>
      <c r="B778" s="397"/>
      <c r="C778" s="397"/>
      <c r="D778" s="398" t="s">
        <v>815</v>
      </c>
      <c r="E778" s="612"/>
      <c r="F778" s="612"/>
      <c r="G778" s="612"/>
      <c r="H778" s="612"/>
      <c r="I778" s="612"/>
      <c r="J778" s="612"/>
      <c r="K778" s="612"/>
      <c r="L778" s="218"/>
      <c r="M778" s="253"/>
      <c r="N778" s="340">
        <v>0</v>
      </c>
      <c r="O778" s="340">
        <v>0</v>
      </c>
      <c r="P778" s="225">
        <v>0</v>
      </c>
      <c r="Q778" s="225">
        <v>0</v>
      </c>
      <c r="R778" s="221">
        <v>0</v>
      </c>
      <c r="S778" s="221">
        <v>50000</v>
      </c>
      <c r="T778" s="221">
        <v>0</v>
      </c>
      <c r="U778" s="221">
        <v>0</v>
      </c>
      <c r="V778" s="221">
        <v>0</v>
      </c>
      <c r="X778" s="213"/>
    </row>
    <row r="779" spans="1:24" ht="24" customHeight="1">
      <c r="A779" s="396" t="s">
        <v>818</v>
      </c>
      <c r="B779" s="397"/>
      <c r="C779" s="397"/>
      <c r="D779" s="398" t="s">
        <v>816</v>
      </c>
      <c r="E779" s="612"/>
      <c r="F779" s="612"/>
      <c r="G779" s="612"/>
      <c r="H779" s="612"/>
      <c r="I779" s="612"/>
      <c r="J779" s="612"/>
      <c r="K779" s="612"/>
      <c r="L779" s="218"/>
      <c r="M779" s="271"/>
      <c r="N779" s="340">
        <v>0</v>
      </c>
      <c r="O779" s="340">
        <v>0</v>
      </c>
      <c r="P779" s="225">
        <v>0</v>
      </c>
      <c r="Q779" s="225">
        <v>0</v>
      </c>
      <c r="R779" s="221">
        <v>143850</v>
      </c>
      <c r="S779" s="221">
        <v>0</v>
      </c>
      <c r="T779" s="221">
        <v>0</v>
      </c>
      <c r="U779" s="221">
        <v>0</v>
      </c>
      <c r="V779" s="221">
        <v>0</v>
      </c>
      <c r="X779" s="213"/>
    </row>
    <row r="780" spans="1:24" ht="24" customHeight="1">
      <c r="A780" s="396" t="s">
        <v>1314</v>
      </c>
      <c r="B780" s="397"/>
      <c r="C780" s="397"/>
      <c r="D780" s="398" t="s">
        <v>1315</v>
      </c>
      <c r="E780" s="397"/>
      <c r="F780" s="397"/>
      <c r="G780" s="397"/>
      <c r="H780" s="397"/>
      <c r="I780" s="397"/>
      <c r="J780" s="397"/>
      <c r="K780" s="397"/>
      <c r="L780" s="218"/>
      <c r="M780" s="271"/>
      <c r="N780" s="345">
        <v>0</v>
      </c>
      <c r="O780" s="345">
        <v>0</v>
      </c>
      <c r="P780" s="235">
        <v>0</v>
      </c>
      <c r="Q780" s="235">
        <v>0</v>
      </c>
      <c r="R780" s="234">
        <v>50000</v>
      </c>
      <c r="S780" s="234">
        <v>50000</v>
      </c>
      <c r="T780" s="234">
        <v>0</v>
      </c>
      <c r="U780" s="234">
        <v>0</v>
      </c>
      <c r="V780" s="234">
        <v>0</v>
      </c>
      <c r="X780" s="213"/>
    </row>
    <row r="781" spans="1:24" ht="15" customHeight="1">
      <c r="A781" s="396"/>
      <c r="B781" s="328"/>
      <c r="C781" s="328"/>
      <c r="D781" s="328"/>
      <c r="E781" s="328"/>
      <c r="F781" s="328"/>
      <c r="G781" s="328"/>
      <c r="H781" s="328"/>
      <c r="I781" s="328"/>
      <c r="J781" s="328"/>
      <c r="K781" s="328"/>
      <c r="L781" s="209"/>
      <c r="N781" s="346"/>
      <c r="O781" s="346"/>
      <c r="P781" s="238"/>
      <c r="Q781" s="238"/>
      <c r="R781" s="237"/>
      <c r="S781" s="237"/>
      <c r="T781" s="237"/>
      <c r="U781" s="237"/>
      <c r="V781" s="237"/>
    </row>
    <row r="782" spans="1:24" s="328" customFormat="1" ht="24" customHeight="1">
      <c r="K782" s="400" t="s">
        <v>659</v>
      </c>
      <c r="L782" s="422"/>
      <c r="M782" s="441"/>
      <c r="N782" s="348">
        <f t="shared" ref="N782" si="230">SUM(N771:N781)</f>
        <v>336920</v>
      </c>
      <c r="O782" s="348">
        <f t="shared" ref="O782:V782" si="231">SUM(O771:O781)</f>
        <v>52570</v>
      </c>
      <c r="P782" s="349">
        <f t="shared" ref="P782" si="232">SUM(P771:P781)</f>
        <v>111000</v>
      </c>
      <c r="Q782" s="349">
        <f t="shared" si="231"/>
        <v>111000</v>
      </c>
      <c r="R782" s="348">
        <f t="shared" ref="R782:U782" si="233">SUM(R771:R781)</f>
        <v>406850</v>
      </c>
      <c r="S782" s="348">
        <f t="shared" si="233"/>
        <v>313000</v>
      </c>
      <c r="T782" s="348">
        <f t="shared" si="233"/>
        <v>13000</v>
      </c>
      <c r="U782" s="348">
        <f t="shared" si="233"/>
        <v>13000</v>
      </c>
      <c r="V782" s="348">
        <f t="shared" si="231"/>
        <v>13000</v>
      </c>
      <c r="W782" s="640"/>
    </row>
    <row r="783" spans="1:24" s="328" customFormat="1" ht="15" customHeight="1">
      <c r="L783" s="424"/>
      <c r="M783" s="422"/>
      <c r="N783" s="365"/>
      <c r="O783" s="365"/>
      <c r="P783" s="366"/>
      <c r="Q783" s="366"/>
      <c r="R783" s="365"/>
      <c r="S783" s="365"/>
      <c r="T783" s="365"/>
      <c r="U783" s="365"/>
      <c r="V783" s="365"/>
      <c r="W783" s="640"/>
    </row>
    <row r="784" spans="1:24" s="328" customFormat="1" ht="24" customHeight="1">
      <c r="K784" s="400" t="s">
        <v>660</v>
      </c>
      <c r="L784" s="422"/>
      <c r="M784" s="422"/>
      <c r="N784" s="365">
        <f t="shared" ref="N784:V784" si="234">N769-N782</f>
        <v>93847</v>
      </c>
      <c r="O784" s="365">
        <f t="shared" si="234"/>
        <v>416198</v>
      </c>
      <c r="P784" s="366">
        <f t="shared" si="234"/>
        <v>55500</v>
      </c>
      <c r="Q784" s="366">
        <f t="shared" si="234"/>
        <v>67217</v>
      </c>
      <c r="R784" s="365">
        <f t="shared" si="234"/>
        <v>-333850</v>
      </c>
      <c r="S784" s="365">
        <f t="shared" si="234"/>
        <v>-240000</v>
      </c>
      <c r="T784" s="365">
        <f t="shared" si="234"/>
        <v>410000</v>
      </c>
      <c r="U784" s="365">
        <f t="shared" si="234"/>
        <v>10000</v>
      </c>
      <c r="V784" s="365">
        <f t="shared" si="234"/>
        <v>10000</v>
      </c>
      <c r="W784" s="640"/>
    </row>
    <row r="785" spans="1:24" s="328" customFormat="1" ht="15" customHeight="1">
      <c r="L785" s="424"/>
      <c r="M785" s="422"/>
      <c r="N785" s="365"/>
      <c r="O785" s="365"/>
      <c r="P785" s="366"/>
      <c r="Q785" s="366"/>
      <c r="R785" s="365"/>
      <c r="S785" s="365"/>
      <c r="T785" s="365"/>
      <c r="U785" s="365"/>
      <c r="V785" s="365"/>
      <c r="W785" s="640"/>
    </row>
    <row r="786" spans="1:24" s="328" customFormat="1" ht="24" customHeight="1">
      <c r="K786" s="405" t="s">
        <v>662</v>
      </c>
      <c r="L786" s="422"/>
      <c r="M786" s="422"/>
      <c r="N786" s="365">
        <v>-294778</v>
      </c>
      <c r="O786" s="365">
        <v>121420</v>
      </c>
      <c r="P786" s="366">
        <v>162581</v>
      </c>
      <c r="Q786" s="366">
        <f>O786+Q784</f>
        <v>188637</v>
      </c>
      <c r="R786" s="365">
        <f>Q786+R784</f>
        <v>-145213</v>
      </c>
      <c r="S786" s="365">
        <f>R786+S784</f>
        <v>-385213</v>
      </c>
      <c r="T786" s="365">
        <f>S786+T784</f>
        <v>24787</v>
      </c>
      <c r="U786" s="365">
        <f>T786+U784</f>
        <v>34787</v>
      </c>
      <c r="V786" s="365">
        <f>U786+V784</f>
        <v>44787</v>
      </c>
      <c r="W786" s="640"/>
    </row>
    <row r="787" spans="1:24" ht="15" customHeight="1">
      <c r="A787" s="328"/>
      <c r="B787" s="328"/>
      <c r="C787" s="328"/>
      <c r="D787" s="328"/>
      <c r="E787" s="328"/>
      <c r="F787" s="328"/>
      <c r="G787" s="328"/>
      <c r="H787" s="328"/>
      <c r="I787" s="328"/>
      <c r="J787" s="328"/>
      <c r="K787" s="328"/>
      <c r="L787" s="209"/>
      <c r="M787" s="240"/>
      <c r="N787" s="620"/>
      <c r="O787" s="620"/>
      <c r="P787" s="624"/>
      <c r="Q787" s="624"/>
      <c r="R787" s="625"/>
      <c r="S787" s="625"/>
      <c r="T787" s="625"/>
      <c r="U787" s="625"/>
      <c r="V787" s="625"/>
    </row>
    <row r="788" spans="1:24" ht="24" customHeight="1">
      <c r="A788" s="407" t="s">
        <v>681</v>
      </c>
      <c r="B788" s="328"/>
      <c r="C788" s="328"/>
      <c r="D788" s="328"/>
      <c r="E788" s="328"/>
      <c r="F788" s="328"/>
      <c r="G788" s="328"/>
      <c r="H788" s="328"/>
      <c r="I788" s="328"/>
      <c r="J788" s="328"/>
      <c r="K788" s="328"/>
      <c r="L788" s="209"/>
      <c r="N788" s="394"/>
      <c r="O788" s="394"/>
      <c r="P788" s="618"/>
      <c r="Q788" s="618"/>
      <c r="R788" s="619"/>
      <c r="S788" s="619"/>
      <c r="T788" s="619"/>
      <c r="U788" s="619"/>
      <c r="V788" s="619"/>
    </row>
    <row r="789" spans="1:24" ht="15" customHeight="1">
      <c r="A789" s="328"/>
      <c r="B789" s="328"/>
      <c r="C789" s="328"/>
      <c r="D789" s="328"/>
      <c r="E789" s="328"/>
      <c r="F789" s="328"/>
      <c r="G789" s="328"/>
      <c r="H789" s="328"/>
      <c r="I789" s="328"/>
      <c r="J789" s="328"/>
      <c r="K789" s="328"/>
      <c r="L789" s="209"/>
      <c r="N789" s="394"/>
      <c r="O789" s="394"/>
      <c r="P789" s="618"/>
      <c r="Q789" s="618"/>
      <c r="R789" s="619"/>
      <c r="S789" s="619"/>
      <c r="T789" s="619"/>
      <c r="U789" s="619"/>
      <c r="V789" s="619"/>
    </row>
    <row r="790" spans="1:24" ht="24" customHeight="1">
      <c r="A790" s="396" t="s">
        <v>1080</v>
      </c>
      <c r="B790" s="328"/>
      <c r="C790" s="328"/>
      <c r="D790" s="178" t="s">
        <v>1081</v>
      </c>
      <c r="E790" s="328"/>
      <c r="F790" s="328"/>
      <c r="G790" s="328"/>
      <c r="H790" s="328"/>
      <c r="I790" s="328"/>
      <c r="J790" s="328"/>
      <c r="K790" s="328"/>
      <c r="L790" s="209"/>
      <c r="M790" s="222">
        <v>0</v>
      </c>
      <c r="N790" s="341">
        <v>6935</v>
      </c>
      <c r="O790" s="341">
        <v>35120</v>
      </c>
      <c r="P790" s="224">
        <v>30000</v>
      </c>
      <c r="Q790" s="224">
        <v>45355</v>
      </c>
      <c r="R790" s="223">
        <v>35000</v>
      </c>
      <c r="S790" s="223">
        <v>35000</v>
      </c>
      <c r="T790" s="223">
        <v>35000</v>
      </c>
      <c r="U790" s="223">
        <v>35000</v>
      </c>
      <c r="V790" s="223">
        <v>35000</v>
      </c>
    </row>
    <row r="791" spans="1:24" ht="24" customHeight="1">
      <c r="A791" s="396" t="s">
        <v>1082</v>
      </c>
      <c r="B791" s="328"/>
      <c r="C791" s="328"/>
      <c r="D791" s="178" t="s">
        <v>1083</v>
      </c>
      <c r="E791" s="328"/>
      <c r="F791" s="328"/>
      <c r="G791" s="328"/>
      <c r="H791" s="328"/>
      <c r="I791" s="328"/>
      <c r="J791" s="328"/>
      <c r="K791" s="328"/>
      <c r="L791" s="209"/>
      <c r="M791" s="222">
        <v>0</v>
      </c>
      <c r="N791" s="341">
        <v>41756</v>
      </c>
      <c r="O791" s="341">
        <v>59559</v>
      </c>
      <c r="P791" s="224">
        <v>50000</v>
      </c>
      <c r="Q791" s="224">
        <v>75000</v>
      </c>
      <c r="R791" s="223">
        <v>75000</v>
      </c>
      <c r="S791" s="223">
        <v>75000</v>
      </c>
      <c r="T791" s="223">
        <v>75000</v>
      </c>
      <c r="U791" s="223">
        <v>75000</v>
      </c>
      <c r="V791" s="223">
        <v>75000</v>
      </c>
    </row>
    <row r="792" spans="1:24" ht="24" customHeight="1">
      <c r="A792" s="396" t="s">
        <v>1084</v>
      </c>
      <c r="B792" s="328"/>
      <c r="C792" s="328"/>
      <c r="D792" s="178" t="s">
        <v>1326</v>
      </c>
      <c r="E792" s="328"/>
      <c r="F792" s="328"/>
      <c r="G792" s="328"/>
      <c r="H792" s="328"/>
      <c r="I792" s="328"/>
      <c r="J792" s="328"/>
      <c r="K792" s="328"/>
      <c r="L792" s="209"/>
      <c r="M792" s="222">
        <v>0</v>
      </c>
      <c r="N792" s="341">
        <v>124164</v>
      </c>
      <c r="O792" s="341">
        <v>138466</v>
      </c>
      <c r="P792" s="224">
        <v>130000</v>
      </c>
      <c r="Q792" s="224">
        <v>135000</v>
      </c>
      <c r="R792" s="223">
        <v>140000</v>
      </c>
      <c r="S792" s="223">
        <v>140000</v>
      </c>
      <c r="T792" s="223">
        <v>140000</v>
      </c>
      <c r="U792" s="223">
        <v>140000</v>
      </c>
      <c r="V792" s="223">
        <v>140000</v>
      </c>
    </row>
    <row r="793" spans="1:24" ht="24" customHeight="1">
      <c r="A793" s="396" t="s">
        <v>1317</v>
      </c>
      <c r="B793" s="397"/>
      <c r="C793" s="397"/>
      <c r="D793" s="396" t="s">
        <v>506</v>
      </c>
      <c r="E793" s="397"/>
      <c r="F793" s="397"/>
      <c r="G793" s="397"/>
      <c r="H793" s="397"/>
      <c r="I793" s="397"/>
      <c r="J793" s="397"/>
      <c r="K793" s="397"/>
      <c r="L793" s="218">
        <v>244521</v>
      </c>
      <c r="M793" s="214">
        <v>180230</v>
      </c>
      <c r="N793" s="339">
        <v>53905</v>
      </c>
      <c r="O793" s="339">
        <v>0</v>
      </c>
      <c r="P793" s="216">
        <v>0</v>
      </c>
      <c r="Q793" s="216">
        <v>0</v>
      </c>
      <c r="R793" s="215">
        <v>0</v>
      </c>
      <c r="S793" s="215">
        <v>0</v>
      </c>
      <c r="T793" s="215">
        <v>0</v>
      </c>
      <c r="U793" s="215">
        <v>0</v>
      </c>
      <c r="V793" s="215">
        <v>0</v>
      </c>
    </row>
    <row r="794" spans="1:24" ht="24" customHeight="1">
      <c r="A794" s="396" t="s">
        <v>507</v>
      </c>
      <c r="B794" s="328"/>
      <c r="C794" s="328"/>
      <c r="D794" s="396" t="s">
        <v>508</v>
      </c>
      <c r="E794" s="328"/>
      <c r="F794" s="328"/>
      <c r="G794" s="328"/>
      <c r="H794" s="328"/>
      <c r="I794" s="328"/>
      <c r="J794" s="328"/>
      <c r="K794" s="328"/>
      <c r="L794" s="209">
        <v>29597</v>
      </c>
      <c r="M794" s="214">
        <v>39573</v>
      </c>
      <c r="N794" s="339">
        <v>38939</v>
      </c>
      <c r="O794" s="339">
        <v>32469</v>
      </c>
      <c r="P794" s="216">
        <v>30000</v>
      </c>
      <c r="Q794" s="216">
        <v>31321</v>
      </c>
      <c r="R794" s="215">
        <v>30000</v>
      </c>
      <c r="S794" s="215">
        <v>30000</v>
      </c>
      <c r="T794" s="215">
        <v>30000</v>
      </c>
      <c r="U794" s="215">
        <v>30000</v>
      </c>
      <c r="V794" s="215">
        <v>30000</v>
      </c>
    </row>
    <row r="795" spans="1:24" ht="24" customHeight="1">
      <c r="A795" s="396" t="s">
        <v>510</v>
      </c>
      <c r="B795" s="397"/>
      <c r="C795" s="397"/>
      <c r="D795" s="735" t="s">
        <v>6</v>
      </c>
      <c r="E795" s="735"/>
      <c r="F795" s="735"/>
      <c r="G795" s="735"/>
      <c r="H795" s="735"/>
      <c r="I795" s="735"/>
      <c r="J795" s="735"/>
      <c r="K795" s="735"/>
      <c r="L795" s="218">
        <v>1370</v>
      </c>
      <c r="M795" s="214">
        <v>286</v>
      </c>
      <c r="N795" s="339">
        <v>175</v>
      </c>
      <c r="O795" s="339">
        <v>244</v>
      </c>
      <c r="P795" s="216">
        <v>200</v>
      </c>
      <c r="Q795" s="216">
        <v>250</v>
      </c>
      <c r="R795" s="215">
        <v>250</v>
      </c>
      <c r="S795" s="215">
        <v>250</v>
      </c>
      <c r="T795" s="215">
        <v>250</v>
      </c>
      <c r="U795" s="215">
        <v>250</v>
      </c>
      <c r="V795" s="215">
        <v>250</v>
      </c>
      <c r="W795" s="515"/>
    </row>
    <row r="796" spans="1:24" ht="24" customHeight="1">
      <c r="A796" s="396" t="s">
        <v>731</v>
      </c>
      <c r="B796" s="397"/>
      <c r="C796" s="397"/>
      <c r="D796" s="396" t="s">
        <v>292</v>
      </c>
      <c r="E796" s="397"/>
      <c r="F796" s="397"/>
      <c r="G796" s="397"/>
      <c r="H796" s="397"/>
      <c r="I796" s="397"/>
      <c r="J796" s="397"/>
      <c r="K796" s="397"/>
      <c r="L796" s="218"/>
      <c r="M796" s="214">
        <v>0</v>
      </c>
      <c r="N796" s="339">
        <v>0</v>
      </c>
      <c r="O796" s="339">
        <v>12521</v>
      </c>
      <c r="P796" s="216">
        <v>0</v>
      </c>
      <c r="Q796" s="216">
        <v>0</v>
      </c>
      <c r="R796" s="215">
        <v>0</v>
      </c>
      <c r="S796" s="215">
        <v>0</v>
      </c>
      <c r="T796" s="215">
        <v>0</v>
      </c>
      <c r="U796" s="215">
        <v>0</v>
      </c>
      <c r="V796" s="215">
        <v>0</v>
      </c>
      <c r="X796" s="213"/>
    </row>
    <row r="797" spans="1:24" ht="24" customHeight="1">
      <c r="A797" s="396" t="s">
        <v>842</v>
      </c>
      <c r="B797" s="397"/>
      <c r="C797" s="397"/>
      <c r="D797" s="397" t="s">
        <v>67</v>
      </c>
      <c r="E797" s="397"/>
      <c r="F797" s="397"/>
      <c r="G797" s="397"/>
      <c r="H797" s="397"/>
      <c r="I797" s="397"/>
      <c r="J797" s="397"/>
      <c r="K797" s="397"/>
      <c r="L797" s="218"/>
      <c r="M797" s="220">
        <v>0</v>
      </c>
      <c r="N797" s="340">
        <v>3336</v>
      </c>
      <c r="O797" s="340">
        <v>8426</v>
      </c>
      <c r="P797" s="225">
        <v>0</v>
      </c>
      <c r="Q797" s="225">
        <v>0</v>
      </c>
      <c r="R797" s="221">
        <v>0</v>
      </c>
      <c r="S797" s="221">
        <v>0</v>
      </c>
      <c r="T797" s="221">
        <v>0</v>
      </c>
      <c r="U797" s="221">
        <v>0</v>
      </c>
      <c r="V797" s="221">
        <v>0</v>
      </c>
    </row>
    <row r="798" spans="1:24" ht="24" customHeight="1">
      <c r="A798" s="396" t="s">
        <v>511</v>
      </c>
      <c r="B798" s="328"/>
      <c r="C798" s="328"/>
      <c r="D798" s="396" t="s">
        <v>264</v>
      </c>
      <c r="E798" s="328"/>
      <c r="F798" s="328"/>
      <c r="G798" s="328"/>
      <c r="H798" s="328"/>
      <c r="I798" s="328"/>
      <c r="J798" s="328"/>
      <c r="K798" s="328"/>
      <c r="L798" s="209">
        <v>15991</v>
      </c>
      <c r="M798" s="226">
        <v>19329</v>
      </c>
      <c r="N798" s="340">
        <v>54240</v>
      </c>
      <c r="O798" s="340">
        <v>54758</v>
      </c>
      <c r="P798" s="228">
        <v>55000</v>
      </c>
      <c r="Q798" s="228">
        <v>55000</v>
      </c>
      <c r="R798" s="227">
        <v>50000</v>
      </c>
      <c r="S798" s="227">
        <v>50000</v>
      </c>
      <c r="T798" s="227">
        <v>50000</v>
      </c>
      <c r="U798" s="227">
        <v>50000</v>
      </c>
      <c r="V798" s="227">
        <v>50000</v>
      </c>
      <c r="X798" s="213"/>
    </row>
    <row r="799" spans="1:24" ht="24" customHeight="1">
      <c r="A799" s="396" t="s">
        <v>819</v>
      </c>
      <c r="B799" s="328"/>
      <c r="C799" s="328"/>
      <c r="D799" s="396" t="s">
        <v>1058</v>
      </c>
      <c r="E799" s="328"/>
      <c r="F799" s="328"/>
      <c r="G799" s="328"/>
      <c r="H799" s="328"/>
      <c r="I799" s="328"/>
      <c r="J799" s="328"/>
      <c r="K799" s="328"/>
      <c r="L799" s="209"/>
      <c r="M799" s="226">
        <v>0</v>
      </c>
      <c r="N799" s="340">
        <v>27143</v>
      </c>
      <c r="O799" s="340">
        <v>12552</v>
      </c>
      <c r="P799" s="228">
        <v>25000</v>
      </c>
      <c r="Q799" s="228">
        <v>26742</v>
      </c>
      <c r="R799" s="227">
        <v>25000</v>
      </c>
      <c r="S799" s="227">
        <v>25000</v>
      </c>
      <c r="T799" s="227">
        <v>25000</v>
      </c>
      <c r="U799" s="227">
        <v>25000</v>
      </c>
      <c r="V799" s="227">
        <v>25000</v>
      </c>
      <c r="X799" s="213"/>
    </row>
    <row r="800" spans="1:24" ht="24" customHeight="1">
      <c r="A800" s="396" t="s">
        <v>1114</v>
      </c>
      <c r="B800" s="328"/>
      <c r="C800" s="328"/>
      <c r="D800" s="396" t="s">
        <v>509</v>
      </c>
      <c r="E800" s="328"/>
      <c r="F800" s="328"/>
      <c r="G800" s="328"/>
      <c r="H800" s="328"/>
      <c r="I800" s="328"/>
      <c r="J800" s="328"/>
      <c r="K800" s="328"/>
      <c r="L800" s="209">
        <v>110763</v>
      </c>
      <c r="M800" s="214">
        <v>137448</v>
      </c>
      <c r="N800" s="339">
        <v>100960</v>
      </c>
      <c r="O800" s="339">
        <v>119235</v>
      </c>
      <c r="P800" s="216">
        <v>135000</v>
      </c>
      <c r="Q800" s="216">
        <v>90597</v>
      </c>
      <c r="R800" s="215">
        <v>125000</v>
      </c>
      <c r="S800" s="215">
        <v>125000</v>
      </c>
      <c r="T800" s="215">
        <v>125000</v>
      </c>
      <c r="U800" s="215">
        <v>125000</v>
      </c>
      <c r="V800" s="215">
        <v>125000</v>
      </c>
    </row>
    <row r="801" spans="1:29" ht="24" customHeight="1">
      <c r="A801" s="396" t="s">
        <v>512</v>
      </c>
      <c r="B801" s="328"/>
      <c r="C801" s="328"/>
      <c r="D801" s="396" t="s">
        <v>1327</v>
      </c>
      <c r="E801" s="328"/>
      <c r="F801" s="328"/>
      <c r="G801" s="328"/>
      <c r="H801" s="328"/>
      <c r="I801" s="328"/>
      <c r="J801" s="328"/>
      <c r="K801" s="328"/>
      <c r="L801" s="209">
        <v>16301</v>
      </c>
      <c r="M801" s="226">
        <v>10576</v>
      </c>
      <c r="N801" s="343">
        <v>4314</v>
      </c>
      <c r="O801" s="343">
        <v>5569</v>
      </c>
      <c r="P801" s="228">
        <v>5000</v>
      </c>
      <c r="Q801" s="228">
        <v>5000</v>
      </c>
      <c r="R801" s="227">
        <v>5000</v>
      </c>
      <c r="S801" s="227">
        <v>5000</v>
      </c>
      <c r="T801" s="227">
        <v>5000</v>
      </c>
      <c r="U801" s="227">
        <f>14000+700</f>
        <v>14700</v>
      </c>
      <c r="V801" s="227">
        <f>14000+700</f>
        <v>14700</v>
      </c>
    </row>
    <row r="802" spans="1:29" ht="24" customHeight="1">
      <c r="A802" s="396" t="s">
        <v>513</v>
      </c>
      <c r="B802" s="328"/>
      <c r="C802" s="328"/>
      <c r="D802" s="396" t="s">
        <v>7</v>
      </c>
      <c r="E802" s="328"/>
      <c r="F802" s="328"/>
      <c r="G802" s="328"/>
      <c r="H802" s="328"/>
      <c r="I802" s="328"/>
      <c r="J802" s="328"/>
      <c r="K802" s="328"/>
      <c r="L802" s="209"/>
      <c r="M802" s="214">
        <v>0</v>
      </c>
      <c r="N802" s="339">
        <v>7031</v>
      </c>
      <c r="O802" s="339">
        <v>3754</v>
      </c>
      <c r="P802" s="216">
        <v>3000</v>
      </c>
      <c r="Q802" s="216">
        <v>3000</v>
      </c>
      <c r="R802" s="215">
        <v>3000</v>
      </c>
      <c r="S802" s="215">
        <v>3000</v>
      </c>
      <c r="T802" s="215">
        <v>3000</v>
      </c>
      <c r="U802" s="215">
        <v>3000</v>
      </c>
      <c r="V802" s="215">
        <v>3000</v>
      </c>
      <c r="W802" s="515"/>
    </row>
    <row r="803" spans="1:29" ht="24" customHeight="1">
      <c r="A803" s="396" t="s">
        <v>514</v>
      </c>
      <c r="B803" s="397"/>
      <c r="C803" s="397"/>
      <c r="D803" s="396" t="s">
        <v>313</v>
      </c>
      <c r="E803" s="397"/>
      <c r="F803" s="397"/>
      <c r="G803" s="397"/>
      <c r="H803" s="397"/>
      <c r="I803" s="397"/>
      <c r="J803" s="397"/>
      <c r="K803" s="397"/>
      <c r="L803" s="218">
        <v>1080348</v>
      </c>
      <c r="M803" s="310">
        <v>1119500</v>
      </c>
      <c r="N803" s="354">
        <v>736710</v>
      </c>
      <c r="O803" s="354">
        <v>955886</v>
      </c>
      <c r="P803" s="256">
        <v>1765504</v>
      </c>
      <c r="Q803" s="256">
        <v>1765504</v>
      </c>
      <c r="R803" s="255">
        <f>1012002-3000+25000+75000+60000+22932+33690-13500-59422-44591+2000+179850-31809+285-1176-184466+3450+54743+148986-108032-270+7747+29187+69000</f>
        <v>1277606</v>
      </c>
      <c r="S803" s="255">
        <f>1041056-3000+28000+63000+90940+28223+35032-13500-38257-38879+1001-908+288431-40825+252+36800+22894+11423-273757+4587-7464+136260-30050+7735-400-9000</f>
        <v>1339594</v>
      </c>
      <c r="T803" s="255">
        <f>1076173-3000+25000+50000+95806+27999+35925-13500-38549-38878+1000-907+103348-47683+254+153641+43957+26431-221950+6062+42+142947-30050+7900</f>
        <v>1401968</v>
      </c>
      <c r="U803" s="255">
        <f>1076173-3000+50000+50000+83813+28000+36930-13500-40185-38880+1000-907+137556-55628+258+151575+69791+37904-66089+7627-180033+149962-30050+8509</f>
        <v>1460826</v>
      </c>
      <c r="V803" s="255">
        <f>1076173-3000+50000+50000+83813+28000+36930-13500-40185-38880+1000-907+170427-64796+260+156675+96006+51006-279891+9285+23483+157415+2575-30050+9165</f>
        <v>1531004</v>
      </c>
    </row>
    <row r="804" spans="1:29" ht="15" customHeight="1">
      <c r="A804" s="328"/>
      <c r="B804" s="328"/>
      <c r="C804" s="328"/>
      <c r="D804" s="328"/>
      <c r="E804" s="328"/>
      <c r="F804" s="328"/>
      <c r="G804" s="328"/>
      <c r="H804" s="328"/>
      <c r="I804" s="328"/>
      <c r="J804" s="328"/>
      <c r="K804" s="328"/>
      <c r="L804" s="209"/>
      <c r="N804" s="346"/>
      <c r="O804" s="346"/>
      <c r="P804" s="238"/>
      <c r="Q804" s="238"/>
      <c r="R804" s="237"/>
      <c r="S804" s="237"/>
      <c r="T804" s="237"/>
      <c r="U804" s="237"/>
      <c r="V804" s="237"/>
    </row>
    <row r="805" spans="1:29" s="328" customFormat="1" ht="24" customHeight="1">
      <c r="K805" s="400" t="s">
        <v>656</v>
      </c>
      <c r="L805" s="422"/>
      <c r="M805" s="423"/>
      <c r="N805" s="348">
        <f t="shared" ref="N805" si="235">SUM(N790:N804)</f>
        <v>1199608</v>
      </c>
      <c r="O805" s="348">
        <f t="shared" ref="O805:V805" si="236">SUM(O790:O804)</f>
        <v>1438559</v>
      </c>
      <c r="P805" s="349">
        <f t="shared" ref="P805:Q805" si="237">SUM(P790:P804)</f>
        <v>2228704</v>
      </c>
      <c r="Q805" s="349">
        <f t="shared" si="237"/>
        <v>2232769</v>
      </c>
      <c r="R805" s="348">
        <f t="shared" ref="R805:U805" si="238">SUM(R790:R804)</f>
        <v>1765856</v>
      </c>
      <c r="S805" s="348">
        <f t="shared" si="238"/>
        <v>1827844</v>
      </c>
      <c r="T805" s="348">
        <f t="shared" si="238"/>
        <v>1890218</v>
      </c>
      <c r="U805" s="348">
        <f t="shared" si="238"/>
        <v>1958776</v>
      </c>
      <c r="V805" s="348">
        <f t="shared" si="236"/>
        <v>2028954</v>
      </c>
      <c r="W805" s="640"/>
    </row>
    <row r="806" spans="1:29" ht="15" customHeight="1">
      <c r="A806" s="328"/>
      <c r="B806" s="328"/>
      <c r="C806" s="328"/>
      <c r="D806" s="328"/>
      <c r="E806" s="328"/>
      <c r="F806" s="328"/>
      <c r="G806" s="328"/>
      <c r="H806" s="328"/>
      <c r="I806" s="328"/>
      <c r="J806" s="328"/>
      <c r="K806" s="328"/>
      <c r="L806" s="209"/>
      <c r="N806" s="346"/>
      <c r="O806" s="346"/>
      <c r="P806" s="238"/>
      <c r="Q806" s="238"/>
      <c r="R806" s="237"/>
      <c r="S806" s="237"/>
      <c r="T806" s="237"/>
      <c r="U806" s="237"/>
      <c r="V806" s="237"/>
    </row>
    <row r="807" spans="1:29" ht="24" customHeight="1">
      <c r="A807" s="400" t="s">
        <v>725</v>
      </c>
      <c r="B807" s="328"/>
      <c r="C807" s="328"/>
      <c r="D807" s="328"/>
      <c r="E807" s="328"/>
      <c r="F807" s="328"/>
      <c r="G807" s="328"/>
      <c r="H807" s="328"/>
      <c r="I807" s="328"/>
      <c r="J807" s="328"/>
      <c r="K807" s="328"/>
      <c r="L807" s="209"/>
      <c r="N807" s="346"/>
      <c r="O807" s="346"/>
      <c r="P807" s="238"/>
      <c r="Q807" s="238"/>
      <c r="R807" s="237"/>
      <c r="S807" s="237"/>
      <c r="T807" s="237"/>
      <c r="U807" s="237"/>
      <c r="V807" s="237"/>
    </row>
    <row r="808" spans="1:29" ht="24" customHeight="1">
      <c r="A808" s="396" t="s">
        <v>515</v>
      </c>
      <c r="B808" s="397"/>
      <c r="C808" s="397"/>
      <c r="D808" s="396" t="s">
        <v>1095</v>
      </c>
      <c r="E808" s="397"/>
      <c r="F808" s="397"/>
      <c r="G808" s="397"/>
      <c r="H808" s="397"/>
      <c r="I808" s="397"/>
      <c r="J808" s="397"/>
      <c r="K808" s="397"/>
      <c r="L808" s="218"/>
      <c r="M808" s="247"/>
      <c r="N808" s="339">
        <v>369514</v>
      </c>
      <c r="O808" s="339">
        <v>400384</v>
      </c>
      <c r="P808" s="216">
        <v>427948</v>
      </c>
      <c r="Q808" s="216">
        <v>427948</v>
      </c>
      <c r="R808" s="215">
        <v>447564</v>
      </c>
      <c r="S808" s="227">
        <v>460991</v>
      </c>
      <c r="T808" s="227">
        <v>477126</v>
      </c>
      <c r="U808" s="227">
        <v>493825</v>
      </c>
      <c r="V808" s="227">
        <v>511109</v>
      </c>
      <c r="X808" s="656"/>
      <c r="Y808" s="657"/>
      <c r="Z808" s="657"/>
      <c r="AA808" s="657"/>
      <c r="AC808" s="213"/>
    </row>
    <row r="809" spans="1:29" ht="24" customHeight="1">
      <c r="A809" s="396" t="s">
        <v>516</v>
      </c>
      <c r="B809" s="328"/>
      <c r="C809" s="328"/>
      <c r="D809" s="396" t="s">
        <v>76</v>
      </c>
      <c r="E809" s="328"/>
      <c r="F809" s="328"/>
      <c r="G809" s="328"/>
      <c r="H809" s="328"/>
      <c r="I809" s="328"/>
      <c r="J809" s="328"/>
      <c r="K809" s="328"/>
      <c r="L809" s="209"/>
      <c r="M809" s="247"/>
      <c r="N809" s="339">
        <v>16833</v>
      </c>
      <c r="O809" s="339">
        <v>17932</v>
      </c>
      <c r="P809" s="216">
        <v>17000</v>
      </c>
      <c r="Q809" s="216">
        <v>17000</v>
      </c>
      <c r="R809" s="215">
        <v>34000</v>
      </c>
      <c r="S809" s="215">
        <v>34000</v>
      </c>
      <c r="T809" s="215">
        <v>34000</v>
      </c>
      <c r="U809" s="215">
        <v>34000</v>
      </c>
      <c r="V809" s="215">
        <v>34000</v>
      </c>
      <c r="X809" s="656"/>
      <c r="Y809" s="657"/>
      <c r="Z809" s="657"/>
      <c r="AA809" s="657"/>
    </row>
    <row r="810" spans="1:29" ht="24" customHeight="1">
      <c r="A810" s="396" t="s">
        <v>517</v>
      </c>
      <c r="B810" s="397"/>
      <c r="C810" s="397"/>
      <c r="D810" s="396" t="s">
        <v>15</v>
      </c>
      <c r="E810" s="397"/>
      <c r="F810" s="397"/>
      <c r="G810" s="397"/>
      <c r="H810" s="397"/>
      <c r="I810" s="397"/>
      <c r="J810" s="397"/>
      <c r="K810" s="397"/>
      <c r="L810" s="218"/>
      <c r="M810" s="247"/>
      <c r="N810" s="339">
        <v>50</v>
      </c>
      <c r="O810" s="339">
        <v>1431</v>
      </c>
      <c r="P810" s="216">
        <v>3000</v>
      </c>
      <c r="Q810" s="216">
        <v>3000</v>
      </c>
      <c r="R810" s="215">
        <v>3000</v>
      </c>
      <c r="S810" s="215">
        <v>3000</v>
      </c>
      <c r="T810" s="215">
        <v>3000</v>
      </c>
      <c r="U810" s="215">
        <v>3000</v>
      </c>
      <c r="V810" s="215">
        <v>3000</v>
      </c>
      <c r="X810" s="656"/>
      <c r="Y810" s="657"/>
      <c r="Z810" s="657"/>
      <c r="AA810" s="657"/>
    </row>
    <row r="811" spans="1:29" ht="24" customHeight="1">
      <c r="A811" s="396" t="s">
        <v>518</v>
      </c>
      <c r="B811" s="397"/>
      <c r="C811" s="397"/>
      <c r="D811" s="396" t="s">
        <v>8</v>
      </c>
      <c r="E811" s="397"/>
      <c r="F811" s="397"/>
      <c r="G811" s="397"/>
      <c r="H811" s="397"/>
      <c r="I811" s="397"/>
      <c r="J811" s="397"/>
      <c r="K811" s="397"/>
      <c r="L811" s="218"/>
      <c r="M811" s="247"/>
      <c r="N811" s="339">
        <v>35461</v>
      </c>
      <c r="O811" s="339">
        <v>43342</v>
      </c>
      <c r="P811" s="216">
        <v>47761</v>
      </c>
      <c r="Q811" s="216">
        <v>47761</v>
      </c>
      <c r="R811" s="215">
        <v>53733</v>
      </c>
      <c r="S811" s="215">
        <v>59007</v>
      </c>
      <c r="T811" s="215">
        <v>64746</v>
      </c>
      <c r="U811" s="215">
        <v>71012</v>
      </c>
      <c r="V811" s="215">
        <v>77944</v>
      </c>
      <c r="X811" s="656"/>
      <c r="Y811" s="657"/>
      <c r="Z811" s="657"/>
      <c r="AA811" s="657"/>
    </row>
    <row r="812" spans="1:29" ht="24" customHeight="1">
      <c r="A812" s="396" t="s">
        <v>519</v>
      </c>
      <c r="B812" s="328"/>
      <c r="C812" s="328"/>
      <c r="D812" s="396" t="s">
        <v>9</v>
      </c>
      <c r="E812" s="328"/>
      <c r="F812" s="328"/>
      <c r="G812" s="328"/>
      <c r="H812" s="328"/>
      <c r="I812" s="328"/>
      <c r="J812" s="328"/>
      <c r="K812" s="328"/>
      <c r="L812" s="209"/>
      <c r="M812" s="247"/>
      <c r="N812" s="339">
        <v>28869</v>
      </c>
      <c r="O812" s="339">
        <v>31109</v>
      </c>
      <c r="P812" s="216">
        <v>33487</v>
      </c>
      <c r="Q812" s="216">
        <v>33487</v>
      </c>
      <c r="R812" s="215">
        <v>36183</v>
      </c>
      <c r="S812" s="227">
        <v>37268</v>
      </c>
      <c r="T812" s="227">
        <v>38572</v>
      </c>
      <c r="U812" s="227">
        <v>39922</v>
      </c>
      <c r="V812" s="227">
        <v>41319</v>
      </c>
      <c r="X812" s="656"/>
      <c r="Y812" s="657"/>
      <c r="Z812" s="657"/>
      <c r="AA812" s="657"/>
    </row>
    <row r="813" spans="1:29" ht="24" customHeight="1">
      <c r="A813" s="396" t="s">
        <v>709</v>
      </c>
      <c r="B813" s="328"/>
      <c r="C813" s="328"/>
      <c r="D813" s="396" t="s">
        <v>13</v>
      </c>
      <c r="E813" s="328"/>
      <c r="F813" s="328"/>
      <c r="G813" s="328"/>
      <c r="H813" s="328"/>
      <c r="I813" s="328"/>
      <c r="J813" s="328"/>
      <c r="K813" s="328"/>
      <c r="L813" s="209"/>
      <c r="M813" s="247"/>
      <c r="N813" s="339">
        <v>0</v>
      </c>
      <c r="O813" s="339">
        <v>110141</v>
      </c>
      <c r="P813" s="216">
        <v>126575</v>
      </c>
      <c r="Q813" s="216">
        <v>126575</v>
      </c>
      <c r="R813" s="223">
        <v>132108</v>
      </c>
      <c r="S813" s="223">
        <f>ROUND(R813*1.08,0)</f>
        <v>142677</v>
      </c>
      <c r="T813" s="223">
        <f t="shared" ref="T813:V813" si="239">ROUND(S813*1.08,0)</f>
        <v>154091</v>
      </c>
      <c r="U813" s="223">
        <f t="shared" si="239"/>
        <v>166418</v>
      </c>
      <c r="V813" s="223">
        <f t="shared" si="239"/>
        <v>179731</v>
      </c>
      <c r="X813" s="656"/>
      <c r="Y813" s="657"/>
      <c r="Z813" s="656"/>
      <c r="AA813" s="657"/>
      <c r="AC813" s="213"/>
    </row>
    <row r="814" spans="1:29" ht="24" customHeight="1">
      <c r="A814" s="396" t="s">
        <v>710</v>
      </c>
      <c r="B814" s="328"/>
      <c r="C814" s="328"/>
      <c r="D814" s="396" t="s">
        <v>207</v>
      </c>
      <c r="E814" s="328"/>
      <c r="F814" s="328"/>
      <c r="G814" s="328"/>
      <c r="H814" s="328"/>
      <c r="I814" s="328"/>
      <c r="J814" s="328"/>
      <c r="K814" s="328"/>
      <c r="L814" s="209"/>
      <c r="M814" s="247"/>
      <c r="N814" s="339">
        <v>0</v>
      </c>
      <c r="O814" s="339">
        <v>936</v>
      </c>
      <c r="P814" s="216">
        <v>980</v>
      </c>
      <c r="Q814" s="216">
        <v>980</v>
      </c>
      <c r="R814" s="223">
        <v>924</v>
      </c>
      <c r="S814" s="223">
        <f>ROUND(R814*1.01,0)</f>
        <v>933</v>
      </c>
      <c r="T814" s="223">
        <f t="shared" ref="T814:V814" si="240">ROUND(S814*1.01,0)</f>
        <v>942</v>
      </c>
      <c r="U814" s="223">
        <f t="shared" si="240"/>
        <v>951</v>
      </c>
      <c r="V814" s="223">
        <f t="shared" si="240"/>
        <v>961</v>
      </c>
      <c r="X814" s="656"/>
      <c r="Y814" s="657"/>
      <c r="Z814" s="656"/>
      <c r="AA814" s="657"/>
      <c r="AC814" s="213"/>
    </row>
    <row r="815" spans="1:29" ht="24" customHeight="1">
      <c r="A815" s="396" t="s">
        <v>711</v>
      </c>
      <c r="B815" s="328"/>
      <c r="C815" s="328"/>
      <c r="D815" s="396" t="s">
        <v>714</v>
      </c>
      <c r="E815" s="328"/>
      <c r="F815" s="328"/>
      <c r="G815" s="328"/>
      <c r="H815" s="328"/>
      <c r="I815" s="328"/>
      <c r="J815" s="328"/>
      <c r="K815" s="328"/>
      <c r="L815" s="209"/>
      <c r="M815" s="247"/>
      <c r="N815" s="339">
        <v>0</v>
      </c>
      <c r="O815" s="339">
        <v>7954</v>
      </c>
      <c r="P815" s="216">
        <v>9580</v>
      </c>
      <c r="Q815" s="216">
        <v>9580</v>
      </c>
      <c r="R815" s="223">
        <v>7728</v>
      </c>
      <c r="S815" s="223">
        <f>ROUND(R815*1.05,0)</f>
        <v>8114</v>
      </c>
      <c r="T815" s="223">
        <f t="shared" ref="T815:V815" si="241">ROUND(S815*1.05,0)</f>
        <v>8520</v>
      </c>
      <c r="U815" s="223">
        <f t="shared" si="241"/>
        <v>8946</v>
      </c>
      <c r="V815" s="223">
        <f t="shared" si="241"/>
        <v>9393</v>
      </c>
      <c r="X815" s="656"/>
      <c r="Y815" s="657"/>
      <c r="Z815" s="656"/>
      <c r="AA815" s="657"/>
      <c r="AC815" s="213"/>
    </row>
    <row r="816" spans="1:29" ht="24" customHeight="1">
      <c r="A816" s="396" t="s">
        <v>723</v>
      </c>
      <c r="B816" s="328"/>
      <c r="C816" s="328"/>
      <c r="D816" s="396" t="s">
        <v>716</v>
      </c>
      <c r="E816" s="328"/>
      <c r="F816" s="328"/>
      <c r="G816" s="328"/>
      <c r="H816" s="328"/>
      <c r="I816" s="328"/>
      <c r="J816" s="328"/>
      <c r="K816" s="328"/>
      <c r="L816" s="209"/>
      <c r="M816" s="247"/>
      <c r="N816" s="339">
        <v>0</v>
      </c>
      <c r="O816" s="339">
        <v>932</v>
      </c>
      <c r="P816" s="216">
        <v>1004</v>
      </c>
      <c r="Q816" s="216">
        <v>1004</v>
      </c>
      <c r="R816" s="223">
        <v>1032</v>
      </c>
      <c r="S816" s="223">
        <f>ROUND(R816*1.03,0)</f>
        <v>1063</v>
      </c>
      <c r="T816" s="223">
        <f t="shared" ref="T816:V816" si="242">ROUND(S816*1.03,0)</f>
        <v>1095</v>
      </c>
      <c r="U816" s="223">
        <f t="shared" si="242"/>
        <v>1128</v>
      </c>
      <c r="V816" s="223">
        <f t="shared" si="242"/>
        <v>1162</v>
      </c>
      <c r="X816" s="656"/>
      <c r="Y816" s="657"/>
      <c r="Z816" s="656"/>
      <c r="AA816" s="657"/>
      <c r="AC816" s="213"/>
    </row>
    <row r="817" spans="1:24" ht="24" customHeight="1">
      <c r="A817" s="396" t="s">
        <v>520</v>
      </c>
      <c r="B817" s="397"/>
      <c r="C817" s="397"/>
      <c r="D817" s="396" t="s">
        <v>99</v>
      </c>
      <c r="E817" s="397"/>
      <c r="F817" s="397"/>
      <c r="G817" s="397"/>
      <c r="H817" s="397"/>
      <c r="I817" s="397"/>
      <c r="J817" s="397"/>
      <c r="K817" s="397"/>
      <c r="L817" s="218"/>
      <c r="M817" s="247"/>
      <c r="N817" s="339">
        <v>2604</v>
      </c>
      <c r="O817" s="339">
        <v>1333</v>
      </c>
      <c r="P817" s="216">
        <v>4000</v>
      </c>
      <c r="Q817" s="216">
        <v>4000</v>
      </c>
      <c r="R817" s="215">
        <v>7000</v>
      </c>
      <c r="S817" s="215">
        <v>7000</v>
      </c>
      <c r="T817" s="215">
        <v>7000</v>
      </c>
      <c r="U817" s="215">
        <v>7000</v>
      </c>
      <c r="V817" s="215">
        <v>7000</v>
      </c>
    </row>
    <row r="818" spans="1:24" ht="24" customHeight="1">
      <c r="A818" s="396" t="s">
        <v>521</v>
      </c>
      <c r="B818" s="397"/>
      <c r="C818" s="397"/>
      <c r="D818" s="396" t="s">
        <v>1319</v>
      </c>
      <c r="E818" s="397"/>
      <c r="F818" s="397"/>
      <c r="G818" s="397"/>
      <c r="H818" s="397"/>
      <c r="I818" s="397"/>
      <c r="J818" s="397"/>
      <c r="K818" s="397"/>
      <c r="L818" s="218"/>
      <c r="M818" s="247"/>
      <c r="N818" s="339">
        <v>332</v>
      </c>
      <c r="O818" s="339">
        <v>329</v>
      </c>
      <c r="P818" s="216">
        <v>2000</v>
      </c>
      <c r="Q818" s="216">
        <v>2000</v>
      </c>
      <c r="R818" s="215">
        <v>3000</v>
      </c>
      <c r="S818" s="215">
        <v>3000</v>
      </c>
      <c r="T818" s="215">
        <v>3000</v>
      </c>
      <c r="U818" s="215">
        <v>3000</v>
      </c>
      <c r="V818" s="215">
        <v>3000</v>
      </c>
    </row>
    <row r="819" spans="1:24" ht="24" customHeight="1">
      <c r="A819" s="396" t="s">
        <v>1409</v>
      </c>
      <c r="B819" s="554"/>
      <c r="C819" s="554"/>
      <c r="D819" s="396" t="s">
        <v>1232</v>
      </c>
      <c r="E819" s="554"/>
      <c r="F819" s="554"/>
      <c r="G819" s="554"/>
      <c r="H819" s="554"/>
      <c r="I819" s="554"/>
      <c r="J819" s="554"/>
      <c r="K819" s="554"/>
      <c r="L819" s="218"/>
      <c r="M819" s="229"/>
      <c r="N819" s="337">
        <v>0</v>
      </c>
      <c r="O819" s="337">
        <v>0</v>
      </c>
      <c r="P819" s="212">
        <v>0</v>
      </c>
      <c r="Q819" s="212">
        <f t="shared" ref="Q819" si="243">Q1059</f>
        <v>0</v>
      </c>
      <c r="R819" s="211">
        <f>R477</f>
        <v>109650</v>
      </c>
      <c r="S819" s="211">
        <f>S477</f>
        <v>16994</v>
      </c>
      <c r="T819" s="211">
        <f>T477</f>
        <v>0</v>
      </c>
      <c r="U819" s="211">
        <f>U477</f>
        <v>0</v>
      </c>
      <c r="V819" s="211">
        <f>V477</f>
        <v>0</v>
      </c>
      <c r="X819" s="213"/>
    </row>
    <row r="820" spans="1:24" ht="24" customHeight="1">
      <c r="A820" s="396" t="s">
        <v>522</v>
      </c>
      <c r="B820" s="328"/>
      <c r="C820" s="328"/>
      <c r="D820" s="396" t="s">
        <v>265</v>
      </c>
      <c r="E820" s="328"/>
      <c r="F820" s="328"/>
      <c r="G820" s="328"/>
      <c r="H820" s="328"/>
      <c r="I820" s="328"/>
      <c r="J820" s="328"/>
      <c r="K820" s="328"/>
      <c r="L820" s="209"/>
      <c r="M820" s="247"/>
      <c r="N820" s="339">
        <v>3330</v>
      </c>
      <c r="O820" s="339">
        <v>3863</v>
      </c>
      <c r="P820" s="216">
        <v>4780</v>
      </c>
      <c r="Q820" s="216">
        <v>4780</v>
      </c>
      <c r="R820" s="215">
        <v>4780</v>
      </c>
      <c r="S820" s="215">
        <v>4780</v>
      </c>
      <c r="T820" s="215">
        <v>4780</v>
      </c>
      <c r="U820" s="215">
        <v>4780</v>
      </c>
      <c r="V820" s="215">
        <v>4780</v>
      </c>
      <c r="X820" s="213"/>
    </row>
    <row r="821" spans="1:24" ht="24" customHeight="1">
      <c r="A821" s="396" t="s">
        <v>523</v>
      </c>
      <c r="B821" s="328"/>
      <c r="C821" s="328"/>
      <c r="D821" s="396" t="s">
        <v>10</v>
      </c>
      <c r="E821" s="328"/>
      <c r="F821" s="328"/>
      <c r="G821" s="328"/>
      <c r="H821" s="328"/>
      <c r="I821" s="328"/>
      <c r="J821" s="328"/>
      <c r="K821" s="328"/>
      <c r="L821" s="209"/>
      <c r="M821" s="247"/>
      <c r="N821" s="339">
        <v>4748</v>
      </c>
      <c r="O821" s="339">
        <v>2280</v>
      </c>
      <c r="P821" s="216">
        <v>4500</v>
      </c>
      <c r="Q821" s="216">
        <v>4500</v>
      </c>
      <c r="R821" s="215">
        <v>4500</v>
      </c>
      <c r="S821" s="215">
        <v>4500</v>
      </c>
      <c r="T821" s="215">
        <v>4500</v>
      </c>
      <c r="U821" s="215">
        <v>4500</v>
      </c>
      <c r="V821" s="215">
        <v>4500</v>
      </c>
    </row>
    <row r="822" spans="1:24" ht="24" customHeight="1">
      <c r="A822" s="396" t="s">
        <v>524</v>
      </c>
      <c r="B822" s="328"/>
      <c r="C822" s="328"/>
      <c r="D822" s="396" t="s">
        <v>152</v>
      </c>
      <c r="E822" s="328"/>
      <c r="F822" s="328"/>
      <c r="G822" s="328"/>
      <c r="H822" s="328"/>
      <c r="I822" s="328"/>
      <c r="J822" s="328"/>
      <c r="K822" s="328"/>
      <c r="L822" s="209"/>
      <c r="M822" s="247"/>
      <c r="N822" s="339">
        <v>3701</v>
      </c>
      <c r="O822" s="339">
        <v>5938</v>
      </c>
      <c r="P822" s="216">
        <v>4000</v>
      </c>
      <c r="Q822" s="216">
        <v>4000</v>
      </c>
      <c r="R822" s="215">
        <v>4000</v>
      </c>
      <c r="S822" s="215">
        <v>4000</v>
      </c>
      <c r="T822" s="215">
        <v>4000</v>
      </c>
      <c r="U822" s="215">
        <v>4000</v>
      </c>
      <c r="V822" s="215">
        <v>4000</v>
      </c>
    </row>
    <row r="823" spans="1:24" ht="24" customHeight="1">
      <c r="A823" s="396" t="s">
        <v>525</v>
      </c>
      <c r="B823" s="397"/>
      <c r="C823" s="397"/>
      <c r="D823" s="396" t="s">
        <v>94</v>
      </c>
      <c r="E823" s="397"/>
      <c r="F823" s="397"/>
      <c r="G823" s="397"/>
      <c r="H823" s="397"/>
      <c r="I823" s="397"/>
      <c r="J823" s="397"/>
      <c r="K823" s="397"/>
      <c r="L823" s="218"/>
      <c r="M823" s="247"/>
      <c r="N823" s="339">
        <v>2017</v>
      </c>
      <c r="O823" s="339">
        <v>620</v>
      </c>
      <c r="P823" s="216">
        <v>2500</v>
      </c>
      <c r="Q823" s="216">
        <v>2500</v>
      </c>
      <c r="R823" s="215">
        <v>2500</v>
      </c>
      <c r="S823" s="215">
        <v>2500</v>
      </c>
      <c r="T823" s="215">
        <v>2500</v>
      </c>
      <c r="U823" s="215">
        <v>2500</v>
      </c>
      <c r="V823" s="215">
        <v>2500</v>
      </c>
    </row>
    <row r="824" spans="1:24" ht="24" customHeight="1">
      <c r="A824" s="396" t="s">
        <v>820</v>
      </c>
      <c r="B824" s="397"/>
      <c r="C824" s="397"/>
      <c r="D824" s="396" t="s">
        <v>1323</v>
      </c>
      <c r="E824" s="397"/>
      <c r="F824" s="397"/>
      <c r="G824" s="397"/>
      <c r="H824" s="397"/>
      <c r="I824" s="397"/>
      <c r="J824" s="397"/>
      <c r="K824" s="397"/>
      <c r="L824" s="218"/>
      <c r="M824" s="247"/>
      <c r="N824" s="339">
        <v>0</v>
      </c>
      <c r="O824" s="339">
        <v>26194</v>
      </c>
      <c r="P824" s="216">
        <v>22500</v>
      </c>
      <c r="Q824" s="216">
        <v>22500</v>
      </c>
      <c r="R824" s="215">
        <v>32500</v>
      </c>
      <c r="S824" s="215">
        <v>32500</v>
      </c>
      <c r="T824" s="215">
        <v>32500</v>
      </c>
      <c r="U824" s="215">
        <v>32500</v>
      </c>
      <c r="V824" s="215">
        <v>32500</v>
      </c>
    </row>
    <row r="825" spans="1:24" ht="24" customHeight="1">
      <c r="A825" s="396" t="s">
        <v>526</v>
      </c>
      <c r="B825" s="397"/>
      <c r="C825" s="397"/>
      <c r="D825" s="396" t="s">
        <v>105</v>
      </c>
      <c r="E825" s="397"/>
      <c r="F825" s="397"/>
      <c r="G825" s="397"/>
      <c r="H825" s="397"/>
      <c r="I825" s="397"/>
      <c r="J825" s="397"/>
      <c r="K825" s="397"/>
      <c r="L825" s="218"/>
      <c r="M825" s="247"/>
      <c r="N825" s="339">
        <v>4123</v>
      </c>
      <c r="O825" s="339">
        <v>4603</v>
      </c>
      <c r="P825" s="216">
        <v>4100</v>
      </c>
      <c r="Q825" s="216">
        <v>4100</v>
      </c>
      <c r="R825" s="215">
        <v>4700</v>
      </c>
      <c r="S825" s="215">
        <v>4700</v>
      </c>
      <c r="T825" s="215">
        <v>4700</v>
      </c>
      <c r="U825" s="215">
        <v>4700</v>
      </c>
      <c r="V825" s="215">
        <v>4700</v>
      </c>
    </row>
    <row r="826" spans="1:24" ht="24" customHeight="1">
      <c r="A826" s="396" t="s">
        <v>527</v>
      </c>
      <c r="B826" s="397"/>
      <c r="C826" s="397"/>
      <c r="D826" s="396" t="s">
        <v>11</v>
      </c>
      <c r="E826" s="397"/>
      <c r="F826" s="397"/>
      <c r="G826" s="397"/>
      <c r="H826" s="397"/>
      <c r="I826" s="397"/>
      <c r="J826" s="397"/>
      <c r="K826" s="397"/>
      <c r="L826" s="218"/>
      <c r="M826" s="247"/>
      <c r="N826" s="339">
        <v>293</v>
      </c>
      <c r="O826" s="339">
        <v>167</v>
      </c>
      <c r="P826" s="216">
        <v>300</v>
      </c>
      <c r="Q826" s="216">
        <v>300</v>
      </c>
      <c r="R826" s="215">
        <v>300</v>
      </c>
      <c r="S826" s="215">
        <v>300</v>
      </c>
      <c r="T826" s="215">
        <v>300</v>
      </c>
      <c r="U826" s="215">
        <v>300</v>
      </c>
      <c r="V826" s="215">
        <v>300</v>
      </c>
    </row>
    <row r="827" spans="1:24" ht="24" customHeight="1">
      <c r="A827" s="396" t="s">
        <v>528</v>
      </c>
      <c r="B827" s="397"/>
      <c r="C827" s="397"/>
      <c r="D827" s="396" t="s">
        <v>12</v>
      </c>
      <c r="E827" s="397"/>
      <c r="F827" s="397"/>
      <c r="G827" s="397"/>
      <c r="H827" s="397"/>
      <c r="I827" s="397"/>
      <c r="J827" s="397"/>
      <c r="K827" s="397"/>
      <c r="L827" s="218"/>
      <c r="M827" s="247"/>
      <c r="N827" s="339">
        <v>23528</v>
      </c>
      <c r="O827" s="339">
        <v>17900</v>
      </c>
      <c r="P827" s="216">
        <v>22500</v>
      </c>
      <c r="Q827" s="216">
        <v>22500</v>
      </c>
      <c r="R827" s="215">
        <f t="shared" ref="R827:V827" si="244">20000+1500+1000</f>
        <v>22500</v>
      </c>
      <c r="S827" s="215">
        <f t="shared" si="244"/>
        <v>22500</v>
      </c>
      <c r="T827" s="215">
        <f t="shared" si="244"/>
        <v>22500</v>
      </c>
      <c r="U827" s="215">
        <f t="shared" si="244"/>
        <v>22500</v>
      </c>
      <c r="V827" s="215">
        <f t="shared" si="244"/>
        <v>22500</v>
      </c>
    </row>
    <row r="828" spans="1:24" ht="24" customHeight="1">
      <c r="A828" s="396" t="s">
        <v>529</v>
      </c>
      <c r="B828" s="397"/>
      <c r="C828" s="397"/>
      <c r="D828" s="396" t="s">
        <v>17</v>
      </c>
      <c r="E828" s="397"/>
      <c r="F828" s="397"/>
      <c r="G828" s="397"/>
      <c r="H828" s="397"/>
      <c r="I828" s="397"/>
      <c r="J828" s="397"/>
      <c r="K828" s="397"/>
      <c r="L828" s="218"/>
      <c r="M828" s="264"/>
      <c r="N828" s="341">
        <v>2374</v>
      </c>
      <c r="O828" s="341">
        <v>3093</v>
      </c>
      <c r="P828" s="224">
        <v>2250</v>
      </c>
      <c r="Q828" s="224">
        <v>2250</v>
      </c>
      <c r="R828" s="223">
        <v>7000</v>
      </c>
      <c r="S828" s="223">
        <f t="shared" ref="S828:V828" si="245">1750+500</f>
        <v>2250</v>
      </c>
      <c r="T828" s="223">
        <f t="shared" si="245"/>
        <v>2250</v>
      </c>
      <c r="U828" s="223">
        <f t="shared" si="245"/>
        <v>2250</v>
      </c>
      <c r="V828" s="223">
        <f t="shared" si="245"/>
        <v>2250</v>
      </c>
    </row>
    <row r="829" spans="1:24" ht="24" customHeight="1">
      <c r="A829" s="396" t="s">
        <v>530</v>
      </c>
      <c r="B829" s="397"/>
      <c r="C829" s="397"/>
      <c r="D829" s="396" t="s">
        <v>274</v>
      </c>
      <c r="E829" s="397"/>
      <c r="F829" s="397"/>
      <c r="G829" s="397"/>
      <c r="H829" s="397"/>
      <c r="I829" s="397"/>
      <c r="J829" s="397"/>
      <c r="K829" s="397"/>
      <c r="L829" s="218"/>
      <c r="M829" s="264"/>
      <c r="N829" s="341">
        <v>0</v>
      </c>
      <c r="O829" s="341">
        <v>0</v>
      </c>
      <c r="P829" s="224">
        <v>500</v>
      </c>
      <c r="Q829" s="224">
        <v>500</v>
      </c>
      <c r="R829" s="223">
        <v>500</v>
      </c>
      <c r="S829" s="223">
        <v>500</v>
      </c>
      <c r="T829" s="223">
        <v>500</v>
      </c>
      <c r="U829" s="223">
        <v>500</v>
      </c>
      <c r="V829" s="223">
        <v>500</v>
      </c>
    </row>
    <row r="830" spans="1:24" ht="24" customHeight="1">
      <c r="A830" s="396" t="s">
        <v>531</v>
      </c>
      <c r="B830" s="397"/>
      <c r="C830" s="397"/>
      <c r="D830" s="396" t="s">
        <v>1322</v>
      </c>
      <c r="E830" s="397"/>
      <c r="F830" s="397"/>
      <c r="G830" s="397"/>
      <c r="H830" s="397"/>
      <c r="I830" s="397"/>
      <c r="J830" s="397"/>
      <c r="K830" s="397"/>
      <c r="L830" s="218"/>
      <c r="M830" s="264"/>
      <c r="N830" s="341">
        <v>51312</v>
      </c>
      <c r="O830" s="341">
        <v>54036</v>
      </c>
      <c r="P830" s="224">
        <v>50500</v>
      </c>
      <c r="Q830" s="224">
        <v>50500</v>
      </c>
      <c r="R830" s="223">
        <f t="shared" ref="R830:V830" si="246">58000-7500</f>
        <v>50500</v>
      </c>
      <c r="S830" s="223">
        <f t="shared" si="246"/>
        <v>50500</v>
      </c>
      <c r="T830" s="223">
        <f t="shared" si="246"/>
        <v>50500</v>
      </c>
      <c r="U830" s="223">
        <f t="shared" si="246"/>
        <v>50500</v>
      </c>
      <c r="V830" s="223">
        <f t="shared" si="246"/>
        <v>50500</v>
      </c>
    </row>
    <row r="831" spans="1:24" ht="24" customHeight="1">
      <c r="A831" s="396" t="s">
        <v>1086</v>
      </c>
      <c r="B831" s="397"/>
      <c r="C831" s="397"/>
      <c r="D831" s="396" t="s">
        <v>161</v>
      </c>
      <c r="E831" s="397"/>
      <c r="F831" s="397"/>
      <c r="G831" s="397"/>
      <c r="H831" s="397"/>
      <c r="I831" s="397"/>
      <c r="J831" s="397"/>
      <c r="K831" s="397"/>
      <c r="L831" s="218"/>
      <c r="M831" s="305"/>
      <c r="N831" s="357">
        <v>0</v>
      </c>
      <c r="O831" s="357">
        <v>19973</v>
      </c>
      <c r="P831" s="262">
        <v>21400</v>
      </c>
      <c r="Q831" s="262">
        <v>21400</v>
      </c>
      <c r="R831" s="261">
        <f>ROUND(Q831*1.07,0)</f>
        <v>22898</v>
      </c>
      <c r="S831" s="261">
        <f t="shared" ref="S831:V831" si="247">ROUND(R831*1.07,0)</f>
        <v>24501</v>
      </c>
      <c r="T831" s="261">
        <f t="shared" si="247"/>
        <v>26216</v>
      </c>
      <c r="U831" s="261">
        <f t="shared" si="247"/>
        <v>28051</v>
      </c>
      <c r="V831" s="261">
        <f t="shared" si="247"/>
        <v>30015</v>
      </c>
      <c r="X831" s="217"/>
    </row>
    <row r="832" spans="1:24" s="328" customFormat="1" ht="24" customHeight="1">
      <c r="A832" s="396"/>
      <c r="B832" s="397"/>
      <c r="C832" s="397"/>
      <c r="D832" s="396"/>
      <c r="E832" s="397"/>
      <c r="F832" s="397"/>
      <c r="G832" s="397"/>
      <c r="H832" s="397"/>
      <c r="I832" s="397"/>
      <c r="J832" s="397"/>
      <c r="K832" s="397"/>
      <c r="L832" s="428"/>
      <c r="M832" s="430"/>
      <c r="N832" s="362">
        <f t="shared" ref="N832" si="248">SUM(N808:N831)</f>
        <v>549089</v>
      </c>
      <c r="O832" s="362">
        <f t="shared" ref="O832:V832" si="249">SUM(O808:O831)</f>
        <v>754490</v>
      </c>
      <c r="P832" s="353">
        <f t="shared" ref="P832:Q832" si="250">SUM(P808:P831)</f>
        <v>813165</v>
      </c>
      <c r="Q832" s="353">
        <f t="shared" si="250"/>
        <v>813165</v>
      </c>
      <c r="R832" s="362">
        <f t="shared" ref="R832:U832" si="251">SUM(R808:R831)</f>
        <v>992600</v>
      </c>
      <c r="S832" s="362">
        <f t="shared" si="251"/>
        <v>927578</v>
      </c>
      <c r="T832" s="362">
        <f t="shared" si="251"/>
        <v>947338</v>
      </c>
      <c r="U832" s="362">
        <f t="shared" si="251"/>
        <v>986283</v>
      </c>
      <c r="V832" s="362">
        <f t="shared" si="249"/>
        <v>1027664</v>
      </c>
      <c r="W832" s="526"/>
    </row>
    <row r="833" spans="1:29" ht="15" customHeight="1">
      <c r="A833" s="396"/>
      <c r="B833" s="397"/>
      <c r="C833" s="397"/>
      <c r="D833" s="396"/>
      <c r="E833" s="397"/>
      <c r="F833" s="397"/>
      <c r="G833" s="397"/>
      <c r="H833" s="397"/>
      <c r="I833" s="397"/>
      <c r="J833" s="397"/>
      <c r="K833" s="397"/>
      <c r="L833" s="218"/>
      <c r="M833" s="253"/>
      <c r="N833" s="340"/>
      <c r="O833" s="340"/>
      <c r="P833" s="225"/>
      <c r="Q833" s="225"/>
      <c r="R833" s="221"/>
      <c r="S833" s="221"/>
      <c r="T833" s="221"/>
      <c r="U833" s="221"/>
      <c r="V833" s="221"/>
    </row>
    <row r="834" spans="1:29" ht="24" customHeight="1">
      <c r="A834" s="400" t="s">
        <v>726</v>
      </c>
      <c r="B834" s="328"/>
      <c r="C834" s="328"/>
      <c r="D834" s="328"/>
      <c r="E834" s="328"/>
      <c r="F834" s="328"/>
      <c r="G834" s="328"/>
      <c r="H834" s="328"/>
      <c r="I834" s="328"/>
      <c r="J834" s="328"/>
      <c r="K834" s="328"/>
      <c r="L834" s="209"/>
      <c r="N834" s="346"/>
      <c r="O834" s="346"/>
      <c r="P834" s="238"/>
      <c r="Q834" s="238"/>
      <c r="R834" s="237"/>
      <c r="S834" s="237"/>
      <c r="T834" s="237"/>
      <c r="U834" s="237"/>
      <c r="V834" s="237"/>
    </row>
    <row r="835" spans="1:29" ht="24" customHeight="1">
      <c r="A835" s="396" t="s">
        <v>759</v>
      </c>
      <c r="B835" s="397"/>
      <c r="C835" s="397"/>
      <c r="D835" s="396" t="s">
        <v>1095</v>
      </c>
      <c r="E835" s="397"/>
      <c r="F835" s="397"/>
      <c r="G835" s="397"/>
      <c r="H835" s="397"/>
      <c r="I835" s="397"/>
      <c r="J835" s="397"/>
      <c r="K835" s="397"/>
      <c r="L835" s="218"/>
      <c r="M835" s="247"/>
      <c r="N835" s="339">
        <v>197710</v>
      </c>
      <c r="O835" s="339">
        <v>202126</v>
      </c>
      <c r="P835" s="216">
        <v>240745</v>
      </c>
      <c r="Q835" s="216">
        <v>240745</v>
      </c>
      <c r="R835" s="515">
        <v>273783</v>
      </c>
      <c r="S835" s="227">
        <v>281996</v>
      </c>
      <c r="T835" s="227">
        <v>291866</v>
      </c>
      <c r="U835" s="227">
        <v>302081</v>
      </c>
      <c r="V835" s="227">
        <v>312654</v>
      </c>
      <c r="X835" s="656"/>
      <c r="Y835" s="657"/>
      <c r="Z835" s="657"/>
      <c r="AA835" s="657"/>
      <c r="AC835" s="213"/>
    </row>
    <row r="836" spans="1:29" ht="24" customHeight="1">
      <c r="A836" s="396" t="s">
        <v>760</v>
      </c>
      <c r="B836" s="328"/>
      <c r="C836" s="328"/>
      <c r="D836" s="396" t="s">
        <v>76</v>
      </c>
      <c r="E836" s="328"/>
      <c r="F836" s="328"/>
      <c r="G836" s="328"/>
      <c r="H836" s="328"/>
      <c r="I836" s="328"/>
      <c r="J836" s="328"/>
      <c r="K836" s="328"/>
      <c r="L836" s="209"/>
      <c r="M836" s="247"/>
      <c r="N836" s="339">
        <v>17013</v>
      </c>
      <c r="O836" s="339">
        <v>11457</v>
      </c>
      <c r="P836" s="216">
        <v>15000</v>
      </c>
      <c r="Q836" s="216">
        <v>15000</v>
      </c>
      <c r="R836" s="215">
        <v>23000</v>
      </c>
      <c r="S836" s="215">
        <v>23000</v>
      </c>
      <c r="T836" s="215">
        <v>23000</v>
      </c>
      <c r="U836" s="215">
        <v>23000</v>
      </c>
      <c r="V836" s="215">
        <v>23000</v>
      </c>
      <c r="X836" s="656"/>
      <c r="Y836" s="657"/>
      <c r="Z836" s="657"/>
      <c r="AA836" s="657"/>
    </row>
    <row r="837" spans="1:29" ht="24" customHeight="1">
      <c r="A837" s="396" t="s">
        <v>761</v>
      </c>
      <c r="B837" s="397"/>
      <c r="C837" s="397"/>
      <c r="D837" s="396" t="s">
        <v>15</v>
      </c>
      <c r="E837" s="397"/>
      <c r="F837" s="397"/>
      <c r="G837" s="397"/>
      <c r="H837" s="397"/>
      <c r="I837" s="397"/>
      <c r="J837" s="397"/>
      <c r="K837" s="397"/>
      <c r="L837" s="218"/>
      <c r="M837" s="229"/>
      <c r="N837" s="337">
        <v>0</v>
      </c>
      <c r="O837" s="337">
        <v>0</v>
      </c>
      <c r="P837" s="212">
        <v>300</v>
      </c>
      <c r="Q837" s="212">
        <v>300</v>
      </c>
      <c r="R837" s="211">
        <v>300</v>
      </c>
      <c r="S837" s="211">
        <v>300</v>
      </c>
      <c r="T837" s="211">
        <v>300</v>
      </c>
      <c r="U837" s="211">
        <v>300</v>
      </c>
      <c r="V837" s="211">
        <v>300</v>
      </c>
      <c r="X837" s="656"/>
      <c r="Y837" s="657"/>
      <c r="Z837" s="657"/>
      <c r="AA837" s="657"/>
    </row>
    <row r="838" spans="1:29" ht="24" customHeight="1">
      <c r="A838" s="396" t="s">
        <v>762</v>
      </c>
      <c r="B838" s="397"/>
      <c r="C838" s="397"/>
      <c r="D838" s="396" t="s">
        <v>532</v>
      </c>
      <c r="E838" s="397"/>
      <c r="F838" s="397"/>
      <c r="G838" s="397"/>
      <c r="H838" s="397"/>
      <c r="I838" s="397"/>
      <c r="J838" s="397"/>
      <c r="K838" s="397"/>
      <c r="L838" s="218"/>
      <c r="M838" s="264"/>
      <c r="N838" s="341">
        <v>11542</v>
      </c>
      <c r="O838" s="341">
        <v>8341</v>
      </c>
      <c r="P838" s="224">
        <v>12500</v>
      </c>
      <c r="Q838" s="224">
        <v>12500</v>
      </c>
      <c r="R838" s="223">
        <v>14000</v>
      </c>
      <c r="S838" s="223">
        <v>14000</v>
      </c>
      <c r="T838" s="223">
        <v>14000</v>
      </c>
      <c r="U838" s="223">
        <v>14000</v>
      </c>
      <c r="V838" s="223">
        <v>14000</v>
      </c>
      <c r="X838" s="656"/>
      <c r="Y838" s="657"/>
      <c r="Z838" s="657"/>
      <c r="AA838" s="657"/>
    </row>
    <row r="839" spans="1:29" ht="24" customHeight="1">
      <c r="A839" s="396" t="s">
        <v>763</v>
      </c>
      <c r="B839" s="397"/>
      <c r="C839" s="397"/>
      <c r="D839" s="396" t="s">
        <v>533</v>
      </c>
      <c r="E839" s="397"/>
      <c r="F839" s="397"/>
      <c r="G839" s="397"/>
      <c r="H839" s="397"/>
      <c r="I839" s="397"/>
      <c r="J839" s="397"/>
      <c r="K839" s="397"/>
      <c r="L839" s="218"/>
      <c r="M839" s="264"/>
      <c r="N839" s="341">
        <v>22476</v>
      </c>
      <c r="O839" s="341">
        <v>18431</v>
      </c>
      <c r="P839" s="224">
        <v>30000</v>
      </c>
      <c r="Q839" s="224">
        <v>30000</v>
      </c>
      <c r="R839" s="223">
        <v>20000</v>
      </c>
      <c r="S839" s="223">
        <v>20000</v>
      </c>
      <c r="T839" s="223">
        <v>20000</v>
      </c>
      <c r="U839" s="223">
        <v>20000</v>
      </c>
      <c r="V839" s="223">
        <v>20000</v>
      </c>
      <c r="X839" s="656"/>
      <c r="Y839" s="657"/>
      <c r="Z839" s="657"/>
      <c r="AA839" s="657"/>
    </row>
    <row r="840" spans="1:29" ht="24" customHeight="1">
      <c r="A840" s="396" t="s">
        <v>764</v>
      </c>
      <c r="B840" s="397"/>
      <c r="C840" s="397"/>
      <c r="D840" s="396" t="s">
        <v>534</v>
      </c>
      <c r="E840" s="397"/>
      <c r="F840" s="397"/>
      <c r="G840" s="397"/>
      <c r="H840" s="397"/>
      <c r="I840" s="397"/>
      <c r="J840" s="397"/>
      <c r="K840" s="397"/>
      <c r="L840" s="218"/>
      <c r="M840" s="229"/>
      <c r="N840" s="337">
        <v>16768</v>
      </c>
      <c r="O840" s="337">
        <v>11047</v>
      </c>
      <c r="P840" s="212">
        <v>25000</v>
      </c>
      <c r="Q840" s="212">
        <v>25000</v>
      </c>
      <c r="R840" s="211">
        <v>25000</v>
      </c>
      <c r="S840" s="211">
        <v>25000</v>
      </c>
      <c r="T840" s="211">
        <v>25000</v>
      </c>
      <c r="U840" s="211">
        <v>25000</v>
      </c>
      <c r="V840" s="211">
        <v>25000</v>
      </c>
      <c r="X840" s="656"/>
      <c r="Y840" s="657"/>
      <c r="Z840" s="657"/>
      <c r="AA840" s="657"/>
    </row>
    <row r="841" spans="1:29" ht="24" customHeight="1">
      <c r="A841" s="396" t="s">
        <v>765</v>
      </c>
      <c r="B841" s="397"/>
      <c r="C841" s="397"/>
      <c r="D841" s="396" t="s">
        <v>8</v>
      </c>
      <c r="E841" s="397"/>
      <c r="F841" s="397"/>
      <c r="G841" s="397"/>
      <c r="H841" s="397"/>
      <c r="I841" s="397"/>
      <c r="J841" s="397"/>
      <c r="K841" s="397"/>
      <c r="L841" s="218"/>
      <c r="M841" s="247"/>
      <c r="N841" s="339">
        <v>23137</v>
      </c>
      <c r="O841" s="339">
        <v>24704</v>
      </c>
      <c r="P841" s="216">
        <v>26714</v>
      </c>
      <c r="Q841" s="216">
        <v>26714</v>
      </c>
      <c r="R841" s="215">
        <v>32686</v>
      </c>
      <c r="S841" s="215">
        <v>36095</v>
      </c>
      <c r="T841" s="215">
        <v>39606</v>
      </c>
      <c r="U841" s="215">
        <v>43439</v>
      </c>
      <c r="V841" s="215">
        <v>47680</v>
      </c>
      <c r="X841" s="656"/>
      <c r="Y841" s="657"/>
      <c r="Z841" s="657"/>
      <c r="AA841" s="657"/>
      <c r="AC841" s="213"/>
    </row>
    <row r="842" spans="1:29" ht="24" customHeight="1">
      <c r="A842" s="396" t="s">
        <v>766</v>
      </c>
      <c r="B842" s="328"/>
      <c r="C842" s="328"/>
      <c r="D842" s="396" t="s">
        <v>9</v>
      </c>
      <c r="E842" s="328"/>
      <c r="F842" s="328"/>
      <c r="G842" s="328"/>
      <c r="H842" s="328"/>
      <c r="I842" s="328"/>
      <c r="J842" s="328"/>
      <c r="K842" s="328"/>
      <c r="L842" s="209"/>
      <c r="M842" s="247"/>
      <c r="N842" s="339">
        <v>19543</v>
      </c>
      <c r="O842" s="339">
        <v>18637</v>
      </c>
      <c r="P842" s="216">
        <v>24216</v>
      </c>
      <c r="Q842" s="216">
        <v>24216</v>
      </c>
      <c r="R842" s="215">
        <v>26576</v>
      </c>
      <c r="S842" s="227">
        <v>27373</v>
      </c>
      <c r="T842" s="227">
        <v>28331</v>
      </c>
      <c r="U842" s="227">
        <v>29323</v>
      </c>
      <c r="V842" s="227">
        <v>30349</v>
      </c>
      <c r="X842" s="656"/>
      <c r="Y842" s="657"/>
      <c r="Z842" s="657"/>
      <c r="AA842" s="657"/>
      <c r="AC842" s="213"/>
    </row>
    <row r="843" spans="1:29" ht="24" customHeight="1">
      <c r="A843" s="396" t="s">
        <v>767</v>
      </c>
      <c r="B843" s="328"/>
      <c r="C843" s="328"/>
      <c r="D843" s="396" t="s">
        <v>13</v>
      </c>
      <c r="E843" s="328"/>
      <c r="F843" s="328"/>
      <c r="G843" s="328"/>
      <c r="H843" s="328"/>
      <c r="I843" s="328"/>
      <c r="J843" s="328"/>
      <c r="K843" s="328"/>
      <c r="L843" s="209"/>
      <c r="M843" s="247"/>
      <c r="N843" s="339">
        <v>0</v>
      </c>
      <c r="O843" s="339">
        <v>42511</v>
      </c>
      <c r="P843" s="216">
        <v>75911</v>
      </c>
      <c r="Q843" s="216">
        <v>75911</v>
      </c>
      <c r="R843" s="223">
        <v>100027</v>
      </c>
      <c r="S843" s="223">
        <f>ROUND(R843*1.08,0)</f>
        <v>108029</v>
      </c>
      <c r="T843" s="223">
        <f t="shared" ref="T843:V843" si="252">ROUND(S843*1.08,0)</f>
        <v>116671</v>
      </c>
      <c r="U843" s="223">
        <f t="shared" si="252"/>
        <v>126005</v>
      </c>
      <c r="V843" s="223">
        <f t="shared" si="252"/>
        <v>136085</v>
      </c>
      <c r="X843" s="656"/>
      <c r="Y843" s="657"/>
      <c r="Z843" s="656"/>
      <c r="AA843" s="657"/>
      <c r="AC843" s="213"/>
    </row>
    <row r="844" spans="1:29" ht="24" customHeight="1">
      <c r="A844" s="396" t="s">
        <v>768</v>
      </c>
      <c r="B844" s="328"/>
      <c r="C844" s="328"/>
      <c r="D844" s="396" t="s">
        <v>207</v>
      </c>
      <c r="E844" s="328"/>
      <c r="F844" s="328"/>
      <c r="G844" s="328"/>
      <c r="H844" s="328"/>
      <c r="I844" s="328"/>
      <c r="J844" s="328"/>
      <c r="K844" s="328"/>
      <c r="L844" s="209"/>
      <c r="M844" s="247"/>
      <c r="N844" s="339">
        <v>0</v>
      </c>
      <c r="O844" s="339">
        <v>440</v>
      </c>
      <c r="P844" s="216">
        <v>591</v>
      </c>
      <c r="Q844" s="216">
        <v>591</v>
      </c>
      <c r="R844" s="223">
        <v>673</v>
      </c>
      <c r="S844" s="223">
        <f>ROUND(R844*1.01,0)</f>
        <v>680</v>
      </c>
      <c r="T844" s="223">
        <f t="shared" ref="T844:V844" si="253">ROUND(S844*1.01,0)</f>
        <v>687</v>
      </c>
      <c r="U844" s="223">
        <f t="shared" si="253"/>
        <v>694</v>
      </c>
      <c r="V844" s="223">
        <f t="shared" si="253"/>
        <v>701</v>
      </c>
      <c r="X844" s="656"/>
      <c r="Y844" s="657"/>
      <c r="Z844" s="656"/>
      <c r="AA844" s="657"/>
      <c r="AC844" s="213"/>
    </row>
    <row r="845" spans="1:29" ht="24" customHeight="1">
      <c r="A845" s="396" t="s">
        <v>769</v>
      </c>
      <c r="B845" s="328"/>
      <c r="C845" s="328"/>
      <c r="D845" s="396" t="s">
        <v>714</v>
      </c>
      <c r="E845" s="328"/>
      <c r="F845" s="328"/>
      <c r="G845" s="328"/>
      <c r="H845" s="328"/>
      <c r="I845" s="328"/>
      <c r="J845" s="328"/>
      <c r="K845" s="328"/>
      <c r="L845" s="209"/>
      <c r="M845" s="247"/>
      <c r="N845" s="339">
        <v>0</v>
      </c>
      <c r="O845" s="339">
        <v>2566</v>
      </c>
      <c r="P845" s="216">
        <v>4344</v>
      </c>
      <c r="Q845" s="216">
        <v>4344</v>
      </c>
      <c r="R845" s="223">
        <v>5397</v>
      </c>
      <c r="S845" s="223">
        <f>ROUND(R845*1.05,0)</f>
        <v>5667</v>
      </c>
      <c r="T845" s="223">
        <f t="shared" ref="T845:V845" si="254">ROUND(S845*1.05,0)</f>
        <v>5950</v>
      </c>
      <c r="U845" s="223">
        <f t="shared" si="254"/>
        <v>6248</v>
      </c>
      <c r="V845" s="223">
        <f t="shared" si="254"/>
        <v>6560</v>
      </c>
      <c r="X845" s="656"/>
      <c r="Y845" s="657"/>
      <c r="Z845" s="656"/>
      <c r="AA845" s="657"/>
      <c r="AC845" s="213"/>
    </row>
    <row r="846" spans="1:29" ht="24" customHeight="1">
      <c r="A846" s="396" t="s">
        <v>770</v>
      </c>
      <c r="B846" s="328"/>
      <c r="C846" s="328"/>
      <c r="D846" s="396" t="s">
        <v>716</v>
      </c>
      <c r="E846" s="328"/>
      <c r="F846" s="328"/>
      <c r="G846" s="328"/>
      <c r="H846" s="328"/>
      <c r="I846" s="328"/>
      <c r="J846" s="328"/>
      <c r="K846" s="328"/>
      <c r="L846" s="209"/>
      <c r="M846" s="247"/>
      <c r="N846" s="339">
        <v>0</v>
      </c>
      <c r="O846" s="339">
        <v>296</v>
      </c>
      <c r="P846" s="216">
        <v>505</v>
      </c>
      <c r="Q846" s="216">
        <v>505</v>
      </c>
      <c r="R846" s="223">
        <v>695</v>
      </c>
      <c r="S846" s="223">
        <f>ROUND(R846*1.03,0)</f>
        <v>716</v>
      </c>
      <c r="T846" s="223">
        <f t="shared" ref="T846:V846" si="255">ROUND(S846*1.03,0)</f>
        <v>737</v>
      </c>
      <c r="U846" s="223">
        <f t="shared" si="255"/>
        <v>759</v>
      </c>
      <c r="V846" s="223">
        <f t="shared" si="255"/>
        <v>782</v>
      </c>
      <c r="X846" s="656"/>
      <c r="Y846" s="657"/>
      <c r="Z846" s="656"/>
      <c r="AA846" s="657"/>
      <c r="AC846" s="213"/>
    </row>
    <row r="847" spans="1:29" ht="24" customHeight="1">
      <c r="A847" s="396" t="s">
        <v>771</v>
      </c>
      <c r="B847" s="397"/>
      <c r="C847" s="397"/>
      <c r="D847" s="396" t="s">
        <v>99</v>
      </c>
      <c r="E847" s="397"/>
      <c r="F847" s="397"/>
      <c r="G847" s="397"/>
      <c r="H847" s="397"/>
      <c r="I847" s="397"/>
      <c r="J847" s="397"/>
      <c r="K847" s="397"/>
      <c r="L847" s="218"/>
      <c r="M847" s="247"/>
      <c r="N847" s="339">
        <v>581</v>
      </c>
      <c r="O847" s="339">
        <v>1144</v>
      </c>
      <c r="P847" s="216">
        <v>3000</v>
      </c>
      <c r="Q847" s="216">
        <v>3000</v>
      </c>
      <c r="R847" s="215">
        <v>5000</v>
      </c>
      <c r="S847" s="215">
        <v>5000</v>
      </c>
      <c r="T847" s="215">
        <v>5000</v>
      </c>
      <c r="U847" s="215">
        <v>5000</v>
      </c>
      <c r="V847" s="215">
        <v>5000</v>
      </c>
    </row>
    <row r="848" spans="1:29" ht="24" customHeight="1">
      <c r="A848" s="396" t="s">
        <v>772</v>
      </c>
      <c r="B848" s="397"/>
      <c r="C848" s="397"/>
      <c r="D848" s="396" t="s">
        <v>1319</v>
      </c>
      <c r="E848" s="397"/>
      <c r="F848" s="397"/>
      <c r="G848" s="397"/>
      <c r="H848" s="397"/>
      <c r="I848" s="397"/>
      <c r="J848" s="397"/>
      <c r="K848" s="397"/>
      <c r="L848" s="218"/>
      <c r="M848" s="247"/>
      <c r="N848" s="339">
        <v>369</v>
      </c>
      <c r="O848" s="339">
        <v>453</v>
      </c>
      <c r="P848" s="216">
        <v>1500</v>
      </c>
      <c r="Q848" s="216">
        <v>1500</v>
      </c>
      <c r="R848" s="215">
        <v>3000</v>
      </c>
      <c r="S848" s="215">
        <v>3000</v>
      </c>
      <c r="T848" s="215">
        <v>3000</v>
      </c>
      <c r="U848" s="215">
        <v>3000</v>
      </c>
      <c r="V848" s="215">
        <v>3000</v>
      </c>
    </row>
    <row r="849" spans="1:24" ht="24" customHeight="1">
      <c r="A849" s="396" t="s">
        <v>773</v>
      </c>
      <c r="B849" s="397"/>
      <c r="C849" s="397"/>
      <c r="D849" s="396" t="s">
        <v>98</v>
      </c>
      <c r="E849" s="397"/>
      <c r="F849" s="397"/>
      <c r="G849" s="397"/>
      <c r="H849" s="397"/>
      <c r="I849" s="397"/>
      <c r="J849" s="397"/>
      <c r="K849" s="397"/>
      <c r="L849" s="218"/>
      <c r="M849" s="229"/>
      <c r="N849" s="337">
        <v>27026</v>
      </c>
      <c r="O849" s="337">
        <v>24745</v>
      </c>
      <c r="P849" s="212">
        <v>27000</v>
      </c>
      <c r="Q849" s="212">
        <v>27000</v>
      </c>
      <c r="R849" s="211">
        <v>40000</v>
      </c>
      <c r="S849" s="211">
        <v>40000</v>
      </c>
      <c r="T849" s="211">
        <v>40000</v>
      </c>
      <c r="U849" s="211">
        <v>40000</v>
      </c>
      <c r="V849" s="211">
        <v>40000</v>
      </c>
    </row>
    <row r="850" spans="1:24" ht="24" customHeight="1">
      <c r="A850" s="396" t="s">
        <v>774</v>
      </c>
      <c r="B850" s="328"/>
      <c r="C850" s="328"/>
      <c r="D850" s="396" t="s">
        <v>265</v>
      </c>
      <c r="E850" s="328"/>
      <c r="F850" s="328"/>
      <c r="G850" s="328"/>
      <c r="H850" s="328"/>
      <c r="I850" s="328"/>
      <c r="J850" s="328"/>
      <c r="K850" s="328"/>
      <c r="L850" s="209"/>
      <c r="M850" s="247"/>
      <c r="N850" s="339">
        <v>2847</v>
      </c>
      <c r="O850" s="339">
        <v>2922</v>
      </c>
      <c r="P850" s="216">
        <v>7000</v>
      </c>
      <c r="Q850" s="216">
        <v>7000</v>
      </c>
      <c r="R850" s="215">
        <v>7000</v>
      </c>
      <c r="S850" s="215">
        <v>7000</v>
      </c>
      <c r="T850" s="215">
        <v>7000</v>
      </c>
      <c r="U850" s="215">
        <v>7000</v>
      </c>
      <c r="V850" s="215">
        <v>7000</v>
      </c>
      <c r="X850" s="213"/>
    </row>
    <row r="851" spans="1:24" ht="24" customHeight="1">
      <c r="A851" s="396" t="s">
        <v>775</v>
      </c>
      <c r="B851" s="328"/>
      <c r="C851" s="328"/>
      <c r="D851" s="396" t="s">
        <v>535</v>
      </c>
      <c r="E851" s="328"/>
      <c r="F851" s="328"/>
      <c r="G851" s="328"/>
      <c r="H851" s="328"/>
      <c r="I851" s="328"/>
      <c r="J851" s="328"/>
      <c r="K851" s="328"/>
      <c r="L851" s="209"/>
      <c r="M851" s="247"/>
      <c r="N851" s="339">
        <v>685</v>
      </c>
      <c r="O851" s="339">
        <v>803</v>
      </c>
      <c r="P851" s="216">
        <v>2500</v>
      </c>
      <c r="Q851" s="216">
        <v>2500</v>
      </c>
      <c r="R851" s="215">
        <v>2500</v>
      </c>
      <c r="S851" s="215">
        <v>2500</v>
      </c>
      <c r="T851" s="215">
        <v>2500</v>
      </c>
      <c r="U851" s="215">
        <v>2500</v>
      </c>
      <c r="V851" s="215">
        <v>2500</v>
      </c>
    </row>
    <row r="852" spans="1:24" ht="24" customHeight="1">
      <c r="A852" s="396" t="s">
        <v>776</v>
      </c>
      <c r="B852" s="397"/>
      <c r="C852" s="397"/>
      <c r="D852" s="396" t="s">
        <v>97</v>
      </c>
      <c r="E852" s="397"/>
      <c r="F852" s="397"/>
      <c r="G852" s="397"/>
      <c r="H852" s="397"/>
      <c r="I852" s="397"/>
      <c r="J852" s="397"/>
      <c r="K852" s="397"/>
      <c r="L852" s="218"/>
      <c r="M852" s="247"/>
      <c r="N852" s="339">
        <v>3128</v>
      </c>
      <c r="O852" s="339">
        <v>2188</v>
      </c>
      <c r="P852" s="216">
        <v>4000</v>
      </c>
      <c r="Q852" s="216">
        <v>4000</v>
      </c>
      <c r="R852" s="215">
        <v>4000</v>
      </c>
      <c r="S852" s="215">
        <v>4000</v>
      </c>
      <c r="T852" s="215">
        <v>4000</v>
      </c>
      <c r="U852" s="215">
        <v>4000</v>
      </c>
      <c r="V852" s="215">
        <v>4000</v>
      </c>
    </row>
    <row r="853" spans="1:24" ht="24" customHeight="1">
      <c r="A853" s="396" t="s">
        <v>1263</v>
      </c>
      <c r="B853" s="328"/>
      <c r="C853" s="328"/>
      <c r="D853" s="396" t="s">
        <v>1321</v>
      </c>
      <c r="E853" s="328"/>
      <c r="F853" s="328"/>
      <c r="G853" s="328"/>
      <c r="H853" s="328"/>
      <c r="I853" s="328"/>
      <c r="J853" s="328"/>
      <c r="K853" s="328"/>
      <c r="L853" s="209"/>
      <c r="M853" s="209"/>
      <c r="N853" s="360">
        <v>1375</v>
      </c>
      <c r="O853" s="360">
        <v>1454</v>
      </c>
      <c r="P853" s="269">
        <v>1500</v>
      </c>
      <c r="Q853" s="269">
        <v>1500</v>
      </c>
      <c r="R853" s="268">
        <v>2500</v>
      </c>
      <c r="S853" s="268">
        <v>2500</v>
      </c>
      <c r="T853" s="268">
        <v>2500</v>
      </c>
      <c r="U853" s="268">
        <v>2500</v>
      </c>
      <c r="V853" s="268">
        <v>2500</v>
      </c>
    </row>
    <row r="854" spans="1:24" ht="24" customHeight="1">
      <c r="A854" s="396" t="s">
        <v>777</v>
      </c>
      <c r="B854" s="328"/>
      <c r="C854" s="328"/>
      <c r="D854" s="396" t="s">
        <v>10</v>
      </c>
      <c r="E854" s="328"/>
      <c r="F854" s="328"/>
      <c r="G854" s="328"/>
      <c r="H854" s="328"/>
      <c r="I854" s="328"/>
      <c r="J854" s="328"/>
      <c r="K854" s="328"/>
      <c r="L854" s="209"/>
      <c r="M854" s="247"/>
      <c r="N854" s="339">
        <v>73265</v>
      </c>
      <c r="O854" s="339">
        <v>60998</v>
      </c>
      <c r="P854" s="216">
        <v>65000</v>
      </c>
      <c r="Q854" s="216">
        <v>65000</v>
      </c>
      <c r="R854" s="215">
        <v>75000</v>
      </c>
      <c r="S854" s="215">
        <v>75000</v>
      </c>
      <c r="T854" s="215">
        <v>75000</v>
      </c>
      <c r="U854" s="215">
        <v>75000</v>
      </c>
      <c r="V854" s="215">
        <v>75000</v>
      </c>
      <c r="X854" s="217"/>
    </row>
    <row r="855" spans="1:24" ht="24" customHeight="1">
      <c r="A855" s="396" t="s">
        <v>778</v>
      </c>
      <c r="B855" s="397"/>
      <c r="C855" s="550"/>
      <c r="D855" s="396" t="s">
        <v>18</v>
      </c>
      <c r="E855" s="550"/>
      <c r="F855" s="550"/>
      <c r="G855" s="550"/>
      <c r="H855" s="550"/>
      <c r="I855" s="550"/>
      <c r="J855" s="550"/>
      <c r="K855" s="550"/>
      <c r="L855" s="218"/>
      <c r="M855" s="229"/>
      <c r="N855" s="337">
        <v>9538</v>
      </c>
      <c r="O855" s="337">
        <v>12869</v>
      </c>
      <c r="P855" s="212">
        <v>20000</v>
      </c>
      <c r="Q855" s="212">
        <v>20000</v>
      </c>
      <c r="R855" s="215">
        <f>ROUND(Q855*1.15,0)</f>
        <v>23000</v>
      </c>
      <c r="S855" s="215">
        <f>ROUND(R855*1.06,0)</f>
        <v>24380</v>
      </c>
      <c r="T855" s="215">
        <f t="shared" ref="T855:V855" si="256">ROUND(S855*1.06,0)</f>
        <v>25843</v>
      </c>
      <c r="U855" s="215">
        <f t="shared" si="256"/>
        <v>27394</v>
      </c>
      <c r="V855" s="215">
        <f t="shared" si="256"/>
        <v>29038</v>
      </c>
      <c r="X855" s="217"/>
    </row>
    <row r="856" spans="1:24" ht="24" customHeight="1">
      <c r="A856" s="396" t="s">
        <v>779</v>
      </c>
      <c r="B856" s="397"/>
      <c r="C856" s="397"/>
      <c r="D856" s="396" t="s">
        <v>94</v>
      </c>
      <c r="E856" s="397"/>
      <c r="F856" s="397"/>
      <c r="G856" s="397"/>
      <c r="H856" s="397"/>
      <c r="I856" s="397"/>
      <c r="J856" s="397"/>
      <c r="K856" s="397"/>
      <c r="L856" s="218"/>
      <c r="M856" s="247"/>
      <c r="N856" s="339">
        <v>2558</v>
      </c>
      <c r="O856" s="339">
        <v>2408</v>
      </c>
      <c r="P856" s="216">
        <v>4500</v>
      </c>
      <c r="Q856" s="216">
        <v>4500</v>
      </c>
      <c r="R856" s="215">
        <v>4500</v>
      </c>
      <c r="S856" s="215">
        <v>4500</v>
      </c>
      <c r="T856" s="215">
        <v>4500</v>
      </c>
      <c r="U856" s="215">
        <v>4500</v>
      </c>
      <c r="V856" s="215">
        <v>4500</v>
      </c>
    </row>
    <row r="857" spans="1:24" ht="24" customHeight="1">
      <c r="A857" s="396" t="s">
        <v>780</v>
      </c>
      <c r="B857" s="397"/>
      <c r="C857" s="397"/>
      <c r="D857" s="396" t="s">
        <v>1323</v>
      </c>
      <c r="E857" s="397"/>
      <c r="F857" s="397"/>
      <c r="G857" s="397"/>
      <c r="H857" s="397"/>
      <c r="I857" s="397"/>
      <c r="J857" s="397"/>
      <c r="K857" s="397"/>
      <c r="L857" s="218"/>
      <c r="M857" s="259"/>
      <c r="N857" s="356">
        <v>106</v>
      </c>
      <c r="O857" s="356">
        <v>50</v>
      </c>
      <c r="P857" s="270">
        <v>40000</v>
      </c>
      <c r="Q857" s="270">
        <v>40000</v>
      </c>
      <c r="R857" s="260">
        <v>3000</v>
      </c>
      <c r="S857" s="260">
        <v>3000</v>
      </c>
      <c r="T857" s="260">
        <v>3000</v>
      </c>
      <c r="U857" s="260">
        <v>3000</v>
      </c>
      <c r="V857" s="260">
        <v>3000</v>
      </c>
      <c r="X857" s="217"/>
    </row>
    <row r="858" spans="1:24" ht="24" customHeight="1">
      <c r="A858" s="396" t="s">
        <v>781</v>
      </c>
      <c r="B858" s="397"/>
      <c r="C858" s="397"/>
      <c r="D858" s="396" t="s">
        <v>536</v>
      </c>
      <c r="E858" s="397"/>
      <c r="F858" s="397"/>
      <c r="G858" s="397"/>
      <c r="H858" s="397"/>
      <c r="I858" s="397"/>
      <c r="J858" s="397"/>
      <c r="K858" s="397"/>
      <c r="L858" s="218"/>
      <c r="M858" s="259"/>
      <c r="N858" s="356">
        <v>9388</v>
      </c>
      <c r="O858" s="356">
        <v>9033</v>
      </c>
      <c r="P858" s="270">
        <v>7000</v>
      </c>
      <c r="Q858" s="270">
        <v>7000</v>
      </c>
      <c r="R858" s="260">
        <v>7000</v>
      </c>
      <c r="S858" s="260">
        <v>7000</v>
      </c>
      <c r="T858" s="260">
        <v>7000</v>
      </c>
      <c r="U858" s="260">
        <v>7000</v>
      </c>
      <c r="V858" s="260">
        <v>7000</v>
      </c>
    </row>
    <row r="859" spans="1:24" ht="24" customHeight="1">
      <c r="A859" s="396" t="s">
        <v>1212</v>
      </c>
      <c r="B859" s="397"/>
      <c r="C859" s="397"/>
      <c r="D859" s="396" t="s">
        <v>569</v>
      </c>
      <c r="E859" s="397"/>
      <c r="F859" s="397"/>
      <c r="G859" s="397"/>
      <c r="H859" s="397"/>
      <c r="I859" s="397"/>
      <c r="J859" s="397"/>
      <c r="K859" s="397"/>
      <c r="L859" s="218"/>
      <c r="M859" s="259"/>
      <c r="N859" s="356">
        <v>0</v>
      </c>
      <c r="O859" s="356">
        <v>0</v>
      </c>
      <c r="P859" s="270">
        <v>0</v>
      </c>
      <c r="Q859" s="270">
        <v>0</v>
      </c>
      <c r="R859" s="260">
        <v>30000</v>
      </c>
      <c r="S859" s="260">
        <v>0</v>
      </c>
      <c r="T859" s="260">
        <v>0</v>
      </c>
      <c r="U859" s="260">
        <v>0</v>
      </c>
      <c r="V859" s="260">
        <v>0</v>
      </c>
      <c r="X859" s="213"/>
    </row>
    <row r="860" spans="1:24" ht="24" customHeight="1">
      <c r="A860" s="396" t="s">
        <v>782</v>
      </c>
      <c r="B860" s="397"/>
      <c r="C860" s="397"/>
      <c r="D860" s="396" t="s">
        <v>537</v>
      </c>
      <c r="E860" s="397"/>
      <c r="F860" s="397"/>
      <c r="G860" s="397"/>
      <c r="H860" s="397"/>
      <c r="I860" s="397"/>
      <c r="J860" s="397"/>
      <c r="K860" s="397"/>
      <c r="L860" s="218"/>
      <c r="M860" s="247"/>
      <c r="N860" s="339">
        <v>84982</v>
      </c>
      <c r="O860" s="339">
        <v>91712</v>
      </c>
      <c r="P860" s="216">
        <v>100000</v>
      </c>
      <c r="Q860" s="216">
        <v>91000</v>
      </c>
      <c r="R860" s="215">
        <v>100000</v>
      </c>
      <c r="S860" s="215">
        <v>100000</v>
      </c>
      <c r="T860" s="215">
        <v>100000</v>
      </c>
      <c r="U860" s="215">
        <v>100000</v>
      </c>
      <c r="V860" s="215">
        <v>100000</v>
      </c>
    </row>
    <row r="861" spans="1:24" ht="24" customHeight="1">
      <c r="A861" s="396" t="s">
        <v>783</v>
      </c>
      <c r="B861" s="397"/>
      <c r="C861" s="397"/>
      <c r="D861" s="396" t="s">
        <v>538</v>
      </c>
      <c r="E861" s="397"/>
      <c r="F861" s="397"/>
      <c r="G861" s="397"/>
      <c r="H861" s="397"/>
      <c r="I861" s="397"/>
      <c r="J861" s="397"/>
      <c r="K861" s="397"/>
      <c r="L861" s="218"/>
      <c r="M861" s="247"/>
      <c r="N861" s="339">
        <v>47065</v>
      </c>
      <c r="O861" s="339">
        <v>50603</v>
      </c>
      <c r="P861" s="216">
        <v>55000</v>
      </c>
      <c r="Q861" s="216">
        <v>55000</v>
      </c>
      <c r="R861" s="215">
        <v>55000</v>
      </c>
      <c r="S861" s="215">
        <v>55000</v>
      </c>
      <c r="T861" s="215">
        <v>55000</v>
      </c>
      <c r="U861" s="215">
        <v>55000</v>
      </c>
      <c r="V861" s="215">
        <v>55000</v>
      </c>
    </row>
    <row r="862" spans="1:24" ht="24" customHeight="1">
      <c r="A862" s="396" t="s">
        <v>784</v>
      </c>
      <c r="B862" s="397"/>
      <c r="C862" s="397"/>
      <c r="D862" s="396" t="s">
        <v>539</v>
      </c>
      <c r="E862" s="397"/>
      <c r="F862" s="397"/>
      <c r="G862" s="397"/>
      <c r="H862" s="397"/>
      <c r="I862" s="397"/>
      <c r="J862" s="397"/>
      <c r="K862" s="397"/>
      <c r="L862" s="218"/>
      <c r="M862" s="247"/>
      <c r="N862" s="339">
        <v>19144</v>
      </c>
      <c r="O862" s="339">
        <v>17714</v>
      </c>
      <c r="P862" s="216">
        <v>18000</v>
      </c>
      <c r="Q862" s="216">
        <v>18000</v>
      </c>
      <c r="R862" s="215">
        <v>18000</v>
      </c>
      <c r="S862" s="215">
        <v>18000</v>
      </c>
      <c r="T862" s="215">
        <v>18000</v>
      </c>
      <c r="U862" s="215">
        <v>18000</v>
      </c>
      <c r="V862" s="215">
        <v>18000</v>
      </c>
    </row>
    <row r="863" spans="1:24" ht="24" customHeight="1">
      <c r="A863" s="396" t="s">
        <v>785</v>
      </c>
      <c r="B863" s="397"/>
      <c r="C863" s="397"/>
      <c r="D863" s="396" t="s">
        <v>11</v>
      </c>
      <c r="E863" s="397"/>
      <c r="F863" s="397"/>
      <c r="G863" s="397"/>
      <c r="H863" s="397"/>
      <c r="I863" s="397"/>
      <c r="J863" s="397"/>
      <c r="K863" s="397"/>
      <c r="L863" s="218"/>
      <c r="M863" s="247"/>
      <c r="N863" s="339">
        <v>1792</v>
      </c>
      <c r="O863" s="339">
        <v>2503</v>
      </c>
      <c r="P863" s="216">
        <v>3000</v>
      </c>
      <c r="Q863" s="216">
        <v>3000</v>
      </c>
      <c r="R863" s="215">
        <v>3000</v>
      </c>
      <c r="S863" s="215">
        <v>3000</v>
      </c>
      <c r="T863" s="215">
        <v>3000</v>
      </c>
      <c r="U863" s="215">
        <v>3000</v>
      </c>
      <c r="V863" s="215">
        <v>3000</v>
      </c>
    </row>
    <row r="864" spans="1:24" ht="24" customHeight="1">
      <c r="A864" s="396" t="s">
        <v>786</v>
      </c>
      <c r="B864" s="397"/>
      <c r="C864" s="397"/>
      <c r="D864" s="396" t="s">
        <v>12</v>
      </c>
      <c r="E864" s="397"/>
      <c r="F864" s="397"/>
      <c r="G864" s="397"/>
      <c r="H864" s="397"/>
      <c r="I864" s="397"/>
      <c r="J864" s="397"/>
      <c r="K864" s="397"/>
      <c r="L864" s="218"/>
      <c r="M864" s="247"/>
      <c r="N864" s="339">
        <v>6533</v>
      </c>
      <c r="O864" s="339">
        <v>19426</v>
      </c>
      <c r="P864" s="216">
        <v>7500</v>
      </c>
      <c r="Q864" s="216">
        <v>7500</v>
      </c>
      <c r="R864" s="215">
        <v>7500</v>
      </c>
      <c r="S864" s="215">
        <v>7500</v>
      </c>
      <c r="T864" s="215">
        <v>7500</v>
      </c>
      <c r="U864" s="215">
        <v>7500</v>
      </c>
      <c r="V864" s="215">
        <v>7500</v>
      </c>
    </row>
    <row r="865" spans="1:24" ht="24" customHeight="1">
      <c r="A865" s="396" t="s">
        <v>787</v>
      </c>
      <c r="B865" s="397"/>
      <c r="C865" s="397"/>
      <c r="D865" s="396" t="s">
        <v>17</v>
      </c>
      <c r="E865" s="397"/>
      <c r="F865" s="397"/>
      <c r="G865" s="397"/>
      <c r="H865" s="397"/>
      <c r="I865" s="397"/>
      <c r="J865" s="397"/>
      <c r="K865" s="397"/>
      <c r="L865" s="218"/>
      <c r="M865" s="229"/>
      <c r="N865" s="337">
        <v>0</v>
      </c>
      <c r="O865" s="337">
        <v>0</v>
      </c>
      <c r="P865" s="212">
        <v>1000</v>
      </c>
      <c r="Q865" s="212">
        <v>1000</v>
      </c>
      <c r="R865" s="211">
        <v>1000</v>
      </c>
      <c r="S865" s="211">
        <v>1000</v>
      </c>
      <c r="T865" s="211">
        <v>1000</v>
      </c>
      <c r="U865" s="211">
        <v>1000</v>
      </c>
      <c r="V865" s="211">
        <v>1000</v>
      </c>
    </row>
    <row r="866" spans="1:24" ht="24" customHeight="1">
      <c r="A866" s="396" t="s">
        <v>788</v>
      </c>
      <c r="B866" s="397"/>
      <c r="C866" s="397"/>
      <c r="D866" s="396" t="s">
        <v>274</v>
      </c>
      <c r="E866" s="397"/>
      <c r="F866" s="397"/>
      <c r="G866" s="397"/>
      <c r="H866" s="397"/>
      <c r="I866" s="397"/>
      <c r="J866" s="397"/>
      <c r="K866" s="397"/>
      <c r="L866" s="218"/>
      <c r="M866" s="264"/>
      <c r="N866" s="341">
        <v>1522</v>
      </c>
      <c r="O866" s="341">
        <v>616</v>
      </c>
      <c r="P866" s="224">
        <v>500</v>
      </c>
      <c r="Q866" s="224">
        <v>500</v>
      </c>
      <c r="R866" s="223">
        <v>500</v>
      </c>
      <c r="S866" s="223">
        <v>500</v>
      </c>
      <c r="T866" s="223">
        <v>500</v>
      </c>
      <c r="U866" s="223">
        <v>500</v>
      </c>
      <c r="V866" s="223">
        <v>500</v>
      </c>
    </row>
    <row r="867" spans="1:24" ht="24" customHeight="1">
      <c r="A867" s="396" t="s">
        <v>789</v>
      </c>
      <c r="B867" s="397"/>
      <c r="C867" s="397"/>
      <c r="D867" s="396" t="s">
        <v>1322</v>
      </c>
      <c r="E867" s="397"/>
      <c r="F867" s="397"/>
      <c r="G867" s="397"/>
      <c r="H867" s="397"/>
      <c r="I867" s="397"/>
      <c r="J867" s="397"/>
      <c r="K867" s="397"/>
      <c r="L867" s="218"/>
      <c r="M867" s="264"/>
      <c r="N867" s="341">
        <v>920</v>
      </c>
      <c r="O867" s="341">
        <v>132</v>
      </c>
      <c r="P867" s="224">
        <v>2000</v>
      </c>
      <c r="Q867" s="224">
        <v>2000</v>
      </c>
      <c r="R867" s="223">
        <f>2000</f>
        <v>2000</v>
      </c>
      <c r="S867" s="223">
        <f>2000</f>
        <v>2000</v>
      </c>
      <c r="T867" s="223">
        <f>2000</f>
        <v>2000</v>
      </c>
      <c r="U867" s="223">
        <f>2000</f>
        <v>2000</v>
      </c>
      <c r="V867" s="223">
        <f>2000</f>
        <v>2000</v>
      </c>
    </row>
    <row r="868" spans="1:24" ht="24" customHeight="1">
      <c r="A868" s="396" t="s">
        <v>1504</v>
      </c>
      <c r="B868" s="682"/>
      <c r="C868" s="682"/>
      <c r="D868" s="396" t="s">
        <v>1324</v>
      </c>
      <c r="E868" s="682"/>
      <c r="F868" s="682"/>
      <c r="G868" s="682"/>
      <c r="H868" s="682"/>
      <c r="I868" s="682"/>
      <c r="J868" s="682"/>
      <c r="K868" s="682"/>
      <c r="L868" s="218"/>
      <c r="M868" s="253"/>
      <c r="N868" s="340">
        <v>0</v>
      </c>
      <c r="O868" s="340">
        <v>0</v>
      </c>
      <c r="P868" s="225">
        <v>100</v>
      </c>
      <c r="Q868" s="225">
        <v>0</v>
      </c>
      <c r="R868" s="221">
        <v>0</v>
      </c>
      <c r="S868" s="221">
        <v>0</v>
      </c>
      <c r="T868" s="221">
        <v>0</v>
      </c>
      <c r="U868" s="221">
        <v>0</v>
      </c>
      <c r="V868" s="221">
        <v>0</v>
      </c>
    </row>
    <row r="869" spans="1:24" ht="24" customHeight="1">
      <c r="A869" s="396" t="s">
        <v>790</v>
      </c>
      <c r="B869" s="397"/>
      <c r="C869" s="397"/>
      <c r="D869" s="396" t="s">
        <v>161</v>
      </c>
      <c r="E869" s="397"/>
      <c r="F869" s="397"/>
      <c r="G869" s="397"/>
      <c r="H869" s="397"/>
      <c r="I869" s="397"/>
      <c r="J869" s="397"/>
      <c r="K869" s="397"/>
      <c r="L869" s="218"/>
      <c r="M869" s="271"/>
      <c r="N869" s="340">
        <v>996</v>
      </c>
      <c r="O869" s="340">
        <v>1437</v>
      </c>
      <c r="P869" s="225">
        <v>3000</v>
      </c>
      <c r="Q869" s="225">
        <v>3000</v>
      </c>
      <c r="R869" s="221">
        <f>ROUND(Q869*1.07,0)</f>
        <v>3210</v>
      </c>
      <c r="S869" s="221">
        <f t="shared" ref="S869:V869" si="257">ROUND(R869*1.07,0)</f>
        <v>3435</v>
      </c>
      <c r="T869" s="221">
        <f t="shared" si="257"/>
        <v>3675</v>
      </c>
      <c r="U869" s="221">
        <f t="shared" si="257"/>
        <v>3932</v>
      </c>
      <c r="V869" s="221">
        <f t="shared" si="257"/>
        <v>4207</v>
      </c>
      <c r="X869" s="217"/>
    </row>
    <row r="870" spans="1:24" ht="24" customHeight="1">
      <c r="A870" s="396" t="s">
        <v>1215</v>
      </c>
      <c r="B870" s="397"/>
      <c r="C870" s="397"/>
      <c r="D870" s="396" t="s">
        <v>1216</v>
      </c>
      <c r="E870" s="397"/>
      <c r="F870" s="397"/>
      <c r="G870" s="397"/>
      <c r="H870" s="397"/>
      <c r="I870" s="397"/>
      <c r="J870" s="397"/>
      <c r="K870" s="397"/>
      <c r="L870" s="218"/>
      <c r="M870" s="271"/>
      <c r="N870" s="345">
        <v>0</v>
      </c>
      <c r="O870" s="345">
        <v>0</v>
      </c>
      <c r="P870" s="235">
        <v>556957</v>
      </c>
      <c r="Q870" s="235">
        <f>Q894</f>
        <v>487840</v>
      </c>
      <c r="R870" s="234">
        <f t="shared" ref="R870:V870" si="258">R894</f>
        <v>0</v>
      </c>
      <c r="S870" s="234">
        <f t="shared" si="258"/>
        <v>0</v>
      </c>
      <c r="T870" s="234">
        <f t="shared" si="258"/>
        <v>0</v>
      </c>
      <c r="U870" s="234">
        <f t="shared" si="258"/>
        <v>0</v>
      </c>
      <c r="V870" s="234">
        <f t="shared" si="258"/>
        <v>0</v>
      </c>
      <c r="X870" s="217"/>
    </row>
    <row r="871" spans="1:24" s="328" customFormat="1" ht="24" customHeight="1">
      <c r="A871" s="396"/>
      <c r="B871" s="397"/>
      <c r="C871" s="397"/>
      <c r="D871" s="396"/>
      <c r="E871" s="397"/>
      <c r="F871" s="397"/>
      <c r="G871" s="397"/>
      <c r="H871" s="397"/>
      <c r="I871" s="397"/>
      <c r="J871" s="397"/>
      <c r="K871" s="397"/>
      <c r="L871" s="428"/>
      <c r="M871" s="433"/>
      <c r="N871" s="364">
        <f t="shared" ref="N871" si="259">SUM(N835:N870)</f>
        <v>602009</v>
      </c>
      <c r="O871" s="364">
        <f>SUM(O835:O870)</f>
        <v>643766</v>
      </c>
      <c r="P871" s="381">
        <f t="shared" ref="P871:Q871" si="260">SUM(P835:P870)</f>
        <v>1385883</v>
      </c>
      <c r="Q871" s="381">
        <f t="shared" si="260"/>
        <v>1307666</v>
      </c>
      <c r="R871" s="364">
        <f t="shared" ref="R871:U871" si="261">SUM(R835:R870)</f>
        <v>918847</v>
      </c>
      <c r="S871" s="364">
        <f t="shared" si="261"/>
        <v>911171</v>
      </c>
      <c r="T871" s="364">
        <f t="shared" si="261"/>
        <v>936166</v>
      </c>
      <c r="U871" s="364">
        <f t="shared" si="261"/>
        <v>962675</v>
      </c>
      <c r="V871" s="364">
        <f>SUM(V835:V870)</f>
        <v>990856</v>
      </c>
      <c r="W871" s="640"/>
    </row>
    <row r="872" spans="1:24" s="328" customFormat="1" ht="15" customHeight="1">
      <c r="A872" s="396"/>
      <c r="B872" s="397"/>
      <c r="C872" s="397"/>
      <c r="D872" s="396"/>
      <c r="E872" s="397"/>
      <c r="F872" s="397"/>
      <c r="G872" s="397"/>
      <c r="H872" s="397"/>
      <c r="I872" s="397"/>
      <c r="J872" s="397"/>
      <c r="K872" s="397"/>
      <c r="L872" s="428"/>
      <c r="M872" s="433"/>
      <c r="N872" s="364"/>
      <c r="O872" s="364"/>
      <c r="P872" s="381"/>
      <c r="Q872" s="381"/>
      <c r="R872" s="364"/>
      <c r="S872" s="364"/>
      <c r="T872" s="364"/>
      <c r="U872" s="364"/>
      <c r="V872" s="364"/>
      <c r="W872" s="640"/>
    </row>
    <row r="873" spans="1:24" s="328" customFormat="1" ht="24" customHeight="1">
      <c r="K873" s="400" t="s">
        <v>659</v>
      </c>
      <c r="L873" s="422"/>
      <c r="M873" s="422">
        <f t="shared" ref="M873:V873" si="262">M832+M871</f>
        <v>0</v>
      </c>
      <c r="N873" s="365">
        <f t="shared" si="262"/>
        <v>1151098</v>
      </c>
      <c r="O873" s="365">
        <f t="shared" si="262"/>
        <v>1398256</v>
      </c>
      <c r="P873" s="349">
        <f t="shared" si="262"/>
        <v>2199048</v>
      </c>
      <c r="Q873" s="349">
        <f t="shared" si="262"/>
        <v>2120831</v>
      </c>
      <c r="R873" s="348">
        <f t="shared" si="262"/>
        <v>1911447</v>
      </c>
      <c r="S873" s="348">
        <f t="shared" si="262"/>
        <v>1838749</v>
      </c>
      <c r="T873" s="348">
        <f t="shared" si="262"/>
        <v>1883504</v>
      </c>
      <c r="U873" s="348">
        <f t="shared" si="262"/>
        <v>1948958</v>
      </c>
      <c r="V873" s="348">
        <f t="shared" si="262"/>
        <v>2018520</v>
      </c>
      <c r="W873" s="640"/>
    </row>
    <row r="874" spans="1:24" s="328" customFormat="1" ht="15" customHeight="1">
      <c r="L874" s="424"/>
      <c r="M874" s="422"/>
      <c r="N874" s="365"/>
      <c r="O874" s="365"/>
      <c r="P874" s="366"/>
      <c r="Q874" s="366"/>
      <c r="R874" s="365"/>
      <c r="S874" s="365"/>
      <c r="T874" s="365"/>
      <c r="U874" s="365"/>
      <c r="V874" s="365"/>
      <c r="W874" s="640"/>
    </row>
    <row r="875" spans="1:24" s="328" customFormat="1" ht="24" customHeight="1">
      <c r="K875" s="400" t="s">
        <v>660</v>
      </c>
      <c r="L875" s="422"/>
      <c r="M875" s="422"/>
      <c r="N875" s="365">
        <f t="shared" ref="N875:V875" si="263">N805-N873</f>
        <v>48510</v>
      </c>
      <c r="O875" s="365">
        <f t="shared" si="263"/>
        <v>40303</v>
      </c>
      <c r="P875" s="366">
        <f t="shared" si="263"/>
        <v>29656</v>
      </c>
      <c r="Q875" s="366">
        <f t="shared" si="263"/>
        <v>111938</v>
      </c>
      <c r="R875" s="365">
        <f t="shared" si="263"/>
        <v>-145591</v>
      </c>
      <c r="S875" s="365">
        <f t="shared" si="263"/>
        <v>-10905</v>
      </c>
      <c r="T875" s="365">
        <f t="shared" si="263"/>
        <v>6714</v>
      </c>
      <c r="U875" s="365">
        <f t="shared" si="263"/>
        <v>9818</v>
      </c>
      <c r="V875" s="365">
        <f t="shared" si="263"/>
        <v>10434</v>
      </c>
      <c r="W875" s="640"/>
    </row>
    <row r="876" spans="1:24" s="328" customFormat="1" ht="15" customHeight="1">
      <c r="L876" s="424"/>
      <c r="M876" s="422"/>
      <c r="N876" s="365"/>
      <c r="O876" s="365"/>
      <c r="P876" s="366"/>
      <c r="Q876" s="366"/>
      <c r="R876" s="365"/>
      <c r="S876" s="365"/>
      <c r="T876" s="365"/>
      <c r="U876" s="365"/>
      <c r="V876" s="365"/>
      <c r="W876" s="640"/>
    </row>
    <row r="877" spans="1:24" s="328" customFormat="1" ht="24" customHeight="1">
      <c r="K877" s="405" t="s">
        <v>662</v>
      </c>
      <c r="L877" s="422"/>
      <c r="M877" s="422"/>
      <c r="N877" s="365">
        <v>280065</v>
      </c>
      <c r="O877" s="365">
        <v>320370</v>
      </c>
      <c r="P877" s="366">
        <v>322699</v>
      </c>
      <c r="Q877" s="366">
        <f>O877+Q875</f>
        <v>432308</v>
      </c>
      <c r="R877" s="365">
        <f>Q877+R875</f>
        <v>286717</v>
      </c>
      <c r="S877" s="365">
        <f>R877+S875</f>
        <v>275812</v>
      </c>
      <c r="T877" s="365">
        <f>S877+T875</f>
        <v>282526</v>
      </c>
      <c r="U877" s="365">
        <f>T877+U875</f>
        <v>292344</v>
      </c>
      <c r="V877" s="365">
        <f>U877+V875</f>
        <v>302778</v>
      </c>
      <c r="W877" s="640"/>
    </row>
    <row r="878" spans="1:24" s="409" customFormat="1" ht="24" customHeight="1">
      <c r="K878" s="406"/>
      <c r="L878" s="437"/>
      <c r="M878" s="438"/>
      <c r="N878" s="367">
        <f t="shared" ref="N878" si="264">N877/N873</f>
        <v>0.24330248163058227</v>
      </c>
      <c r="O878" s="367">
        <f t="shared" ref="O878:V878" si="265">O877/O873</f>
        <v>0.22912113375519219</v>
      </c>
      <c r="P878" s="368">
        <f t="shared" ref="P878" si="266">P877/P873</f>
        <v>0.14674486414121019</v>
      </c>
      <c r="Q878" s="368">
        <f t="shared" si="265"/>
        <v>0.2038389668955235</v>
      </c>
      <c r="R878" s="367">
        <f t="shared" ref="R878:U878" si="267">R877/R873</f>
        <v>0.14999997384180674</v>
      </c>
      <c r="S878" s="367">
        <f t="shared" si="267"/>
        <v>0.14999980965319357</v>
      </c>
      <c r="T878" s="367">
        <f t="shared" si="267"/>
        <v>0.15000021237013567</v>
      </c>
      <c r="U878" s="367">
        <f t="shared" si="267"/>
        <v>0.15000015392840688</v>
      </c>
      <c r="V878" s="367">
        <f t="shared" si="265"/>
        <v>0.15</v>
      </c>
      <c r="W878" s="522"/>
    </row>
    <row r="879" spans="1:24" ht="15" customHeight="1">
      <c r="A879" s="328"/>
      <c r="B879" s="328"/>
      <c r="C879" s="328"/>
      <c r="D879" s="328"/>
      <c r="E879" s="328"/>
      <c r="F879" s="328"/>
      <c r="G879" s="328"/>
      <c r="H879" s="328"/>
      <c r="I879" s="328"/>
      <c r="J879" s="328"/>
      <c r="K879" s="405"/>
      <c r="L879" s="240"/>
      <c r="M879" s="280"/>
      <c r="N879" s="621"/>
      <c r="O879" s="621"/>
      <c r="P879" s="626"/>
      <c r="Q879" s="626"/>
      <c r="R879" s="627"/>
      <c r="S879" s="627"/>
      <c r="T879" s="627"/>
      <c r="U879" s="627"/>
      <c r="V879" s="627"/>
    </row>
    <row r="880" spans="1:24" s="561" customFormat="1" ht="15" hidden="1" customHeight="1">
      <c r="A880" s="490"/>
      <c r="B880" s="490"/>
      <c r="C880" s="490"/>
      <c r="D880" s="490"/>
      <c r="E880" s="490"/>
      <c r="F880" s="490"/>
      <c r="G880" s="490"/>
      <c r="H880" s="490"/>
      <c r="I880" s="490"/>
      <c r="J880" s="490"/>
      <c r="K880" s="490"/>
      <c r="L880" s="559"/>
      <c r="M880" s="632"/>
      <c r="N880" s="569"/>
      <c r="O880" s="569"/>
      <c r="P880" s="569"/>
      <c r="Q880" s="569"/>
      <c r="R880" s="570">
        <f>ROUND(R873*0.15,0)</f>
        <v>286717</v>
      </c>
      <c r="S880" s="570">
        <f t="shared" ref="S880:V880" si="268">ROUND(S873*0.15,0)</f>
        <v>275812</v>
      </c>
      <c r="T880" s="570">
        <f t="shared" si="268"/>
        <v>282526</v>
      </c>
      <c r="U880" s="570">
        <f t="shared" si="268"/>
        <v>292344</v>
      </c>
      <c r="V880" s="570">
        <f t="shared" si="268"/>
        <v>302778</v>
      </c>
      <c r="W880" s="560"/>
      <c r="X880" s="633" t="s">
        <v>1410</v>
      </c>
    </row>
    <row r="881" spans="1:24" s="561" customFormat="1" ht="15" hidden="1" customHeight="1">
      <c r="A881" s="490"/>
      <c r="B881" s="490"/>
      <c r="C881" s="490"/>
      <c r="D881" s="490"/>
      <c r="E881" s="490"/>
      <c r="F881" s="490"/>
      <c r="G881" s="490"/>
      <c r="H881" s="490"/>
      <c r="I881" s="490"/>
      <c r="J881" s="490"/>
      <c r="K881" s="490"/>
      <c r="L881" s="559"/>
      <c r="M881" s="632"/>
      <c r="N881" s="569"/>
      <c r="O881" s="569"/>
      <c r="P881" s="569"/>
      <c r="Q881" s="569"/>
      <c r="R881" s="570">
        <f>R880-R877</f>
        <v>0</v>
      </c>
      <c r="S881" s="570">
        <f>S880-S877</f>
        <v>0</v>
      </c>
      <c r="T881" s="570">
        <f>T880-T877</f>
        <v>0</v>
      </c>
      <c r="U881" s="570">
        <f>U880-U877</f>
        <v>0</v>
      </c>
      <c r="V881" s="570">
        <f>V880-V877</f>
        <v>0</v>
      </c>
      <c r="W881" s="560"/>
      <c r="X881" s="633" t="s">
        <v>1257</v>
      </c>
    </row>
    <row r="882" spans="1:24" ht="24" customHeight="1">
      <c r="A882" s="407" t="s">
        <v>673</v>
      </c>
      <c r="B882" s="328"/>
      <c r="C882" s="328"/>
      <c r="D882" s="328"/>
      <c r="E882" s="328"/>
      <c r="F882" s="328"/>
      <c r="G882" s="328"/>
      <c r="H882" s="328"/>
      <c r="I882" s="328"/>
      <c r="J882" s="328"/>
      <c r="K882" s="328"/>
      <c r="L882" s="209"/>
      <c r="M882" s="240"/>
      <c r="N882" s="620"/>
      <c r="O882" s="620"/>
      <c r="P882" s="624"/>
      <c r="Q882" s="624"/>
      <c r="R882" s="625"/>
      <c r="S882" s="625"/>
      <c r="T882" s="625"/>
      <c r="U882" s="625"/>
      <c r="V882" s="625"/>
    </row>
    <row r="883" spans="1:24" ht="15" customHeight="1">
      <c r="A883" s="328"/>
      <c r="B883" s="328"/>
      <c r="C883" s="328"/>
      <c r="D883" s="328"/>
      <c r="E883" s="328"/>
      <c r="F883" s="328"/>
      <c r="G883" s="328"/>
      <c r="H883" s="328"/>
      <c r="I883" s="328"/>
      <c r="J883" s="328"/>
      <c r="K883" s="328"/>
      <c r="L883" s="209"/>
      <c r="M883" s="240"/>
      <c r="N883" s="620"/>
      <c r="O883" s="620"/>
      <c r="P883" s="624"/>
      <c r="Q883" s="624"/>
      <c r="R883" s="625"/>
      <c r="S883" s="625"/>
      <c r="T883" s="625"/>
      <c r="U883" s="625"/>
      <c r="V883" s="625"/>
    </row>
    <row r="884" spans="1:24" ht="24" customHeight="1">
      <c r="A884" s="396" t="s">
        <v>1318</v>
      </c>
      <c r="B884" s="397"/>
      <c r="C884" s="397"/>
      <c r="D884" s="396" t="s">
        <v>506</v>
      </c>
      <c r="E884" s="397"/>
      <c r="F884" s="397"/>
      <c r="G884" s="397"/>
      <c r="H884" s="397"/>
      <c r="I884" s="397"/>
      <c r="J884" s="397"/>
      <c r="K884" s="397"/>
      <c r="L884" s="218"/>
      <c r="M884" s="214"/>
      <c r="N884" s="339">
        <v>97070</v>
      </c>
      <c r="O884" s="339">
        <v>69175</v>
      </c>
      <c r="P884" s="216">
        <v>0</v>
      </c>
      <c r="Q884" s="216">
        <v>3409</v>
      </c>
      <c r="R884" s="215">
        <v>0</v>
      </c>
      <c r="S884" s="215">
        <v>0</v>
      </c>
      <c r="T884" s="215">
        <v>0</v>
      </c>
      <c r="U884" s="215">
        <v>0</v>
      </c>
      <c r="V884" s="215">
        <v>0</v>
      </c>
    </row>
    <row r="885" spans="1:24" ht="24" customHeight="1">
      <c r="A885" s="396" t="s">
        <v>540</v>
      </c>
      <c r="B885" s="328"/>
      <c r="C885" s="328"/>
      <c r="D885" s="396" t="s">
        <v>508</v>
      </c>
      <c r="E885" s="328"/>
      <c r="F885" s="328"/>
      <c r="G885" s="328"/>
      <c r="H885" s="328"/>
      <c r="I885" s="328"/>
      <c r="J885" s="328"/>
      <c r="K885" s="328"/>
      <c r="L885" s="209"/>
      <c r="M885" s="214"/>
      <c r="N885" s="339">
        <v>10661</v>
      </c>
      <c r="O885" s="339">
        <v>8530</v>
      </c>
      <c r="P885" s="216">
        <v>500</v>
      </c>
      <c r="Q885" s="216">
        <v>492</v>
      </c>
      <c r="R885" s="215">
        <v>0</v>
      </c>
      <c r="S885" s="215">
        <v>0</v>
      </c>
      <c r="T885" s="215">
        <v>0</v>
      </c>
      <c r="U885" s="215">
        <v>0</v>
      </c>
      <c r="V885" s="215">
        <v>0</v>
      </c>
    </row>
    <row r="886" spans="1:24" ht="24" customHeight="1">
      <c r="A886" s="396" t="s">
        <v>541</v>
      </c>
      <c r="B886" s="397"/>
      <c r="C886" s="397"/>
      <c r="D886" s="396" t="s">
        <v>542</v>
      </c>
      <c r="E886" s="397"/>
      <c r="F886" s="397"/>
      <c r="G886" s="397"/>
      <c r="H886" s="397"/>
      <c r="I886" s="397"/>
      <c r="J886" s="397"/>
      <c r="K886" s="397"/>
      <c r="L886" s="218"/>
      <c r="M886" s="214"/>
      <c r="N886" s="339">
        <v>465488</v>
      </c>
      <c r="O886" s="339">
        <v>378700</v>
      </c>
      <c r="P886" s="216">
        <v>60000</v>
      </c>
      <c r="Q886" s="216">
        <v>37189</v>
      </c>
      <c r="R886" s="215">
        <v>0</v>
      </c>
      <c r="S886" s="215">
        <v>0</v>
      </c>
      <c r="T886" s="215">
        <v>0</v>
      </c>
      <c r="U886" s="215">
        <v>0</v>
      </c>
      <c r="V886" s="215">
        <v>0</v>
      </c>
    </row>
    <row r="887" spans="1:24" ht="24" customHeight="1">
      <c r="A887" s="396" t="s">
        <v>543</v>
      </c>
      <c r="B887" s="328"/>
      <c r="C887" s="328"/>
      <c r="D887" s="396" t="s">
        <v>544</v>
      </c>
      <c r="E887" s="328"/>
      <c r="F887" s="328"/>
      <c r="G887" s="328"/>
      <c r="H887" s="328"/>
      <c r="I887" s="328"/>
      <c r="J887" s="328"/>
      <c r="K887" s="328"/>
      <c r="L887" s="209"/>
      <c r="M887" s="214"/>
      <c r="N887" s="339">
        <v>8939</v>
      </c>
      <c r="O887" s="339">
        <v>9435</v>
      </c>
      <c r="P887" s="216">
        <v>500</v>
      </c>
      <c r="Q887" s="216">
        <v>1136</v>
      </c>
      <c r="R887" s="215">
        <v>0</v>
      </c>
      <c r="S887" s="215">
        <v>0</v>
      </c>
      <c r="T887" s="215">
        <v>0</v>
      </c>
      <c r="U887" s="215">
        <v>0</v>
      </c>
      <c r="V887" s="215">
        <v>0</v>
      </c>
    </row>
    <row r="888" spans="1:24" ht="24" customHeight="1">
      <c r="A888" s="396" t="s">
        <v>545</v>
      </c>
      <c r="B888" s="328"/>
      <c r="C888" s="328"/>
      <c r="D888" s="396" t="s">
        <v>546</v>
      </c>
      <c r="E888" s="328"/>
      <c r="F888" s="328"/>
      <c r="G888" s="328"/>
      <c r="H888" s="328"/>
      <c r="I888" s="328"/>
      <c r="J888" s="328"/>
      <c r="K888" s="328"/>
      <c r="L888" s="209"/>
      <c r="M888" s="220"/>
      <c r="N888" s="340">
        <v>30932</v>
      </c>
      <c r="O888" s="340">
        <v>20097</v>
      </c>
      <c r="P888" s="225">
        <v>0</v>
      </c>
      <c r="Q888" s="225">
        <v>2275</v>
      </c>
      <c r="R888" s="221">
        <v>0</v>
      </c>
      <c r="S888" s="221">
        <v>0</v>
      </c>
      <c r="T888" s="221">
        <v>0</v>
      </c>
      <c r="U888" s="221">
        <v>0</v>
      </c>
      <c r="V888" s="221">
        <v>0</v>
      </c>
    </row>
    <row r="889" spans="1:24" ht="24" customHeight="1">
      <c r="A889" s="396" t="s">
        <v>547</v>
      </c>
      <c r="B889" s="328"/>
      <c r="C889" s="328"/>
      <c r="D889" s="396" t="s">
        <v>548</v>
      </c>
      <c r="E889" s="328"/>
      <c r="F889" s="328"/>
      <c r="G889" s="328"/>
      <c r="H889" s="328"/>
      <c r="I889" s="328"/>
      <c r="J889" s="328"/>
      <c r="K889" s="328"/>
      <c r="L889" s="209"/>
      <c r="M889" s="220"/>
      <c r="N889" s="340">
        <v>4910</v>
      </c>
      <c r="O889" s="340">
        <v>6492</v>
      </c>
      <c r="P889" s="225">
        <v>0</v>
      </c>
      <c r="Q889" s="225">
        <v>360</v>
      </c>
      <c r="R889" s="221">
        <v>0</v>
      </c>
      <c r="S889" s="221">
        <v>0</v>
      </c>
      <c r="T889" s="221">
        <v>0</v>
      </c>
      <c r="U889" s="221">
        <v>0</v>
      </c>
      <c r="V889" s="221">
        <v>0</v>
      </c>
    </row>
    <row r="890" spans="1:24" ht="24" customHeight="1">
      <c r="A890" s="396" t="s">
        <v>549</v>
      </c>
      <c r="B890" s="328"/>
      <c r="C890" s="328"/>
      <c r="D890" s="396" t="s">
        <v>550</v>
      </c>
      <c r="E890" s="328"/>
      <c r="F890" s="328"/>
      <c r="G890" s="328"/>
      <c r="H890" s="328"/>
      <c r="I890" s="328"/>
      <c r="J890" s="328"/>
      <c r="K890" s="328"/>
      <c r="L890" s="209"/>
      <c r="M890" s="220"/>
      <c r="N890" s="340">
        <v>2489</v>
      </c>
      <c r="O890" s="340">
        <v>1190</v>
      </c>
      <c r="P890" s="225">
        <v>0</v>
      </c>
      <c r="Q890" s="225">
        <v>30</v>
      </c>
      <c r="R890" s="221">
        <v>0</v>
      </c>
      <c r="S890" s="221">
        <v>0</v>
      </c>
      <c r="T890" s="221">
        <v>0</v>
      </c>
      <c r="U890" s="221">
        <v>0</v>
      </c>
      <c r="V890" s="221">
        <v>0</v>
      </c>
    </row>
    <row r="891" spans="1:24" ht="24" customHeight="1">
      <c r="A891" s="396" t="s">
        <v>551</v>
      </c>
      <c r="B891" s="328"/>
      <c r="C891" s="328"/>
      <c r="D891" s="396" t="s">
        <v>264</v>
      </c>
      <c r="E891" s="328"/>
      <c r="F891" s="328"/>
      <c r="G891" s="328"/>
      <c r="H891" s="328"/>
      <c r="I891" s="328"/>
      <c r="J891" s="328"/>
      <c r="K891" s="328"/>
      <c r="L891" s="209"/>
      <c r="M891" s="226"/>
      <c r="N891" s="343">
        <v>13017</v>
      </c>
      <c r="O891" s="343">
        <v>16026</v>
      </c>
      <c r="P891" s="228">
        <v>0</v>
      </c>
      <c r="Q891" s="228">
        <v>444</v>
      </c>
      <c r="R891" s="227">
        <v>0</v>
      </c>
      <c r="S891" s="227">
        <v>0</v>
      </c>
      <c r="T891" s="227">
        <v>0</v>
      </c>
      <c r="U891" s="227">
        <v>0</v>
      </c>
      <c r="V891" s="227">
        <v>0</v>
      </c>
      <c r="X891" s="213"/>
    </row>
    <row r="892" spans="1:24" ht="24" customHeight="1">
      <c r="A892" s="396" t="s">
        <v>552</v>
      </c>
      <c r="B892" s="328"/>
      <c r="C892" s="328"/>
      <c r="D892" s="396" t="s">
        <v>1328</v>
      </c>
      <c r="E892" s="328"/>
      <c r="F892" s="328"/>
      <c r="G892" s="328"/>
      <c r="H892" s="328"/>
      <c r="I892" s="328"/>
      <c r="J892" s="328"/>
      <c r="K892" s="328"/>
      <c r="L892" s="209"/>
      <c r="M892" s="226"/>
      <c r="N892" s="343">
        <v>760</v>
      </c>
      <c r="O892" s="343">
        <v>1356</v>
      </c>
      <c r="P892" s="228">
        <v>0</v>
      </c>
      <c r="Q892" s="228">
        <v>28</v>
      </c>
      <c r="R892" s="227">
        <v>0</v>
      </c>
      <c r="S892" s="227">
        <v>0</v>
      </c>
      <c r="T892" s="227">
        <v>0</v>
      </c>
      <c r="U892" s="227">
        <v>0</v>
      </c>
      <c r="V892" s="227">
        <v>0</v>
      </c>
    </row>
    <row r="893" spans="1:24" ht="24" customHeight="1">
      <c r="A893" s="396" t="s">
        <v>553</v>
      </c>
      <c r="B893" s="328"/>
      <c r="C893" s="328"/>
      <c r="D893" s="396" t="s">
        <v>7</v>
      </c>
      <c r="E893" s="328"/>
      <c r="F893" s="328"/>
      <c r="G893" s="328"/>
      <c r="H893" s="328"/>
      <c r="I893" s="328"/>
      <c r="J893" s="328"/>
      <c r="K893" s="328"/>
      <c r="L893" s="209"/>
      <c r="M893" s="310"/>
      <c r="N893" s="339">
        <v>297</v>
      </c>
      <c r="O893" s="339">
        <v>85</v>
      </c>
      <c r="P893" s="216">
        <v>0</v>
      </c>
      <c r="Q893" s="216">
        <v>100</v>
      </c>
      <c r="R893" s="215">
        <v>0</v>
      </c>
      <c r="S893" s="215">
        <v>0</v>
      </c>
      <c r="T893" s="215">
        <v>0</v>
      </c>
      <c r="U893" s="215">
        <v>0</v>
      </c>
      <c r="V893" s="215">
        <v>0</v>
      </c>
    </row>
    <row r="894" spans="1:24" ht="24" customHeight="1">
      <c r="A894" s="396" t="s">
        <v>1213</v>
      </c>
      <c r="B894" s="328"/>
      <c r="C894" s="328"/>
      <c r="D894" s="396" t="s">
        <v>1214</v>
      </c>
      <c r="E894" s="328"/>
      <c r="F894" s="328"/>
      <c r="G894" s="328"/>
      <c r="H894" s="328"/>
      <c r="I894" s="328"/>
      <c r="J894" s="328"/>
      <c r="K894" s="328"/>
      <c r="L894" s="209"/>
      <c r="M894" s="246"/>
      <c r="N894" s="345">
        <v>0</v>
      </c>
      <c r="O894" s="345">
        <v>0</v>
      </c>
      <c r="P894" s="235">
        <v>556957</v>
      </c>
      <c r="Q894" s="235">
        <v>487840</v>
      </c>
      <c r="R894" s="234">
        <v>0</v>
      </c>
      <c r="S894" s="234">
        <v>0</v>
      </c>
      <c r="T894" s="234">
        <v>0</v>
      </c>
      <c r="U894" s="234">
        <v>0</v>
      </c>
      <c r="V894" s="234">
        <v>0</v>
      </c>
      <c r="X894" s="217"/>
    </row>
    <row r="895" spans="1:24" ht="15" customHeight="1">
      <c r="A895" s="328"/>
      <c r="B895" s="328"/>
      <c r="C895" s="328"/>
      <c r="D895" s="328"/>
      <c r="E895" s="328"/>
      <c r="F895" s="328"/>
      <c r="G895" s="328"/>
      <c r="H895" s="328"/>
      <c r="I895" s="328"/>
      <c r="J895" s="328"/>
      <c r="K895" s="328"/>
      <c r="L895" s="209"/>
      <c r="N895" s="346"/>
      <c r="O895" s="346"/>
      <c r="P895" s="238"/>
      <c r="Q895" s="238"/>
      <c r="R895" s="237"/>
      <c r="S895" s="237"/>
      <c r="T895" s="237"/>
      <c r="U895" s="237"/>
      <c r="V895" s="237"/>
    </row>
    <row r="896" spans="1:24" s="328" customFormat="1" ht="24" customHeight="1">
      <c r="K896" s="400" t="s">
        <v>656</v>
      </c>
      <c r="L896" s="422"/>
      <c r="M896" s="423"/>
      <c r="N896" s="348">
        <f t="shared" ref="N896" si="269">SUM(N884:N895)</f>
        <v>634563</v>
      </c>
      <c r="O896" s="348">
        <f t="shared" ref="O896" si="270">SUM(O884:O895)</f>
        <v>511086</v>
      </c>
      <c r="P896" s="349">
        <f t="shared" ref="P896" si="271">SUM(P884:P895)</f>
        <v>617957</v>
      </c>
      <c r="Q896" s="349">
        <f>SUM(Q884:Q895)</f>
        <v>533303</v>
      </c>
      <c r="R896" s="348">
        <f>SUM(R884:R895)</f>
        <v>0</v>
      </c>
      <c r="S896" s="348">
        <f t="shared" ref="S896:T896" si="272">SUM(S884:S895)</f>
        <v>0</v>
      </c>
      <c r="T896" s="348">
        <f t="shared" si="272"/>
        <v>0</v>
      </c>
      <c r="U896" s="348">
        <f>SUM(U884:U895)</f>
        <v>0</v>
      </c>
      <c r="V896" s="348">
        <f>SUM(V884:V895)</f>
        <v>0</v>
      </c>
      <c r="W896" s="640"/>
    </row>
    <row r="897" spans="1:24" s="511" customFormat="1" ht="24" customHeight="1">
      <c r="K897" s="400"/>
      <c r="L897" s="422"/>
      <c r="M897" s="423"/>
      <c r="N897" s="348"/>
      <c r="O897" s="348"/>
      <c r="P897" s="349"/>
      <c r="Q897" s="349"/>
      <c r="R897" s="348"/>
      <c r="S897" s="348"/>
      <c r="T897" s="348"/>
      <c r="U897" s="348"/>
      <c r="V897" s="348"/>
      <c r="W897" s="640"/>
    </row>
    <row r="898" spans="1:24" ht="15" customHeight="1">
      <c r="A898" s="328"/>
      <c r="B898" s="328"/>
      <c r="C898" s="328"/>
      <c r="D898" s="328"/>
      <c r="E898" s="328"/>
      <c r="F898" s="328"/>
      <c r="G898" s="328"/>
      <c r="H898" s="328"/>
      <c r="I898" s="328"/>
      <c r="J898" s="328"/>
      <c r="K898" s="328"/>
      <c r="L898" s="209"/>
      <c r="N898" s="346"/>
      <c r="O898" s="346"/>
      <c r="P898" s="238"/>
      <c r="Q898" s="238"/>
      <c r="R898" s="237"/>
      <c r="S898" s="237"/>
      <c r="T898" s="237"/>
      <c r="U898" s="237"/>
      <c r="V898" s="237"/>
    </row>
    <row r="899" spans="1:24" ht="24" customHeight="1">
      <c r="A899" s="396" t="s">
        <v>554</v>
      </c>
      <c r="B899" s="397"/>
      <c r="C899" s="397"/>
      <c r="D899" s="396" t="s">
        <v>1095</v>
      </c>
      <c r="E899" s="397"/>
      <c r="F899" s="397"/>
      <c r="G899" s="397"/>
      <c r="H899" s="397"/>
      <c r="I899" s="397"/>
      <c r="J899" s="397"/>
      <c r="K899" s="397"/>
      <c r="L899" s="218"/>
      <c r="M899" s="229"/>
      <c r="N899" s="339">
        <v>29087</v>
      </c>
      <c r="O899" s="339">
        <v>25903</v>
      </c>
      <c r="P899" s="216">
        <v>0</v>
      </c>
      <c r="Q899" s="216">
        <v>0</v>
      </c>
      <c r="R899" s="215">
        <v>0</v>
      </c>
      <c r="S899" s="215">
        <v>0</v>
      </c>
      <c r="T899" s="215">
        <v>0</v>
      </c>
      <c r="U899" s="215">
        <v>0</v>
      </c>
      <c r="V899" s="215">
        <v>0</v>
      </c>
    </row>
    <row r="900" spans="1:24" ht="24" customHeight="1">
      <c r="A900" s="396" t="s">
        <v>555</v>
      </c>
      <c r="B900" s="328"/>
      <c r="C900" s="328"/>
      <c r="D900" s="396" t="s">
        <v>76</v>
      </c>
      <c r="E900" s="328"/>
      <c r="F900" s="328"/>
      <c r="G900" s="328"/>
      <c r="H900" s="328"/>
      <c r="I900" s="328"/>
      <c r="J900" s="328"/>
      <c r="K900" s="328"/>
      <c r="L900" s="209"/>
      <c r="M900" s="229"/>
      <c r="N900" s="337">
        <v>88234</v>
      </c>
      <c r="O900" s="337">
        <v>78005</v>
      </c>
      <c r="P900" s="212">
        <v>20000</v>
      </c>
      <c r="Q900" s="212">
        <v>11986</v>
      </c>
      <c r="R900" s="211">
        <v>0</v>
      </c>
      <c r="S900" s="211">
        <v>0</v>
      </c>
      <c r="T900" s="211">
        <v>0</v>
      </c>
      <c r="U900" s="211">
        <v>0</v>
      </c>
      <c r="V900" s="211">
        <v>0</v>
      </c>
    </row>
    <row r="901" spans="1:24" ht="24" customHeight="1">
      <c r="A901" s="396" t="s">
        <v>556</v>
      </c>
      <c r="B901" s="397"/>
      <c r="C901" s="397"/>
      <c r="D901" s="396" t="s">
        <v>533</v>
      </c>
      <c r="E901" s="397"/>
      <c r="F901" s="397"/>
      <c r="G901" s="397"/>
      <c r="H901" s="397"/>
      <c r="I901" s="397"/>
      <c r="J901" s="397"/>
      <c r="K901" s="397"/>
      <c r="L901" s="218"/>
      <c r="M901" s="229"/>
      <c r="N901" s="337">
        <v>30255</v>
      </c>
      <c r="O901" s="337">
        <v>12626</v>
      </c>
      <c r="P901" s="212">
        <v>0</v>
      </c>
      <c r="Q901" s="212">
        <v>0</v>
      </c>
      <c r="R901" s="211">
        <v>0</v>
      </c>
      <c r="S901" s="211">
        <v>0</v>
      </c>
      <c r="T901" s="211">
        <v>0</v>
      </c>
      <c r="U901" s="211">
        <v>0</v>
      </c>
      <c r="V901" s="211">
        <v>0</v>
      </c>
    </row>
    <row r="902" spans="1:24" ht="24" customHeight="1">
      <c r="A902" s="396" t="s">
        <v>557</v>
      </c>
      <c r="B902" s="397"/>
      <c r="C902" s="397"/>
      <c r="D902" s="396" t="s">
        <v>534</v>
      </c>
      <c r="E902" s="397"/>
      <c r="F902" s="397"/>
      <c r="G902" s="397"/>
      <c r="H902" s="397"/>
      <c r="I902" s="397"/>
      <c r="J902" s="397"/>
      <c r="K902" s="397"/>
      <c r="L902" s="218"/>
      <c r="M902" s="229"/>
      <c r="N902" s="337">
        <v>54181</v>
      </c>
      <c r="O902" s="337">
        <v>53304</v>
      </c>
      <c r="P902" s="212">
        <v>0</v>
      </c>
      <c r="Q902" s="212">
        <v>6789</v>
      </c>
      <c r="R902" s="211">
        <v>0</v>
      </c>
      <c r="S902" s="211">
        <v>0</v>
      </c>
      <c r="T902" s="211">
        <v>0</v>
      </c>
      <c r="U902" s="211">
        <v>0</v>
      </c>
      <c r="V902" s="211">
        <v>0</v>
      </c>
    </row>
    <row r="903" spans="1:24" ht="24" customHeight="1">
      <c r="A903" s="396" t="s">
        <v>558</v>
      </c>
      <c r="B903" s="397"/>
      <c r="C903" s="397"/>
      <c r="D903" s="396" t="s">
        <v>8</v>
      </c>
      <c r="E903" s="397"/>
      <c r="F903" s="397"/>
      <c r="G903" s="397"/>
      <c r="H903" s="397"/>
      <c r="I903" s="397"/>
      <c r="J903" s="397"/>
      <c r="K903" s="397"/>
      <c r="L903" s="218"/>
      <c r="M903" s="247"/>
      <c r="N903" s="339">
        <v>10213</v>
      </c>
      <c r="O903" s="339">
        <v>9343</v>
      </c>
      <c r="P903" s="216">
        <v>0</v>
      </c>
      <c r="Q903" s="216">
        <v>515</v>
      </c>
      <c r="R903" s="215">
        <v>0</v>
      </c>
      <c r="S903" s="215">
        <v>0</v>
      </c>
      <c r="T903" s="215">
        <v>0</v>
      </c>
      <c r="U903" s="215">
        <v>0</v>
      </c>
      <c r="V903" s="215">
        <v>0</v>
      </c>
    </row>
    <row r="904" spans="1:24" ht="24" customHeight="1">
      <c r="A904" s="396" t="s">
        <v>559</v>
      </c>
      <c r="B904" s="328"/>
      <c r="C904" s="328"/>
      <c r="D904" s="396" t="s">
        <v>9</v>
      </c>
      <c r="E904" s="328"/>
      <c r="F904" s="328"/>
      <c r="G904" s="328"/>
      <c r="H904" s="328"/>
      <c r="I904" s="328"/>
      <c r="J904" s="328"/>
      <c r="K904" s="328"/>
      <c r="L904" s="209"/>
      <c r="M904" s="229"/>
      <c r="N904" s="339">
        <v>15493</v>
      </c>
      <c r="O904" s="339">
        <v>13088</v>
      </c>
      <c r="P904" s="216">
        <v>0</v>
      </c>
      <c r="Q904" s="216">
        <v>1450</v>
      </c>
      <c r="R904" s="215">
        <v>0</v>
      </c>
      <c r="S904" s="215">
        <v>0</v>
      </c>
      <c r="T904" s="215">
        <v>0</v>
      </c>
      <c r="U904" s="215">
        <v>0</v>
      </c>
      <c r="V904" s="215">
        <v>0</v>
      </c>
    </row>
    <row r="905" spans="1:24" ht="24" customHeight="1">
      <c r="A905" s="396" t="s">
        <v>712</v>
      </c>
      <c r="B905" s="328"/>
      <c r="C905" s="328"/>
      <c r="D905" s="396" t="s">
        <v>13</v>
      </c>
      <c r="E905" s="328"/>
      <c r="F905" s="328"/>
      <c r="G905" s="328"/>
      <c r="H905" s="328"/>
      <c r="I905" s="328"/>
      <c r="J905" s="328"/>
      <c r="K905" s="328"/>
      <c r="L905" s="209"/>
      <c r="M905" s="229"/>
      <c r="N905" s="340">
        <v>0</v>
      </c>
      <c r="O905" s="340">
        <v>1200</v>
      </c>
      <c r="P905" s="225">
        <v>0</v>
      </c>
      <c r="Q905" s="225">
        <v>0</v>
      </c>
      <c r="R905" s="221">
        <v>0</v>
      </c>
      <c r="S905" s="221">
        <v>0</v>
      </c>
      <c r="T905" s="221">
        <v>0</v>
      </c>
      <c r="U905" s="221">
        <v>0</v>
      </c>
      <c r="V905" s="221">
        <v>0</v>
      </c>
    </row>
    <row r="906" spans="1:24" ht="24" customHeight="1">
      <c r="A906" s="396" t="s">
        <v>713</v>
      </c>
      <c r="B906" s="486"/>
      <c r="C906" s="486"/>
      <c r="D906" s="396" t="s">
        <v>207</v>
      </c>
      <c r="E906" s="486"/>
      <c r="F906" s="486"/>
      <c r="G906" s="486"/>
      <c r="H906" s="486"/>
      <c r="I906" s="486"/>
      <c r="J906" s="486"/>
      <c r="K906" s="486"/>
      <c r="L906" s="209"/>
      <c r="M906" s="229"/>
      <c r="N906" s="340">
        <v>0</v>
      </c>
      <c r="O906" s="340">
        <v>87</v>
      </c>
      <c r="P906" s="225">
        <v>0</v>
      </c>
      <c r="Q906" s="225">
        <v>0</v>
      </c>
      <c r="R906" s="221">
        <v>0</v>
      </c>
      <c r="S906" s="221">
        <v>0</v>
      </c>
      <c r="T906" s="221">
        <v>0</v>
      </c>
      <c r="U906" s="221">
        <v>0</v>
      </c>
      <c r="V906" s="221">
        <v>0</v>
      </c>
    </row>
    <row r="907" spans="1:24" ht="24" customHeight="1">
      <c r="A907" s="396" t="s">
        <v>560</v>
      </c>
      <c r="B907" s="397"/>
      <c r="C907" s="397"/>
      <c r="D907" s="396" t="s">
        <v>98</v>
      </c>
      <c r="E907" s="397"/>
      <c r="F907" s="397"/>
      <c r="G907" s="397"/>
      <c r="H907" s="397"/>
      <c r="I907" s="397"/>
      <c r="J907" s="397"/>
      <c r="K907" s="397"/>
      <c r="L907" s="218"/>
      <c r="M907" s="247"/>
      <c r="N907" s="339">
        <v>192</v>
      </c>
      <c r="O907" s="339">
        <v>0</v>
      </c>
      <c r="P907" s="216">
        <v>0</v>
      </c>
      <c r="Q907" s="216">
        <v>0</v>
      </c>
      <c r="R907" s="215">
        <v>0</v>
      </c>
      <c r="S907" s="215">
        <v>0</v>
      </c>
      <c r="T907" s="215">
        <v>0</v>
      </c>
      <c r="U907" s="215">
        <v>0</v>
      </c>
      <c r="V907" s="215">
        <v>0</v>
      </c>
    </row>
    <row r="908" spans="1:24" ht="24" customHeight="1">
      <c r="A908" s="396" t="s">
        <v>561</v>
      </c>
      <c r="B908" s="328"/>
      <c r="C908" s="328"/>
      <c r="D908" s="396" t="s">
        <v>265</v>
      </c>
      <c r="E908" s="328"/>
      <c r="F908" s="328"/>
      <c r="G908" s="328"/>
      <c r="H908" s="328"/>
      <c r="I908" s="328"/>
      <c r="J908" s="328"/>
      <c r="K908" s="328"/>
      <c r="L908" s="209"/>
      <c r="M908" s="247"/>
      <c r="N908" s="339">
        <v>3198</v>
      </c>
      <c r="O908" s="339">
        <v>4300</v>
      </c>
      <c r="P908" s="216">
        <v>720</v>
      </c>
      <c r="Q908" s="216">
        <v>691</v>
      </c>
      <c r="R908" s="215">
        <v>0</v>
      </c>
      <c r="S908" s="215">
        <v>0</v>
      </c>
      <c r="T908" s="215">
        <v>0</v>
      </c>
      <c r="U908" s="215">
        <v>0</v>
      </c>
      <c r="V908" s="215">
        <v>0</v>
      </c>
      <c r="X908" s="213"/>
    </row>
    <row r="909" spans="1:24" ht="24" customHeight="1">
      <c r="A909" s="396" t="s">
        <v>562</v>
      </c>
      <c r="B909" s="397"/>
      <c r="C909" s="397"/>
      <c r="D909" s="396" t="s">
        <v>97</v>
      </c>
      <c r="E909" s="397"/>
      <c r="F909" s="397"/>
      <c r="G909" s="397"/>
      <c r="H909" s="397"/>
      <c r="I909" s="397"/>
      <c r="J909" s="397"/>
      <c r="K909" s="397"/>
      <c r="L909" s="218"/>
      <c r="M909" s="247"/>
      <c r="N909" s="339">
        <v>0</v>
      </c>
      <c r="O909" s="339">
        <v>0</v>
      </c>
      <c r="P909" s="216">
        <v>60</v>
      </c>
      <c r="Q909" s="216">
        <v>0</v>
      </c>
      <c r="R909" s="215">
        <v>0</v>
      </c>
      <c r="S909" s="215">
        <v>0</v>
      </c>
      <c r="T909" s="215">
        <v>0</v>
      </c>
      <c r="U909" s="215">
        <v>0</v>
      </c>
      <c r="V909" s="215">
        <v>0</v>
      </c>
    </row>
    <row r="910" spans="1:24" ht="24" customHeight="1">
      <c r="A910" s="396" t="s">
        <v>1307</v>
      </c>
      <c r="B910" s="328"/>
      <c r="C910" s="328"/>
      <c r="D910" s="396" t="s">
        <v>1321</v>
      </c>
      <c r="E910" s="328"/>
      <c r="F910" s="328"/>
      <c r="G910" s="328"/>
      <c r="H910" s="328"/>
      <c r="I910" s="328"/>
      <c r="J910" s="328"/>
      <c r="K910" s="328"/>
      <c r="L910" s="209"/>
      <c r="M910" s="209"/>
      <c r="N910" s="360">
        <v>114</v>
      </c>
      <c r="O910" s="360">
        <v>0</v>
      </c>
      <c r="P910" s="216">
        <v>40</v>
      </c>
      <c r="Q910" s="216">
        <v>0</v>
      </c>
      <c r="R910" s="268">
        <v>0</v>
      </c>
      <c r="S910" s="268">
        <v>0</v>
      </c>
      <c r="T910" s="268">
        <v>0</v>
      </c>
      <c r="U910" s="268">
        <v>0</v>
      </c>
      <c r="V910" s="268">
        <v>0</v>
      </c>
    </row>
    <row r="911" spans="1:24" ht="24" customHeight="1">
      <c r="A911" s="396" t="s">
        <v>563</v>
      </c>
      <c r="B911" s="328"/>
      <c r="C911" s="328"/>
      <c r="D911" s="396" t="s">
        <v>10</v>
      </c>
      <c r="E911" s="328"/>
      <c r="F911" s="328"/>
      <c r="G911" s="328"/>
      <c r="H911" s="328"/>
      <c r="I911" s="328"/>
      <c r="J911" s="328"/>
      <c r="K911" s="328"/>
      <c r="L911" s="209"/>
      <c r="M911" s="247"/>
      <c r="N911" s="339">
        <v>15810</v>
      </c>
      <c r="O911" s="339">
        <v>18001</v>
      </c>
      <c r="P911" s="216">
        <v>3000</v>
      </c>
      <c r="Q911" s="216">
        <v>1726</v>
      </c>
      <c r="R911" s="215">
        <v>0</v>
      </c>
      <c r="S911" s="215">
        <v>0</v>
      </c>
      <c r="T911" s="215">
        <v>0</v>
      </c>
      <c r="U911" s="215">
        <v>0</v>
      </c>
      <c r="V911" s="215">
        <v>0</v>
      </c>
    </row>
    <row r="912" spans="1:24" ht="24" customHeight="1">
      <c r="A912" s="396" t="s">
        <v>564</v>
      </c>
      <c r="B912" s="397"/>
      <c r="C912" s="397"/>
      <c r="D912" s="396" t="s">
        <v>18</v>
      </c>
      <c r="E912" s="397"/>
      <c r="F912" s="397"/>
      <c r="G912" s="397"/>
      <c r="H912" s="397"/>
      <c r="I912" s="397"/>
      <c r="J912" s="397"/>
      <c r="K912" s="397"/>
      <c r="L912" s="218"/>
      <c r="M912" s="247"/>
      <c r="N912" s="339">
        <v>46030</v>
      </c>
      <c r="O912" s="339">
        <v>40024</v>
      </c>
      <c r="P912" s="216">
        <v>11130</v>
      </c>
      <c r="Q912" s="216">
        <v>3523</v>
      </c>
      <c r="R912" s="215">
        <v>0</v>
      </c>
      <c r="S912" s="215">
        <v>0</v>
      </c>
      <c r="T912" s="215">
        <v>0</v>
      </c>
      <c r="U912" s="215">
        <v>0</v>
      </c>
      <c r="V912" s="215">
        <v>0</v>
      </c>
    </row>
    <row r="913" spans="1:31" ht="24" customHeight="1">
      <c r="A913" s="396" t="s">
        <v>565</v>
      </c>
      <c r="B913" s="397"/>
      <c r="C913" s="397"/>
      <c r="D913" s="396" t="s">
        <v>94</v>
      </c>
      <c r="E913" s="397"/>
      <c r="F913" s="397"/>
      <c r="G913" s="397"/>
      <c r="H913" s="397"/>
      <c r="I913" s="397"/>
      <c r="J913" s="397"/>
      <c r="K913" s="397"/>
      <c r="L913" s="218"/>
      <c r="M913" s="247"/>
      <c r="N913" s="339">
        <v>223647</v>
      </c>
      <c r="O913" s="339">
        <v>229376</v>
      </c>
      <c r="P913" s="216">
        <v>38000</v>
      </c>
      <c r="Q913" s="216">
        <v>138274</v>
      </c>
      <c r="R913" s="215">
        <v>0</v>
      </c>
      <c r="S913" s="215">
        <v>0</v>
      </c>
      <c r="T913" s="215">
        <v>0</v>
      </c>
      <c r="U913" s="215">
        <v>0</v>
      </c>
      <c r="V913" s="215">
        <v>0</v>
      </c>
      <c r="X913" s="217"/>
      <c r="Y913" s="231"/>
      <c r="Z913" s="231"/>
      <c r="AA913" s="231"/>
      <c r="AB913" s="231"/>
      <c r="AC913" s="231"/>
      <c r="AD913" s="231"/>
      <c r="AE913" s="231"/>
    </row>
    <row r="914" spans="1:31" ht="24" customHeight="1">
      <c r="A914" s="396" t="s">
        <v>566</v>
      </c>
      <c r="B914" s="397"/>
      <c r="C914" s="397"/>
      <c r="D914" s="396" t="s">
        <v>1323</v>
      </c>
      <c r="E914" s="397"/>
      <c r="F914" s="397"/>
      <c r="G914" s="397"/>
      <c r="H914" s="397"/>
      <c r="I914" s="397"/>
      <c r="J914" s="397"/>
      <c r="K914" s="397"/>
      <c r="L914" s="218"/>
      <c r="M914" s="259"/>
      <c r="N914" s="356">
        <v>37751</v>
      </c>
      <c r="O914" s="356">
        <v>6035</v>
      </c>
      <c r="P914" s="216">
        <v>1400</v>
      </c>
      <c r="Q914" s="216">
        <v>4402</v>
      </c>
      <c r="R914" s="260">
        <v>0</v>
      </c>
      <c r="S914" s="260">
        <v>0</v>
      </c>
      <c r="T914" s="260">
        <v>0</v>
      </c>
      <c r="U914" s="260">
        <v>0</v>
      </c>
      <c r="V914" s="260">
        <v>0</v>
      </c>
    </row>
    <row r="915" spans="1:31" ht="24" customHeight="1">
      <c r="A915" s="396" t="s">
        <v>567</v>
      </c>
      <c r="B915" s="397"/>
      <c r="C915" s="397"/>
      <c r="D915" s="396" t="s">
        <v>536</v>
      </c>
      <c r="E915" s="397"/>
      <c r="F915" s="397"/>
      <c r="G915" s="397"/>
      <c r="H915" s="397"/>
      <c r="I915" s="397"/>
      <c r="J915" s="397"/>
      <c r="K915" s="397"/>
      <c r="L915" s="218"/>
      <c r="M915" s="259"/>
      <c r="N915" s="356">
        <v>4727</v>
      </c>
      <c r="O915" s="356">
        <v>3896</v>
      </c>
      <c r="P915" s="216">
        <v>1100</v>
      </c>
      <c r="Q915" s="216">
        <v>4129</v>
      </c>
      <c r="R915" s="260">
        <v>0</v>
      </c>
      <c r="S915" s="260">
        <v>0</v>
      </c>
      <c r="T915" s="260">
        <v>0</v>
      </c>
      <c r="U915" s="260">
        <v>0</v>
      </c>
      <c r="V915" s="260">
        <v>0</v>
      </c>
    </row>
    <row r="916" spans="1:31" ht="24" customHeight="1">
      <c r="A916" s="396" t="s">
        <v>568</v>
      </c>
      <c r="B916" s="328"/>
      <c r="C916" s="328"/>
      <c r="D916" s="396" t="s">
        <v>569</v>
      </c>
      <c r="E916" s="328"/>
      <c r="F916" s="328"/>
      <c r="G916" s="328"/>
      <c r="H916" s="328"/>
      <c r="I916" s="328"/>
      <c r="J916" s="328"/>
      <c r="K916" s="328"/>
      <c r="L916" s="209"/>
      <c r="M916" s="209"/>
      <c r="N916" s="360">
        <v>61503</v>
      </c>
      <c r="O916" s="360">
        <v>58800</v>
      </c>
      <c r="P916" s="269">
        <v>58800</v>
      </c>
      <c r="Q916" s="269">
        <v>55890</v>
      </c>
      <c r="R916" s="268">
        <v>0</v>
      </c>
      <c r="S916" s="268">
        <v>0</v>
      </c>
      <c r="T916" s="268">
        <v>0</v>
      </c>
      <c r="U916" s="268">
        <v>0</v>
      </c>
      <c r="V916" s="268">
        <v>0</v>
      </c>
      <c r="X916" s="213"/>
    </row>
    <row r="917" spans="1:31" ht="24" customHeight="1">
      <c r="A917" s="396" t="s">
        <v>570</v>
      </c>
      <c r="B917" s="397"/>
      <c r="C917" s="397"/>
      <c r="D917" s="396" t="s">
        <v>538</v>
      </c>
      <c r="E917" s="397"/>
      <c r="F917" s="397"/>
      <c r="G917" s="397"/>
      <c r="H917" s="397"/>
      <c r="I917" s="397"/>
      <c r="J917" s="397"/>
      <c r="K917" s="397"/>
      <c r="L917" s="218"/>
      <c r="M917" s="229"/>
      <c r="N917" s="337">
        <v>12125</v>
      </c>
      <c r="O917" s="337">
        <v>6458</v>
      </c>
      <c r="P917" s="216">
        <v>1500</v>
      </c>
      <c r="Q917" s="216">
        <v>520</v>
      </c>
      <c r="R917" s="211">
        <v>0</v>
      </c>
      <c r="S917" s="211">
        <v>0</v>
      </c>
      <c r="T917" s="211">
        <v>0</v>
      </c>
      <c r="U917" s="211">
        <v>0</v>
      </c>
      <c r="V917" s="211">
        <v>0</v>
      </c>
    </row>
    <row r="918" spans="1:31" ht="24" customHeight="1">
      <c r="A918" s="396" t="s">
        <v>571</v>
      </c>
      <c r="B918" s="397"/>
      <c r="C918" s="397"/>
      <c r="D918" s="396" t="s">
        <v>539</v>
      </c>
      <c r="E918" s="397"/>
      <c r="F918" s="397"/>
      <c r="G918" s="397"/>
      <c r="H918" s="397"/>
      <c r="I918" s="397"/>
      <c r="J918" s="397"/>
      <c r="K918" s="397"/>
      <c r="L918" s="218"/>
      <c r="M918" s="247"/>
      <c r="N918" s="339">
        <v>6302</v>
      </c>
      <c r="O918" s="339">
        <v>5427</v>
      </c>
      <c r="P918" s="216">
        <v>1400</v>
      </c>
      <c r="Q918" s="216">
        <v>0</v>
      </c>
      <c r="R918" s="215">
        <v>0</v>
      </c>
      <c r="S918" s="215">
        <v>0</v>
      </c>
      <c r="T918" s="215">
        <v>0</v>
      </c>
      <c r="U918" s="215">
        <v>0</v>
      </c>
      <c r="V918" s="215">
        <v>0</v>
      </c>
    </row>
    <row r="919" spans="1:31" ht="24" customHeight="1">
      <c r="A919" s="396" t="s">
        <v>572</v>
      </c>
      <c r="B919" s="397"/>
      <c r="C919" s="397"/>
      <c r="D919" s="396" t="s">
        <v>11</v>
      </c>
      <c r="E919" s="397"/>
      <c r="F919" s="397"/>
      <c r="G919" s="397"/>
      <c r="H919" s="397"/>
      <c r="I919" s="397"/>
      <c r="J919" s="397"/>
      <c r="K919" s="397"/>
      <c r="L919" s="218"/>
      <c r="M919" s="247"/>
      <c r="N919" s="339">
        <v>892</v>
      </c>
      <c r="O919" s="339">
        <v>252</v>
      </c>
      <c r="P919" s="216">
        <v>300</v>
      </c>
      <c r="Q919" s="216">
        <v>0</v>
      </c>
      <c r="R919" s="215">
        <v>0</v>
      </c>
      <c r="S919" s="215">
        <v>0</v>
      </c>
      <c r="T919" s="215">
        <v>0</v>
      </c>
      <c r="U919" s="215">
        <v>0</v>
      </c>
      <c r="V919" s="215">
        <v>0</v>
      </c>
    </row>
    <row r="920" spans="1:31" ht="24" customHeight="1">
      <c r="A920" s="396" t="s">
        <v>573</v>
      </c>
      <c r="B920" s="397"/>
      <c r="C920" s="397"/>
      <c r="D920" s="396" t="s">
        <v>12</v>
      </c>
      <c r="E920" s="397"/>
      <c r="F920" s="397"/>
      <c r="G920" s="397"/>
      <c r="H920" s="397"/>
      <c r="I920" s="397"/>
      <c r="J920" s="397"/>
      <c r="K920" s="397"/>
      <c r="L920" s="218"/>
      <c r="M920" s="247"/>
      <c r="N920" s="339">
        <v>7039</v>
      </c>
      <c r="O920" s="339">
        <v>5552</v>
      </c>
      <c r="P920" s="216">
        <v>600</v>
      </c>
      <c r="Q920" s="216">
        <v>1123</v>
      </c>
      <c r="R920" s="215">
        <v>0</v>
      </c>
      <c r="S920" s="215">
        <v>0</v>
      </c>
      <c r="T920" s="215">
        <v>0</v>
      </c>
      <c r="U920" s="215">
        <v>0</v>
      </c>
      <c r="V920" s="215">
        <v>0</v>
      </c>
    </row>
    <row r="921" spans="1:31" ht="24" customHeight="1">
      <c r="A921" s="396" t="s">
        <v>574</v>
      </c>
      <c r="B921" s="397"/>
      <c r="C921" s="397"/>
      <c r="D921" s="396" t="s">
        <v>274</v>
      </c>
      <c r="E921" s="397"/>
      <c r="F921" s="397"/>
      <c r="G921" s="397"/>
      <c r="H921" s="397"/>
      <c r="I921" s="397"/>
      <c r="J921" s="397"/>
      <c r="K921" s="397"/>
      <c r="L921" s="218"/>
      <c r="M921" s="264"/>
      <c r="N921" s="341">
        <v>1000</v>
      </c>
      <c r="O921" s="341">
        <v>10062</v>
      </c>
      <c r="P921" s="216">
        <v>200</v>
      </c>
      <c r="Q921" s="216">
        <v>0</v>
      </c>
      <c r="R921" s="223">
        <v>0</v>
      </c>
      <c r="S921" s="223">
        <v>0</v>
      </c>
      <c r="T921" s="223">
        <v>0</v>
      </c>
      <c r="U921" s="223">
        <v>0</v>
      </c>
      <c r="V921" s="223">
        <v>0</v>
      </c>
    </row>
    <row r="922" spans="1:31" ht="24" customHeight="1">
      <c r="A922" s="396" t="s">
        <v>575</v>
      </c>
      <c r="B922" s="397"/>
      <c r="C922" s="397"/>
      <c r="D922" s="396" t="s">
        <v>1322</v>
      </c>
      <c r="E922" s="397"/>
      <c r="F922" s="397"/>
      <c r="G922" s="397"/>
      <c r="H922" s="397"/>
      <c r="I922" s="397"/>
      <c r="J922" s="397"/>
      <c r="K922" s="397"/>
      <c r="L922" s="218"/>
      <c r="M922" s="229"/>
      <c r="N922" s="337">
        <v>11371</v>
      </c>
      <c r="O922" s="337">
        <v>9571</v>
      </c>
      <c r="P922" s="216">
        <v>12200</v>
      </c>
      <c r="Q922" s="216">
        <v>1865</v>
      </c>
      <c r="R922" s="211">
        <v>0</v>
      </c>
      <c r="S922" s="211">
        <v>0</v>
      </c>
      <c r="T922" s="211">
        <v>0</v>
      </c>
      <c r="U922" s="211">
        <v>0</v>
      </c>
      <c r="V922" s="211">
        <v>0</v>
      </c>
      <c r="X922" s="213"/>
    </row>
    <row r="923" spans="1:31" ht="24" customHeight="1">
      <c r="A923" s="396" t="s">
        <v>576</v>
      </c>
      <c r="B923" s="397"/>
      <c r="C923" s="397"/>
      <c r="D923" s="396" t="s">
        <v>1324</v>
      </c>
      <c r="E923" s="397"/>
      <c r="F923" s="397"/>
      <c r="G923" s="397"/>
      <c r="H923" s="397"/>
      <c r="I923" s="397"/>
      <c r="J923" s="397"/>
      <c r="K923" s="397"/>
      <c r="L923" s="218"/>
      <c r="M923" s="253"/>
      <c r="N923" s="340">
        <v>30</v>
      </c>
      <c r="O923" s="340">
        <v>194</v>
      </c>
      <c r="P923" s="216">
        <v>39</v>
      </c>
      <c r="Q923" s="216">
        <v>0</v>
      </c>
      <c r="R923" s="221">
        <v>0</v>
      </c>
      <c r="S923" s="221">
        <v>0</v>
      </c>
      <c r="T923" s="221">
        <v>0</v>
      </c>
      <c r="U923" s="221">
        <v>0</v>
      </c>
      <c r="V923" s="221">
        <v>0</v>
      </c>
    </row>
    <row r="924" spans="1:31" ht="24" customHeight="1">
      <c r="A924" s="396" t="s">
        <v>577</v>
      </c>
      <c r="B924" s="397"/>
      <c r="C924" s="397"/>
      <c r="D924" s="396" t="s">
        <v>161</v>
      </c>
      <c r="E924" s="397"/>
      <c r="F924" s="397"/>
      <c r="G924" s="397"/>
      <c r="H924" s="397"/>
      <c r="I924" s="397"/>
      <c r="J924" s="397"/>
      <c r="K924" s="397"/>
      <c r="L924" s="218"/>
      <c r="M924" s="271"/>
      <c r="N924" s="345">
        <v>282</v>
      </c>
      <c r="O924" s="345">
        <v>0</v>
      </c>
      <c r="P924" s="256">
        <v>0</v>
      </c>
      <c r="Q924" s="256">
        <v>0</v>
      </c>
      <c r="R924" s="234">
        <v>0</v>
      </c>
      <c r="S924" s="234">
        <v>0</v>
      </c>
      <c r="T924" s="234">
        <v>0</v>
      </c>
      <c r="U924" s="234">
        <v>0</v>
      </c>
      <c r="V924" s="234">
        <v>0</v>
      </c>
    </row>
    <row r="925" spans="1:31" ht="15" customHeight="1">
      <c r="A925" s="328"/>
      <c r="B925" s="328"/>
      <c r="C925" s="328"/>
      <c r="D925" s="328"/>
      <c r="E925" s="328"/>
      <c r="F925" s="328"/>
      <c r="G925" s="328"/>
      <c r="H925" s="328"/>
      <c r="I925" s="328"/>
      <c r="J925" s="328"/>
      <c r="K925" s="328"/>
      <c r="L925" s="209"/>
      <c r="N925" s="346"/>
      <c r="O925" s="346"/>
      <c r="P925" s="238"/>
      <c r="Q925" s="238"/>
      <c r="R925" s="237"/>
      <c r="S925" s="237"/>
      <c r="T925" s="237"/>
      <c r="U925" s="237"/>
      <c r="V925" s="237"/>
    </row>
    <row r="926" spans="1:31" s="328" customFormat="1" ht="24" customHeight="1">
      <c r="K926" s="400" t="s">
        <v>661</v>
      </c>
      <c r="L926" s="422"/>
      <c r="M926" s="441"/>
      <c r="N926" s="348">
        <f t="shared" ref="N926" si="273">SUM(N899:N925)</f>
        <v>659476</v>
      </c>
      <c r="O926" s="348">
        <f t="shared" ref="O926:V926" si="274">SUM(O899:O925)</f>
        <v>591504</v>
      </c>
      <c r="P926" s="349">
        <f t="shared" ref="P926" si="275">SUM(P899:P925)</f>
        <v>150489</v>
      </c>
      <c r="Q926" s="349">
        <f t="shared" si="274"/>
        <v>232883</v>
      </c>
      <c r="R926" s="348">
        <f t="shared" ref="R926:U926" si="276">SUM(R899:R925)</f>
        <v>0</v>
      </c>
      <c r="S926" s="348">
        <f t="shared" si="276"/>
        <v>0</v>
      </c>
      <c r="T926" s="348">
        <f t="shared" si="276"/>
        <v>0</v>
      </c>
      <c r="U926" s="348">
        <f t="shared" si="276"/>
        <v>0</v>
      </c>
      <c r="V926" s="348">
        <f t="shared" si="274"/>
        <v>0</v>
      </c>
      <c r="W926" s="640"/>
    </row>
    <row r="927" spans="1:31" s="328" customFormat="1" ht="15" customHeight="1">
      <c r="L927" s="424"/>
      <c r="M927" s="435"/>
      <c r="N927" s="346"/>
      <c r="O927" s="346"/>
      <c r="P927" s="347"/>
      <c r="Q927" s="347"/>
      <c r="R927" s="346"/>
      <c r="S927" s="346"/>
      <c r="T927" s="346"/>
      <c r="U927" s="346"/>
      <c r="V927" s="346"/>
      <c r="W927" s="640"/>
    </row>
    <row r="928" spans="1:31" s="328" customFormat="1" ht="24" customHeight="1">
      <c r="K928" s="400" t="s">
        <v>660</v>
      </c>
      <c r="L928" s="422"/>
      <c r="M928" s="422"/>
      <c r="N928" s="365">
        <f t="shared" ref="N928:V928" si="277">N896-N926</f>
        <v>-24913</v>
      </c>
      <c r="O928" s="365">
        <f t="shared" si="277"/>
        <v>-80418</v>
      </c>
      <c r="P928" s="366">
        <f t="shared" si="277"/>
        <v>467468</v>
      </c>
      <c r="Q928" s="366">
        <f>Q896-Q926</f>
        <v>300420</v>
      </c>
      <c r="R928" s="365">
        <f t="shared" si="277"/>
        <v>0</v>
      </c>
      <c r="S928" s="365">
        <f t="shared" si="277"/>
        <v>0</v>
      </c>
      <c r="T928" s="365">
        <f t="shared" si="277"/>
        <v>0</v>
      </c>
      <c r="U928" s="365">
        <f t="shared" si="277"/>
        <v>0</v>
      </c>
      <c r="V928" s="365">
        <f t="shared" si="277"/>
        <v>0</v>
      </c>
      <c r="W928" s="640"/>
    </row>
    <row r="929" spans="1:25" s="328" customFormat="1" ht="15" customHeight="1">
      <c r="L929" s="424"/>
      <c r="M929" s="422"/>
      <c r="N929" s="365"/>
      <c r="O929" s="365"/>
      <c r="P929" s="366"/>
      <c r="Q929" s="366"/>
      <c r="R929" s="365"/>
      <c r="S929" s="365"/>
      <c r="T929" s="365"/>
      <c r="U929" s="365"/>
      <c r="V929" s="365"/>
      <c r="W929" s="640"/>
    </row>
    <row r="930" spans="1:25" s="328" customFormat="1" ht="24" customHeight="1">
      <c r="J930" s="405" t="s">
        <v>672</v>
      </c>
      <c r="L930" s="424"/>
      <c r="M930" s="422"/>
      <c r="N930" s="365">
        <v>-220001</v>
      </c>
      <c r="O930" s="365">
        <v>-300420</v>
      </c>
      <c r="P930" s="366">
        <v>0</v>
      </c>
      <c r="Q930" s="366">
        <f>O930+Q928</f>
        <v>0</v>
      </c>
      <c r="R930" s="365">
        <v>0</v>
      </c>
      <c r="S930" s="365">
        <v>0</v>
      </c>
      <c r="T930" s="365">
        <v>0</v>
      </c>
      <c r="U930" s="365">
        <v>0</v>
      </c>
      <c r="V930" s="365">
        <v>0</v>
      </c>
      <c r="W930" s="640"/>
    </row>
    <row r="931" spans="1:25" s="409" customFormat="1" ht="24" customHeight="1">
      <c r="L931" s="440"/>
      <c r="M931" s="438"/>
      <c r="N931" s="367">
        <f>N930/N926</f>
        <v>-0.33359970643359271</v>
      </c>
      <c r="O931" s="367">
        <f>O930/O926</f>
        <v>-0.50789174713949525</v>
      </c>
      <c r="P931" s="368">
        <v>0</v>
      </c>
      <c r="Q931" s="368">
        <f>Q930/Q926</f>
        <v>0</v>
      </c>
      <c r="R931" s="367">
        <v>0</v>
      </c>
      <c r="S931" s="367">
        <v>0</v>
      </c>
      <c r="T931" s="367">
        <v>0</v>
      </c>
      <c r="U931" s="367">
        <v>0</v>
      </c>
      <c r="V931" s="367">
        <v>0</v>
      </c>
      <c r="W931" s="522"/>
    </row>
    <row r="932" spans="1:25" ht="15" customHeight="1">
      <c r="A932" s="328"/>
      <c r="B932" s="328"/>
      <c r="C932" s="328"/>
      <c r="D932" s="328"/>
      <c r="E932" s="328"/>
      <c r="F932" s="328"/>
      <c r="G932" s="328"/>
      <c r="H932" s="328"/>
      <c r="I932" s="328"/>
      <c r="J932" s="328"/>
      <c r="K932" s="328"/>
      <c r="L932" s="209"/>
      <c r="M932" s="240"/>
      <c r="N932" s="620"/>
      <c r="O932" s="620"/>
      <c r="P932" s="624"/>
      <c r="Q932" s="624"/>
      <c r="R932" s="625"/>
      <c r="S932" s="625"/>
      <c r="T932" s="625"/>
      <c r="U932" s="625"/>
      <c r="V932" s="625"/>
    </row>
    <row r="933" spans="1:25" ht="24" customHeight="1">
      <c r="A933" s="407" t="s">
        <v>734</v>
      </c>
      <c r="B933" s="328"/>
      <c r="C933" s="328"/>
      <c r="D933" s="328"/>
      <c r="E933" s="328"/>
      <c r="F933" s="328"/>
      <c r="G933" s="328"/>
      <c r="H933" s="328"/>
      <c r="I933" s="328"/>
      <c r="J933" s="328"/>
      <c r="K933" s="328"/>
      <c r="L933" s="209"/>
      <c r="M933" s="240"/>
      <c r="N933" s="620"/>
      <c r="O933" s="620"/>
      <c r="P933" s="624"/>
      <c r="Q933" s="624"/>
      <c r="R933" s="625"/>
      <c r="S933" s="625"/>
      <c r="T933" s="625"/>
      <c r="U933" s="625"/>
      <c r="V933" s="625"/>
    </row>
    <row r="934" spans="1:25" ht="15" customHeight="1">
      <c r="A934" s="328"/>
      <c r="B934" s="328"/>
      <c r="C934" s="328"/>
      <c r="D934" s="328"/>
      <c r="E934" s="328"/>
      <c r="F934" s="328"/>
      <c r="G934" s="328"/>
      <c r="H934" s="328"/>
      <c r="I934" s="328"/>
      <c r="J934" s="328"/>
      <c r="K934" s="328"/>
      <c r="L934" s="209"/>
      <c r="M934" s="240"/>
      <c r="N934" s="620"/>
      <c r="O934" s="620"/>
      <c r="P934" s="624"/>
      <c r="Q934" s="624"/>
      <c r="R934" s="625"/>
      <c r="S934" s="625"/>
      <c r="T934" s="625"/>
      <c r="U934" s="625"/>
      <c r="V934" s="625"/>
    </row>
    <row r="935" spans="1:25" ht="24" customHeight="1">
      <c r="A935" s="555" t="s">
        <v>1400</v>
      </c>
      <c r="B935" s="328"/>
      <c r="C935" s="328"/>
      <c r="D935" s="555" t="s">
        <v>1401</v>
      </c>
      <c r="E935" s="328"/>
      <c r="F935" s="328"/>
      <c r="G935" s="328"/>
      <c r="H935" s="328"/>
      <c r="I935" s="328"/>
      <c r="J935" s="328"/>
      <c r="K935" s="328"/>
      <c r="L935" s="209">
        <v>652085</v>
      </c>
      <c r="M935" s="220">
        <v>622624</v>
      </c>
      <c r="N935" s="339">
        <v>673145</v>
      </c>
      <c r="O935" s="339">
        <v>691905</v>
      </c>
      <c r="P935" s="216">
        <v>670415</v>
      </c>
      <c r="Q935" s="216">
        <v>642838</v>
      </c>
      <c r="R935" s="215">
        <v>646010</v>
      </c>
      <c r="S935" s="215">
        <v>635000</v>
      </c>
      <c r="T935" s="215">
        <v>625000</v>
      </c>
      <c r="U935" s="215">
        <v>615000</v>
      </c>
      <c r="V935" s="215">
        <v>615000</v>
      </c>
      <c r="X935" s="656"/>
      <c r="Y935" s="657"/>
    </row>
    <row r="936" spans="1:25" ht="24" customHeight="1">
      <c r="A936" s="328" t="s">
        <v>1339</v>
      </c>
      <c r="B936" s="328"/>
      <c r="C936" s="328"/>
      <c r="D936" s="328" t="s">
        <v>291</v>
      </c>
      <c r="E936" s="328"/>
      <c r="F936" s="328"/>
      <c r="G936" s="328"/>
      <c r="H936" s="328"/>
      <c r="I936" s="328"/>
      <c r="J936" s="328"/>
      <c r="K936" s="328"/>
      <c r="L936" s="209"/>
      <c r="M936" s="220">
        <v>0</v>
      </c>
      <c r="N936" s="340">
        <v>19331</v>
      </c>
      <c r="O936" s="340">
        <v>0</v>
      </c>
      <c r="P936" s="225">
        <v>0</v>
      </c>
      <c r="Q936" s="225">
        <v>0</v>
      </c>
      <c r="R936" s="221">
        <v>0</v>
      </c>
      <c r="S936" s="221">
        <v>0</v>
      </c>
      <c r="T936" s="221">
        <v>0</v>
      </c>
      <c r="U936" s="221">
        <v>0</v>
      </c>
      <c r="V936" s="221">
        <v>0</v>
      </c>
    </row>
    <row r="937" spans="1:25" ht="24" customHeight="1">
      <c r="A937" s="396" t="s">
        <v>578</v>
      </c>
      <c r="B937" s="328"/>
      <c r="C937" s="328"/>
      <c r="D937" s="396" t="s">
        <v>45</v>
      </c>
      <c r="E937" s="328"/>
      <c r="F937" s="328"/>
      <c r="G937" s="328"/>
      <c r="H937" s="328"/>
      <c r="I937" s="328"/>
      <c r="J937" s="328"/>
      <c r="K937" s="328"/>
      <c r="L937" s="209">
        <v>4451</v>
      </c>
      <c r="M937" s="220">
        <v>5139</v>
      </c>
      <c r="N937" s="339">
        <v>4981</v>
      </c>
      <c r="O937" s="339">
        <v>5272</v>
      </c>
      <c r="P937" s="216">
        <v>5000</v>
      </c>
      <c r="Q937" s="216">
        <v>5000</v>
      </c>
      <c r="R937" s="215">
        <v>5000</v>
      </c>
      <c r="S937" s="215">
        <v>5000</v>
      </c>
      <c r="T937" s="215">
        <v>5000</v>
      </c>
      <c r="U937" s="215">
        <v>5000</v>
      </c>
      <c r="V937" s="215">
        <v>5000</v>
      </c>
    </row>
    <row r="938" spans="1:25" ht="24" customHeight="1">
      <c r="A938" s="396" t="s">
        <v>579</v>
      </c>
      <c r="B938" s="328"/>
      <c r="C938" s="328"/>
      <c r="D938" s="178" t="s">
        <v>44</v>
      </c>
      <c r="E938" s="328"/>
      <c r="F938" s="328"/>
      <c r="G938" s="328"/>
      <c r="H938" s="328"/>
      <c r="I938" s="328"/>
      <c r="J938" s="328"/>
      <c r="K938" s="328"/>
      <c r="L938" s="209">
        <v>0</v>
      </c>
      <c r="M938" s="220">
        <v>14555</v>
      </c>
      <c r="N938" s="339">
        <v>17231</v>
      </c>
      <c r="O938" s="215">
        <v>18852</v>
      </c>
      <c r="P938" s="216">
        <v>17200</v>
      </c>
      <c r="Q938" s="216">
        <v>17389</v>
      </c>
      <c r="R938" s="215">
        <v>17200</v>
      </c>
      <c r="S938" s="215">
        <v>17200</v>
      </c>
      <c r="T938" s="215">
        <v>17200</v>
      </c>
      <c r="U938" s="215">
        <v>17200</v>
      </c>
      <c r="V938" s="215">
        <v>17200</v>
      </c>
      <c r="X938" s="219"/>
    </row>
    <row r="939" spans="1:25" ht="24" customHeight="1">
      <c r="A939" s="396" t="s">
        <v>580</v>
      </c>
      <c r="B939" s="397"/>
      <c r="C939" s="397"/>
      <c r="D939" s="396" t="s">
        <v>581</v>
      </c>
      <c r="E939" s="328"/>
      <c r="F939" s="328"/>
      <c r="G939" s="328"/>
      <c r="H939" s="328"/>
      <c r="I939" s="328"/>
      <c r="J939" s="328"/>
      <c r="K939" s="328"/>
      <c r="L939" s="209">
        <v>32700</v>
      </c>
      <c r="M939" s="220">
        <v>15550</v>
      </c>
      <c r="N939" s="339">
        <v>4681</v>
      </c>
      <c r="O939" s="339">
        <v>0</v>
      </c>
      <c r="P939" s="216">
        <v>0</v>
      </c>
      <c r="Q939" s="216">
        <v>0</v>
      </c>
      <c r="R939" s="215">
        <v>0</v>
      </c>
      <c r="S939" s="215">
        <v>0</v>
      </c>
      <c r="T939" s="215">
        <v>0</v>
      </c>
      <c r="U939" s="215">
        <v>0</v>
      </c>
      <c r="V939" s="215">
        <v>0</v>
      </c>
    </row>
    <row r="940" spans="1:25" ht="24" customHeight="1">
      <c r="A940" s="396" t="s">
        <v>582</v>
      </c>
      <c r="B940" s="397"/>
      <c r="C940" s="397"/>
      <c r="D940" s="396" t="s">
        <v>583</v>
      </c>
      <c r="E940" s="397"/>
      <c r="F940" s="397"/>
      <c r="G940" s="397"/>
      <c r="H940" s="397"/>
      <c r="I940" s="397"/>
      <c r="J940" s="397"/>
      <c r="K940" s="397"/>
      <c r="L940" s="218">
        <v>9531</v>
      </c>
      <c r="M940" s="220">
        <v>11503</v>
      </c>
      <c r="N940" s="339">
        <v>12864</v>
      </c>
      <c r="O940" s="339">
        <v>9404</v>
      </c>
      <c r="P940" s="216">
        <v>9300</v>
      </c>
      <c r="Q940" s="216">
        <v>9300</v>
      </c>
      <c r="R940" s="215">
        <v>9300</v>
      </c>
      <c r="S940" s="215">
        <v>9300</v>
      </c>
      <c r="T940" s="215">
        <v>9300</v>
      </c>
      <c r="U940" s="215">
        <v>9300</v>
      </c>
      <c r="V940" s="215">
        <v>9300</v>
      </c>
    </row>
    <row r="941" spans="1:25" ht="24" customHeight="1">
      <c r="A941" s="396" t="s">
        <v>584</v>
      </c>
      <c r="B941" s="397"/>
      <c r="C941" s="397"/>
      <c r="D941" s="396" t="s">
        <v>585</v>
      </c>
      <c r="E941" s="397"/>
      <c r="F941" s="397"/>
      <c r="G941" s="397"/>
      <c r="H941" s="397"/>
      <c r="I941" s="397"/>
      <c r="J941" s="397"/>
      <c r="K941" s="397"/>
      <c r="L941" s="218">
        <v>16758</v>
      </c>
      <c r="M941" s="220">
        <v>14720</v>
      </c>
      <c r="N941" s="339">
        <v>11814</v>
      </c>
      <c r="O941" s="339">
        <v>10434</v>
      </c>
      <c r="P941" s="216">
        <v>10000</v>
      </c>
      <c r="Q941" s="216">
        <v>10000</v>
      </c>
      <c r="R941" s="215">
        <v>10000</v>
      </c>
      <c r="S941" s="215">
        <v>10000</v>
      </c>
      <c r="T941" s="215">
        <v>10000</v>
      </c>
      <c r="U941" s="215">
        <v>10000</v>
      </c>
      <c r="V941" s="215">
        <v>10000</v>
      </c>
    </row>
    <row r="942" spans="1:25" ht="24" customHeight="1">
      <c r="A942" s="396" t="s">
        <v>586</v>
      </c>
      <c r="B942" s="328"/>
      <c r="C942" s="328"/>
      <c r="D942" s="396" t="s">
        <v>587</v>
      </c>
      <c r="E942" s="328"/>
      <c r="F942" s="328"/>
      <c r="G942" s="328"/>
      <c r="H942" s="328"/>
      <c r="I942" s="328"/>
      <c r="J942" s="328"/>
      <c r="K942" s="328"/>
      <c r="L942" s="209">
        <v>2729</v>
      </c>
      <c r="M942" s="220">
        <v>3773</v>
      </c>
      <c r="N942" s="339">
        <v>3444</v>
      </c>
      <c r="O942" s="339">
        <v>2748</v>
      </c>
      <c r="P942" s="216">
        <v>3000</v>
      </c>
      <c r="Q942" s="216">
        <v>3000</v>
      </c>
      <c r="R942" s="215">
        <v>3000</v>
      </c>
      <c r="S942" s="215">
        <v>3000</v>
      </c>
      <c r="T942" s="215">
        <v>3000</v>
      </c>
      <c r="U942" s="215">
        <v>3000</v>
      </c>
      <c r="V942" s="215">
        <v>3000</v>
      </c>
    </row>
    <row r="943" spans="1:25" ht="24" customHeight="1">
      <c r="A943" s="396" t="s">
        <v>588</v>
      </c>
      <c r="B943" s="328"/>
      <c r="C943" s="328"/>
      <c r="D943" s="396" t="s">
        <v>506</v>
      </c>
      <c r="E943" s="328"/>
      <c r="F943" s="328"/>
      <c r="G943" s="328"/>
      <c r="H943" s="328"/>
      <c r="I943" s="328"/>
      <c r="J943" s="328"/>
      <c r="K943" s="328"/>
      <c r="L943" s="209">
        <v>0</v>
      </c>
      <c r="M943" s="220">
        <v>0</v>
      </c>
      <c r="N943" s="340">
        <v>110</v>
      </c>
      <c r="O943" s="340">
        <v>1008</v>
      </c>
      <c r="P943" s="225">
        <v>1000</v>
      </c>
      <c r="Q943" s="225">
        <v>1000</v>
      </c>
      <c r="R943" s="221">
        <v>1000</v>
      </c>
      <c r="S943" s="221">
        <v>1000</v>
      </c>
      <c r="T943" s="221">
        <v>1000</v>
      </c>
      <c r="U943" s="221">
        <v>1000</v>
      </c>
      <c r="V943" s="221">
        <v>1000</v>
      </c>
    </row>
    <row r="944" spans="1:25" ht="24" customHeight="1">
      <c r="A944" s="396" t="s">
        <v>589</v>
      </c>
      <c r="B944" s="397"/>
      <c r="C944" s="397"/>
      <c r="D944" s="735" t="s">
        <v>6</v>
      </c>
      <c r="E944" s="735"/>
      <c r="F944" s="735"/>
      <c r="G944" s="735"/>
      <c r="H944" s="735"/>
      <c r="I944" s="735"/>
      <c r="J944" s="735"/>
      <c r="K944" s="735"/>
      <c r="L944" s="218">
        <v>10985</v>
      </c>
      <c r="M944" s="220">
        <v>1952</v>
      </c>
      <c r="N944" s="339">
        <v>393</v>
      </c>
      <c r="O944" s="339">
        <v>1257</v>
      </c>
      <c r="P944" s="216">
        <v>1300</v>
      </c>
      <c r="Q944" s="216">
        <v>1300</v>
      </c>
      <c r="R944" s="215">
        <v>1300</v>
      </c>
      <c r="S944" s="215">
        <v>1500</v>
      </c>
      <c r="T944" s="215">
        <v>1500</v>
      </c>
      <c r="U944" s="215">
        <v>1500</v>
      </c>
      <c r="V944" s="215">
        <v>1500</v>
      </c>
    </row>
    <row r="945" spans="1:31" ht="24" customHeight="1">
      <c r="A945" s="396" t="s">
        <v>732</v>
      </c>
      <c r="B945" s="397"/>
      <c r="C945" s="397"/>
      <c r="D945" s="396" t="s">
        <v>292</v>
      </c>
      <c r="E945" s="397"/>
      <c r="F945" s="397"/>
      <c r="G945" s="397"/>
      <c r="H945" s="397"/>
      <c r="I945" s="397"/>
      <c r="J945" s="397"/>
      <c r="K945" s="397"/>
      <c r="L945" s="218"/>
      <c r="M945" s="220">
        <v>0</v>
      </c>
      <c r="N945" s="340">
        <v>0</v>
      </c>
      <c r="O945" s="340">
        <v>8685</v>
      </c>
      <c r="P945" s="225">
        <v>0</v>
      </c>
      <c r="Q945" s="225">
        <v>0</v>
      </c>
      <c r="R945" s="221">
        <v>0</v>
      </c>
      <c r="S945" s="221">
        <v>0</v>
      </c>
      <c r="T945" s="221">
        <v>0</v>
      </c>
      <c r="U945" s="221">
        <v>0</v>
      </c>
      <c r="V945" s="221">
        <v>0</v>
      </c>
      <c r="X945" s="213"/>
      <c r="AC945" s="213"/>
    </row>
    <row r="946" spans="1:31" ht="24" customHeight="1">
      <c r="A946" s="396" t="s">
        <v>737</v>
      </c>
      <c r="B946" s="397"/>
      <c r="C946" s="397"/>
      <c r="D946" s="396" t="s">
        <v>287</v>
      </c>
      <c r="E946" s="397"/>
      <c r="F946" s="397"/>
      <c r="G946" s="397"/>
      <c r="H946" s="397"/>
      <c r="I946" s="397"/>
      <c r="J946" s="397"/>
      <c r="K946" s="397"/>
      <c r="L946" s="218"/>
      <c r="M946" s="220">
        <v>0</v>
      </c>
      <c r="N946" s="340">
        <v>0</v>
      </c>
      <c r="O946" s="340">
        <v>711</v>
      </c>
      <c r="P946" s="228">
        <v>0</v>
      </c>
      <c r="Q946" s="228">
        <v>0</v>
      </c>
      <c r="R946" s="227">
        <v>0</v>
      </c>
      <c r="S946" s="227">
        <v>0</v>
      </c>
      <c r="T946" s="227">
        <v>0</v>
      </c>
      <c r="U946" s="227">
        <v>0</v>
      </c>
      <c r="V946" s="227">
        <v>0</v>
      </c>
      <c r="X946" s="213"/>
      <c r="AC946" s="213"/>
    </row>
    <row r="947" spans="1:31" ht="24" customHeight="1">
      <c r="A947" s="396" t="s">
        <v>590</v>
      </c>
      <c r="B947" s="328"/>
      <c r="C947" s="328"/>
      <c r="D947" s="396" t="s">
        <v>264</v>
      </c>
      <c r="E947" s="328"/>
      <c r="F947" s="328"/>
      <c r="G947" s="328"/>
      <c r="H947" s="328"/>
      <c r="I947" s="328"/>
      <c r="J947" s="328"/>
      <c r="K947" s="328"/>
      <c r="L947" s="209">
        <v>1101</v>
      </c>
      <c r="M947" s="220">
        <v>1239</v>
      </c>
      <c r="N947" s="343">
        <v>2695</v>
      </c>
      <c r="O947" s="343">
        <v>1556</v>
      </c>
      <c r="P947" s="228">
        <v>2000</v>
      </c>
      <c r="Q947" s="228">
        <v>2000</v>
      </c>
      <c r="R947" s="227">
        <v>2000</v>
      </c>
      <c r="S947" s="227">
        <v>2000</v>
      </c>
      <c r="T947" s="227">
        <v>2000</v>
      </c>
      <c r="U947" s="227">
        <v>2000</v>
      </c>
      <c r="V947" s="227">
        <v>2000</v>
      </c>
    </row>
    <row r="948" spans="1:31" ht="24" customHeight="1">
      <c r="A948" s="396" t="s">
        <v>591</v>
      </c>
      <c r="B948" s="328"/>
      <c r="C948" s="328"/>
      <c r="D948" s="396" t="s">
        <v>592</v>
      </c>
      <c r="E948" s="417"/>
      <c r="F948" s="417"/>
      <c r="G948" s="417"/>
      <c r="H948" s="417"/>
      <c r="I948" s="417"/>
      <c r="J948" s="417"/>
      <c r="K948" s="417"/>
      <c r="L948" s="315"/>
      <c r="M948" s="226">
        <v>0</v>
      </c>
      <c r="N948" s="343">
        <v>5416</v>
      </c>
      <c r="O948" s="343">
        <v>4884</v>
      </c>
      <c r="P948" s="228">
        <v>5000</v>
      </c>
      <c r="Q948" s="228">
        <v>5000</v>
      </c>
      <c r="R948" s="227">
        <v>5000</v>
      </c>
      <c r="S948" s="227">
        <v>5000</v>
      </c>
      <c r="T948" s="227">
        <v>5000</v>
      </c>
      <c r="U948" s="227">
        <v>5000</v>
      </c>
      <c r="V948" s="227">
        <v>5000</v>
      </c>
    </row>
    <row r="949" spans="1:31" ht="24" customHeight="1">
      <c r="A949" s="396" t="s">
        <v>593</v>
      </c>
      <c r="B949" s="328"/>
      <c r="C949" s="328"/>
      <c r="D949" s="396" t="s">
        <v>1330</v>
      </c>
      <c r="E949" s="328"/>
      <c r="F949" s="328"/>
      <c r="G949" s="328"/>
      <c r="H949" s="328"/>
      <c r="I949" s="328"/>
      <c r="J949" s="328"/>
      <c r="K949" s="328"/>
      <c r="L949" s="209">
        <v>1363</v>
      </c>
      <c r="M949" s="220">
        <v>4451</v>
      </c>
      <c r="N949" s="343">
        <v>6119</v>
      </c>
      <c r="O949" s="343">
        <v>5201</v>
      </c>
      <c r="P949" s="228">
        <v>2000</v>
      </c>
      <c r="Q949" s="228">
        <v>0</v>
      </c>
      <c r="R949" s="227">
        <v>0</v>
      </c>
      <c r="S949" s="227">
        <v>0</v>
      </c>
      <c r="T949" s="227">
        <v>0</v>
      </c>
      <c r="U949" s="227">
        <v>0</v>
      </c>
      <c r="V949" s="227">
        <v>0</v>
      </c>
      <c r="X949" s="213"/>
    </row>
    <row r="950" spans="1:31" ht="24" customHeight="1">
      <c r="A950" s="396" t="s">
        <v>594</v>
      </c>
      <c r="B950" s="328"/>
      <c r="C950" s="328"/>
      <c r="D950" s="396" t="s">
        <v>7</v>
      </c>
      <c r="E950" s="328"/>
      <c r="F950" s="328"/>
      <c r="G950" s="328"/>
      <c r="H950" s="328"/>
      <c r="I950" s="328"/>
      <c r="J950" s="328"/>
      <c r="K950" s="328"/>
      <c r="L950" s="209"/>
      <c r="M950" s="220">
        <v>0</v>
      </c>
      <c r="N950" s="340">
        <v>815</v>
      </c>
      <c r="O950" s="340">
        <v>848</v>
      </c>
      <c r="P950" s="225">
        <v>250</v>
      </c>
      <c r="Q950" s="225">
        <v>1003</v>
      </c>
      <c r="R950" s="221">
        <v>500</v>
      </c>
      <c r="S950" s="221">
        <v>500</v>
      </c>
      <c r="T950" s="221">
        <v>500</v>
      </c>
      <c r="U950" s="221">
        <v>500</v>
      </c>
      <c r="V950" s="221">
        <v>500</v>
      </c>
    </row>
    <row r="951" spans="1:31" ht="24" customHeight="1">
      <c r="A951" s="396" t="s">
        <v>665</v>
      </c>
      <c r="B951" s="564"/>
      <c r="C951" s="564"/>
      <c r="D951" s="647" t="s">
        <v>1469</v>
      </c>
      <c r="E951" s="564"/>
      <c r="F951" s="564"/>
      <c r="G951" s="564"/>
      <c r="H951" s="564"/>
      <c r="I951" s="564"/>
      <c r="J951" s="564"/>
      <c r="K951" s="564"/>
      <c r="L951" s="209"/>
      <c r="M951" s="209"/>
      <c r="N951" s="360">
        <v>0</v>
      </c>
      <c r="O951" s="360">
        <v>0</v>
      </c>
      <c r="P951" s="225">
        <v>21490</v>
      </c>
      <c r="Q951" s="225">
        <v>21490</v>
      </c>
      <c r="R951" s="360">
        <v>0</v>
      </c>
      <c r="S951" s="221">
        <v>0</v>
      </c>
      <c r="T951" s="221">
        <v>0</v>
      </c>
      <c r="U951" s="221">
        <v>0</v>
      </c>
      <c r="V951" s="221">
        <v>0</v>
      </c>
      <c r="X951" s="213"/>
      <c r="AB951" s="316"/>
      <c r="AC951" s="316"/>
      <c r="AD951" s="316"/>
      <c r="AE951" s="316"/>
    </row>
    <row r="952" spans="1:31" ht="24" customHeight="1">
      <c r="A952" s="396" t="s">
        <v>665</v>
      </c>
      <c r="B952" s="328"/>
      <c r="C952" s="328"/>
      <c r="D952" s="328" t="s">
        <v>313</v>
      </c>
      <c r="E952" s="328"/>
      <c r="F952" s="328"/>
      <c r="G952" s="328"/>
      <c r="H952" s="328"/>
      <c r="I952" s="328"/>
      <c r="J952" s="328"/>
      <c r="K952" s="328"/>
      <c r="L952" s="209"/>
      <c r="M952" s="312"/>
      <c r="N952" s="379">
        <v>332500</v>
      </c>
      <c r="O952" s="379">
        <v>26819</v>
      </c>
      <c r="P952" s="235">
        <f>30684</f>
        <v>30684</v>
      </c>
      <c r="Q952" s="235">
        <f>30684</f>
        <v>30684</v>
      </c>
      <c r="R952" s="234">
        <f>R965+R964</f>
        <v>32375</v>
      </c>
      <c r="S952" s="234">
        <f t="shared" ref="S952:U952" si="278">S965+S964</f>
        <v>34168</v>
      </c>
      <c r="T952" s="234">
        <f t="shared" si="278"/>
        <v>36068</v>
      </c>
      <c r="U952" s="234">
        <f t="shared" si="278"/>
        <v>38082</v>
      </c>
      <c r="V952" s="234">
        <f t="shared" ref="V952" si="279">V965+V964</f>
        <v>38082</v>
      </c>
      <c r="X952" s="213"/>
      <c r="AB952" s="316"/>
      <c r="AC952" s="316"/>
      <c r="AD952" s="316"/>
      <c r="AE952" s="316"/>
    </row>
    <row r="953" spans="1:31" ht="15" customHeight="1">
      <c r="A953" s="328"/>
      <c r="B953" s="328"/>
      <c r="C953" s="328"/>
      <c r="D953" s="328"/>
      <c r="E953" s="328"/>
      <c r="F953" s="328"/>
      <c r="G953" s="328"/>
      <c r="H953" s="328"/>
      <c r="I953" s="328"/>
      <c r="J953" s="328"/>
      <c r="K953" s="328"/>
      <c r="L953" s="209"/>
      <c r="N953" s="346"/>
      <c r="O953" s="346"/>
      <c r="P953" s="238"/>
      <c r="Q953" s="238"/>
      <c r="R953" s="237"/>
      <c r="S953" s="237"/>
      <c r="T953" s="237"/>
      <c r="U953" s="237"/>
      <c r="V953" s="237"/>
    </row>
    <row r="954" spans="1:31" s="328" customFormat="1" ht="24" customHeight="1">
      <c r="K954" s="400" t="s">
        <v>656</v>
      </c>
      <c r="L954" s="422"/>
      <c r="M954" s="423"/>
      <c r="N954" s="348">
        <f t="shared" ref="N954" si="280">SUM(N935:N953)</f>
        <v>1095539</v>
      </c>
      <c r="O954" s="348">
        <f t="shared" ref="O954:V954" si="281">SUM(O935:O953)</f>
        <v>789584</v>
      </c>
      <c r="P954" s="349">
        <f>SUM(P935:P953)</f>
        <v>778639</v>
      </c>
      <c r="Q954" s="349">
        <f t="shared" si="281"/>
        <v>750004</v>
      </c>
      <c r="R954" s="348">
        <f t="shared" ref="R954:U954" si="282">SUM(R935:R953)</f>
        <v>732685</v>
      </c>
      <c r="S954" s="348">
        <f t="shared" si="282"/>
        <v>723668</v>
      </c>
      <c r="T954" s="348">
        <f t="shared" si="282"/>
        <v>715568</v>
      </c>
      <c r="U954" s="348">
        <f t="shared" si="282"/>
        <v>707582</v>
      </c>
      <c r="V954" s="348">
        <f t="shared" si="281"/>
        <v>707582</v>
      </c>
      <c r="W954" s="640"/>
    </row>
    <row r="955" spans="1:31" ht="15" customHeight="1">
      <c r="A955" s="328"/>
      <c r="B955" s="328"/>
      <c r="C955" s="328"/>
      <c r="D955" s="328"/>
      <c r="E955" s="328"/>
      <c r="F955" s="328"/>
      <c r="G955" s="328"/>
      <c r="H955" s="328"/>
      <c r="I955" s="328"/>
      <c r="J955" s="328"/>
      <c r="K955" s="328"/>
      <c r="L955" s="209"/>
      <c r="N955" s="346"/>
      <c r="O955" s="346"/>
      <c r="P955" s="238"/>
      <c r="Q955" s="238"/>
      <c r="R955" s="237"/>
      <c r="S955" s="237"/>
      <c r="T955" s="237"/>
      <c r="U955" s="237"/>
      <c r="V955" s="237"/>
    </row>
    <row r="956" spans="1:31" ht="24" customHeight="1">
      <c r="A956" s="396" t="s">
        <v>595</v>
      </c>
      <c r="B956" s="397"/>
      <c r="C956" s="397"/>
      <c r="D956" s="396" t="s">
        <v>1095</v>
      </c>
      <c r="E956" s="397"/>
      <c r="F956" s="397"/>
      <c r="G956" s="397"/>
      <c r="H956" s="397"/>
      <c r="I956" s="397"/>
      <c r="J956" s="397"/>
      <c r="K956" s="397"/>
      <c r="L956" s="218"/>
      <c r="M956" s="229"/>
      <c r="N956" s="339">
        <v>244695</v>
      </c>
      <c r="O956" s="339">
        <v>244847</v>
      </c>
      <c r="P956" s="216">
        <v>252540</v>
      </c>
      <c r="Q956" s="216">
        <v>252540</v>
      </c>
      <c r="R956" s="215">
        <v>252540</v>
      </c>
      <c r="S956" s="215">
        <v>252540</v>
      </c>
      <c r="T956" s="215">
        <v>252540</v>
      </c>
      <c r="U956" s="215">
        <v>252540</v>
      </c>
      <c r="V956" s="215">
        <v>252540</v>
      </c>
      <c r="X956" s="656"/>
      <c r="Y956" s="657"/>
      <c r="Z956" s="657"/>
      <c r="AA956" s="657"/>
    </row>
    <row r="957" spans="1:31" ht="24" customHeight="1">
      <c r="A957" s="396" t="s">
        <v>596</v>
      </c>
      <c r="B957" s="397"/>
      <c r="C957" s="397"/>
      <c r="D957" s="396" t="s">
        <v>76</v>
      </c>
      <c r="E957" s="397"/>
      <c r="F957" s="397"/>
      <c r="G957" s="397"/>
      <c r="H957" s="397"/>
      <c r="I957" s="397"/>
      <c r="J957" s="397"/>
      <c r="K957" s="397"/>
      <c r="L957" s="218"/>
      <c r="M957" s="229"/>
      <c r="N957" s="341">
        <v>187313</v>
      </c>
      <c r="O957" s="341">
        <v>175436</v>
      </c>
      <c r="P957" s="224">
        <v>195000</v>
      </c>
      <c r="Q957" s="224">
        <v>195000</v>
      </c>
      <c r="R957" s="223">
        <v>195000</v>
      </c>
      <c r="S957" s="223">
        <v>195000</v>
      </c>
      <c r="T957" s="223">
        <v>195000</v>
      </c>
      <c r="U957" s="223">
        <v>195000</v>
      </c>
      <c r="V957" s="223">
        <v>195000</v>
      </c>
      <c r="X957" s="656"/>
      <c r="Y957" s="657"/>
      <c r="Z957" s="657"/>
      <c r="AA957" s="657"/>
    </row>
    <row r="958" spans="1:31" ht="24" customHeight="1">
      <c r="A958" s="396" t="s">
        <v>597</v>
      </c>
      <c r="B958" s="397"/>
      <c r="C958" s="397"/>
      <c r="D958" s="396" t="s">
        <v>8</v>
      </c>
      <c r="E958" s="397"/>
      <c r="F958" s="397"/>
      <c r="G958" s="397"/>
      <c r="H958" s="397"/>
      <c r="I958" s="397"/>
      <c r="J958" s="397"/>
      <c r="K958" s="397"/>
      <c r="L958" s="218"/>
      <c r="M958" s="229"/>
      <c r="N958" s="340">
        <v>23387</v>
      </c>
      <c r="O958" s="340">
        <v>26152</v>
      </c>
      <c r="P958" s="212">
        <v>27988</v>
      </c>
      <c r="Q958" s="212">
        <v>27988</v>
      </c>
      <c r="R958" s="211">
        <v>30117</v>
      </c>
      <c r="S958" s="215">
        <v>32325</v>
      </c>
      <c r="T958" s="215">
        <v>34270</v>
      </c>
      <c r="U958" s="215">
        <v>36315</v>
      </c>
      <c r="V958" s="215">
        <v>38512</v>
      </c>
      <c r="X958" s="656"/>
      <c r="Y958" s="657"/>
      <c r="Z958" s="657"/>
      <c r="AA958" s="657"/>
    </row>
    <row r="959" spans="1:31" ht="24" customHeight="1">
      <c r="A959" s="396" t="s">
        <v>598</v>
      </c>
      <c r="B959" s="328"/>
      <c r="C959" s="328"/>
      <c r="D959" s="396" t="s">
        <v>9</v>
      </c>
      <c r="E959" s="328"/>
      <c r="F959" s="328"/>
      <c r="G959" s="328"/>
      <c r="H959" s="328"/>
      <c r="I959" s="328"/>
      <c r="J959" s="328"/>
      <c r="K959" s="328"/>
      <c r="L959" s="209"/>
      <c r="M959" s="229"/>
      <c r="N959" s="339">
        <v>32384</v>
      </c>
      <c r="O959" s="339">
        <v>31483</v>
      </c>
      <c r="P959" s="216">
        <v>33572</v>
      </c>
      <c r="Q959" s="216">
        <v>33572</v>
      </c>
      <c r="R959" s="215">
        <v>33484</v>
      </c>
      <c r="S959" s="215">
        <v>33484</v>
      </c>
      <c r="T959" s="215">
        <v>33484</v>
      </c>
      <c r="U959" s="215">
        <v>33484</v>
      </c>
      <c r="V959" s="215">
        <v>33484</v>
      </c>
      <c r="W959" s="515"/>
      <c r="X959" s="656"/>
      <c r="Y959" s="657"/>
      <c r="Z959" s="657"/>
      <c r="AA959" s="657"/>
    </row>
    <row r="960" spans="1:31" ht="24" customHeight="1">
      <c r="A960" s="396" t="s">
        <v>599</v>
      </c>
      <c r="B960" s="397"/>
      <c r="C960" s="397"/>
      <c r="D960" s="396" t="s">
        <v>13</v>
      </c>
      <c r="E960" s="397"/>
      <c r="F960" s="397"/>
      <c r="G960" s="397"/>
      <c r="H960" s="397"/>
      <c r="I960" s="397"/>
      <c r="J960" s="397"/>
      <c r="K960" s="397"/>
      <c r="L960" s="218"/>
      <c r="M960" s="229"/>
      <c r="N960" s="339">
        <v>86334</v>
      </c>
      <c r="O960" s="339">
        <v>85076</v>
      </c>
      <c r="P960" s="216">
        <v>94116</v>
      </c>
      <c r="Q960" s="216">
        <v>94116</v>
      </c>
      <c r="R960" s="223">
        <v>101904</v>
      </c>
      <c r="S960" s="223">
        <f>ROUND(R960*1.08,0)</f>
        <v>110056</v>
      </c>
      <c r="T960" s="223">
        <f t="shared" ref="T960:V960" si="283">ROUND(S960*1.08,0)</f>
        <v>118860</v>
      </c>
      <c r="U960" s="223">
        <f t="shared" si="283"/>
        <v>128369</v>
      </c>
      <c r="V960" s="223">
        <f t="shared" si="283"/>
        <v>138639</v>
      </c>
      <c r="X960" s="656"/>
      <c r="Y960" s="657"/>
      <c r="Z960" s="656"/>
      <c r="AA960" s="657"/>
      <c r="AC960" s="213"/>
    </row>
    <row r="961" spans="1:29" ht="24" customHeight="1">
      <c r="A961" s="396" t="s">
        <v>600</v>
      </c>
      <c r="B961" s="328"/>
      <c r="C961" s="328"/>
      <c r="D961" s="396" t="s">
        <v>207</v>
      </c>
      <c r="E961" s="328"/>
      <c r="F961" s="328"/>
      <c r="G961" s="328"/>
      <c r="H961" s="328"/>
      <c r="I961" s="328"/>
      <c r="J961" s="328"/>
      <c r="K961" s="328"/>
      <c r="L961" s="209"/>
      <c r="M961" s="229"/>
      <c r="N961" s="339">
        <v>760</v>
      </c>
      <c r="O961" s="339">
        <v>1027</v>
      </c>
      <c r="P961" s="216">
        <v>595</v>
      </c>
      <c r="Q961" s="216">
        <v>595</v>
      </c>
      <c r="R961" s="223">
        <v>559</v>
      </c>
      <c r="S961" s="223">
        <f>ROUND(R961*1.01,0)</f>
        <v>565</v>
      </c>
      <c r="T961" s="223">
        <f t="shared" ref="T961:V961" si="284">ROUND(S961*1.01,0)</f>
        <v>571</v>
      </c>
      <c r="U961" s="223">
        <f t="shared" si="284"/>
        <v>577</v>
      </c>
      <c r="V961" s="223">
        <f t="shared" si="284"/>
        <v>583</v>
      </c>
      <c r="X961" s="656"/>
      <c r="Y961" s="657"/>
      <c r="Z961" s="656"/>
      <c r="AA961" s="657"/>
      <c r="AC961" s="213"/>
    </row>
    <row r="962" spans="1:29" ht="24" customHeight="1">
      <c r="A962" s="396" t="s">
        <v>601</v>
      </c>
      <c r="B962" s="328"/>
      <c r="C962" s="328"/>
      <c r="D962" s="396" t="s">
        <v>714</v>
      </c>
      <c r="E962" s="328"/>
      <c r="F962" s="328"/>
      <c r="G962" s="328"/>
      <c r="H962" s="328"/>
      <c r="I962" s="328"/>
      <c r="J962" s="328"/>
      <c r="K962" s="328"/>
      <c r="L962" s="209"/>
      <c r="M962" s="229"/>
      <c r="N962" s="340">
        <v>6061</v>
      </c>
      <c r="O962" s="340">
        <v>5950</v>
      </c>
      <c r="P962" s="212">
        <v>5926</v>
      </c>
      <c r="Q962" s="212">
        <v>5926</v>
      </c>
      <c r="R962" s="223">
        <v>5347</v>
      </c>
      <c r="S962" s="223">
        <f>ROUND(R962*1.05,0)</f>
        <v>5614</v>
      </c>
      <c r="T962" s="223">
        <f t="shared" ref="T962:V962" si="285">ROUND(S962*1.05,0)</f>
        <v>5895</v>
      </c>
      <c r="U962" s="223">
        <f t="shared" si="285"/>
        <v>6190</v>
      </c>
      <c r="V962" s="223">
        <f t="shared" si="285"/>
        <v>6500</v>
      </c>
      <c r="X962" s="656"/>
      <c r="Y962" s="657"/>
      <c r="Z962" s="656"/>
      <c r="AA962" s="657"/>
      <c r="AC962" s="213"/>
    </row>
    <row r="963" spans="1:29" ht="24" customHeight="1">
      <c r="A963" s="396" t="s">
        <v>724</v>
      </c>
      <c r="B963" s="328"/>
      <c r="C963" s="328"/>
      <c r="D963" s="396" t="s">
        <v>716</v>
      </c>
      <c r="E963" s="328"/>
      <c r="F963" s="328"/>
      <c r="G963" s="328"/>
      <c r="H963" s="328"/>
      <c r="I963" s="328"/>
      <c r="J963" s="328"/>
      <c r="K963" s="328"/>
      <c r="L963" s="209"/>
      <c r="M963" s="229"/>
      <c r="N963" s="340">
        <v>686</v>
      </c>
      <c r="O963" s="340">
        <v>643</v>
      </c>
      <c r="P963" s="212">
        <v>643</v>
      </c>
      <c r="Q963" s="212">
        <v>643</v>
      </c>
      <c r="R963" s="223">
        <v>662</v>
      </c>
      <c r="S963" s="223">
        <f>ROUND(R963*1.03,0)</f>
        <v>682</v>
      </c>
      <c r="T963" s="223">
        <f t="shared" ref="T963:V963" si="286">ROUND(S963*1.03,0)</f>
        <v>702</v>
      </c>
      <c r="U963" s="223">
        <f t="shared" si="286"/>
        <v>723</v>
      </c>
      <c r="V963" s="223">
        <f t="shared" si="286"/>
        <v>745</v>
      </c>
      <c r="X963" s="656"/>
      <c r="Y963" s="657"/>
      <c r="Z963" s="656"/>
      <c r="AA963" s="657"/>
      <c r="AC963" s="213"/>
    </row>
    <row r="964" spans="1:29" ht="24" customHeight="1">
      <c r="A964" s="396" t="s">
        <v>851</v>
      </c>
      <c r="B964" s="328"/>
      <c r="C964" s="328"/>
      <c r="D964" s="396" t="s">
        <v>206</v>
      </c>
      <c r="E964" s="328"/>
      <c r="F964" s="328"/>
      <c r="G964" s="328"/>
      <c r="H964" s="328"/>
      <c r="I964" s="328"/>
      <c r="J964" s="328"/>
      <c r="K964" s="328"/>
      <c r="L964" s="209"/>
      <c r="M964" s="229"/>
      <c r="N964" s="340">
        <v>0</v>
      </c>
      <c r="O964" s="340">
        <v>2435</v>
      </c>
      <c r="P964" s="212">
        <v>2500</v>
      </c>
      <c r="Q964" s="212">
        <v>2500</v>
      </c>
      <c r="R964" s="211">
        <v>2500</v>
      </c>
      <c r="S964" s="211">
        <v>2500</v>
      </c>
      <c r="T964" s="211">
        <v>2500</v>
      </c>
      <c r="U964" s="211">
        <v>2500</v>
      </c>
      <c r="V964" s="211">
        <v>2500</v>
      </c>
      <c r="X964" s="213"/>
    </row>
    <row r="965" spans="1:29" ht="24" customHeight="1">
      <c r="A965" s="396" t="s">
        <v>825</v>
      </c>
      <c r="B965" s="328"/>
      <c r="C965" s="328"/>
      <c r="D965" s="396" t="s">
        <v>270</v>
      </c>
      <c r="E965" s="328"/>
      <c r="F965" s="328"/>
      <c r="G965" s="328"/>
      <c r="H965" s="328"/>
      <c r="I965" s="328"/>
      <c r="J965" s="328"/>
      <c r="K965" s="328"/>
      <c r="L965" s="209"/>
      <c r="M965" s="229"/>
      <c r="N965" s="340">
        <v>0</v>
      </c>
      <c r="O965" s="340">
        <v>24947</v>
      </c>
      <c r="P965" s="212">
        <v>28184</v>
      </c>
      <c r="Q965" s="212">
        <v>28184</v>
      </c>
      <c r="R965" s="211">
        <v>29875</v>
      </c>
      <c r="S965" s="211">
        <v>31668</v>
      </c>
      <c r="T965" s="211">
        <v>33568</v>
      </c>
      <c r="U965" s="211">
        <v>35582</v>
      </c>
      <c r="V965" s="211">
        <v>35582</v>
      </c>
      <c r="X965" s="213"/>
    </row>
    <row r="966" spans="1:29" ht="24" customHeight="1">
      <c r="A966" s="396" t="s">
        <v>602</v>
      </c>
      <c r="B966" s="397"/>
      <c r="C966" s="397"/>
      <c r="D966" s="396" t="s">
        <v>99</v>
      </c>
      <c r="E966" s="397"/>
      <c r="F966" s="397"/>
      <c r="G966" s="397"/>
      <c r="H966" s="397"/>
      <c r="I966" s="397"/>
      <c r="J966" s="397"/>
      <c r="K966" s="397"/>
      <c r="L966" s="218"/>
      <c r="M966" s="229"/>
      <c r="N966" s="339">
        <v>0</v>
      </c>
      <c r="O966" s="339">
        <v>0</v>
      </c>
      <c r="P966" s="216">
        <v>500</v>
      </c>
      <c r="Q966" s="216">
        <v>500</v>
      </c>
      <c r="R966" s="215">
        <v>500</v>
      </c>
      <c r="S966" s="215">
        <v>500</v>
      </c>
      <c r="T966" s="215">
        <v>500</v>
      </c>
      <c r="U966" s="215">
        <v>500</v>
      </c>
      <c r="V966" s="215">
        <v>500</v>
      </c>
    </row>
    <row r="967" spans="1:29" ht="24" customHeight="1">
      <c r="A967" s="396" t="s">
        <v>603</v>
      </c>
      <c r="B967" s="397"/>
      <c r="C967" s="397"/>
      <c r="D967" s="396" t="s">
        <v>1319</v>
      </c>
      <c r="E967" s="397"/>
      <c r="F967" s="397"/>
      <c r="G967" s="397"/>
      <c r="H967" s="397"/>
      <c r="I967" s="397"/>
      <c r="J967" s="397"/>
      <c r="K967" s="397"/>
      <c r="L967" s="218"/>
      <c r="M967" s="229"/>
      <c r="N967" s="340">
        <v>215</v>
      </c>
      <c r="O967" s="340">
        <v>798</v>
      </c>
      <c r="P967" s="212">
        <v>600</v>
      </c>
      <c r="Q967" s="212">
        <v>600</v>
      </c>
      <c r="R967" s="211">
        <v>600</v>
      </c>
      <c r="S967" s="211">
        <v>600</v>
      </c>
      <c r="T967" s="211">
        <v>600</v>
      </c>
      <c r="U967" s="211">
        <v>600</v>
      </c>
      <c r="V967" s="211">
        <v>600</v>
      </c>
    </row>
    <row r="968" spans="1:29" ht="24" customHeight="1">
      <c r="A968" s="396" t="s">
        <v>604</v>
      </c>
      <c r="B968" s="397"/>
      <c r="C968" s="397"/>
      <c r="D968" s="396" t="s">
        <v>98</v>
      </c>
      <c r="E968" s="397"/>
      <c r="F968" s="397"/>
      <c r="G968" s="397"/>
      <c r="H968" s="397"/>
      <c r="I968" s="397"/>
      <c r="J968" s="397"/>
      <c r="K968" s="397"/>
      <c r="L968" s="218"/>
      <c r="M968" s="229"/>
      <c r="N968" s="339">
        <v>0</v>
      </c>
      <c r="O968" s="339">
        <v>22</v>
      </c>
      <c r="P968" s="216">
        <v>100</v>
      </c>
      <c r="Q968" s="216">
        <v>100</v>
      </c>
      <c r="R968" s="215">
        <v>100</v>
      </c>
      <c r="S968" s="215">
        <v>100</v>
      </c>
      <c r="T968" s="215">
        <v>100</v>
      </c>
      <c r="U968" s="215">
        <v>100</v>
      </c>
      <c r="V968" s="215">
        <v>100</v>
      </c>
    </row>
    <row r="969" spans="1:29" ht="24" customHeight="1">
      <c r="A969" s="396" t="s">
        <v>605</v>
      </c>
      <c r="B969" s="328"/>
      <c r="C969" s="328"/>
      <c r="D969" s="396" t="s">
        <v>265</v>
      </c>
      <c r="E969" s="328"/>
      <c r="F969" s="328"/>
      <c r="G969" s="328"/>
      <c r="H969" s="328"/>
      <c r="I969" s="328"/>
      <c r="J969" s="328"/>
      <c r="K969" s="328"/>
      <c r="L969" s="209"/>
      <c r="M969" s="229"/>
      <c r="N969" s="339">
        <v>8609</v>
      </c>
      <c r="O969" s="339">
        <v>10982</v>
      </c>
      <c r="P969" s="216">
        <v>11000</v>
      </c>
      <c r="Q969" s="216">
        <v>11000</v>
      </c>
      <c r="R969" s="215">
        <v>11000</v>
      </c>
      <c r="S969" s="215">
        <v>11000</v>
      </c>
      <c r="T969" s="215">
        <v>11000</v>
      </c>
      <c r="U969" s="215">
        <v>11000</v>
      </c>
      <c r="V969" s="215">
        <v>11000</v>
      </c>
    </row>
    <row r="970" spans="1:29" ht="24" customHeight="1">
      <c r="A970" s="396" t="s">
        <v>606</v>
      </c>
      <c r="B970" s="397"/>
      <c r="C970" s="397"/>
      <c r="D970" s="396" t="s">
        <v>97</v>
      </c>
      <c r="E970" s="397"/>
      <c r="F970" s="397"/>
      <c r="G970" s="397"/>
      <c r="H970" s="397"/>
      <c r="I970" s="397"/>
      <c r="J970" s="397"/>
      <c r="K970" s="397"/>
      <c r="L970" s="218"/>
      <c r="M970" s="229"/>
      <c r="N970" s="339">
        <v>538</v>
      </c>
      <c r="O970" s="339">
        <v>244</v>
      </c>
      <c r="P970" s="216">
        <v>500</v>
      </c>
      <c r="Q970" s="216">
        <v>500</v>
      </c>
      <c r="R970" s="215">
        <v>500</v>
      </c>
      <c r="S970" s="215">
        <v>500</v>
      </c>
      <c r="T970" s="215">
        <v>500</v>
      </c>
      <c r="U970" s="215">
        <v>500</v>
      </c>
      <c r="V970" s="215">
        <v>500</v>
      </c>
    </row>
    <row r="971" spans="1:29" ht="24" customHeight="1">
      <c r="A971" s="396" t="s">
        <v>607</v>
      </c>
      <c r="B971" s="328"/>
      <c r="C971" s="328"/>
      <c r="D971" s="396" t="s">
        <v>1321</v>
      </c>
      <c r="E971" s="328"/>
      <c r="F971" s="328"/>
      <c r="G971" s="328"/>
      <c r="H971" s="328"/>
      <c r="I971" s="328"/>
      <c r="J971" s="328"/>
      <c r="K971" s="328"/>
      <c r="L971" s="209"/>
      <c r="M971" s="229"/>
      <c r="N971" s="339">
        <v>7495</v>
      </c>
      <c r="O971" s="339">
        <v>8379</v>
      </c>
      <c r="P971" s="216">
        <v>12000</v>
      </c>
      <c r="Q971" s="216">
        <v>12000</v>
      </c>
      <c r="R971" s="215">
        <v>12000</v>
      </c>
      <c r="S971" s="215">
        <v>12000</v>
      </c>
      <c r="T971" s="215">
        <v>12000</v>
      </c>
      <c r="U971" s="215">
        <v>12000</v>
      </c>
      <c r="V971" s="215">
        <v>12000</v>
      </c>
    </row>
    <row r="972" spans="1:29" ht="24" customHeight="1">
      <c r="A972" s="396" t="s">
        <v>608</v>
      </c>
      <c r="B972" s="328"/>
      <c r="C972" s="328"/>
      <c r="D972" s="396" t="s">
        <v>10</v>
      </c>
      <c r="E972" s="328"/>
      <c r="F972" s="328"/>
      <c r="G972" s="328"/>
      <c r="H972" s="328"/>
      <c r="I972" s="328"/>
      <c r="J972" s="328"/>
      <c r="K972" s="328"/>
      <c r="L972" s="209"/>
      <c r="M972" s="229"/>
      <c r="N972" s="339">
        <v>29909</v>
      </c>
      <c r="O972" s="339">
        <v>38778</v>
      </c>
      <c r="P972" s="216">
        <v>29000</v>
      </c>
      <c r="Q972" s="216">
        <v>29000</v>
      </c>
      <c r="R972" s="215">
        <v>29000</v>
      </c>
      <c r="S972" s="215">
        <v>29000</v>
      </c>
      <c r="T972" s="215">
        <v>29000</v>
      </c>
      <c r="U972" s="215">
        <v>29000</v>
      </c>
      <c r="V972" s="215">
        <v>29000</v>
      </c>
    </row>
    <row r="973" spans="1:29" ht="24" customHeight="1">
      <c r="A973" s="396" t="s">
        <v>609</v>
      </c>
      <c r="B973" s="328"/>
      <c r="C973" s="328"/>
      <c r="D973" s="396" t="s">
        <v>152</v>
      </c>
      <c r="E973" s="328"/>
      <c r="F973" s="328"/>
      <c r="G973" s="397"/>
      <c r="H973" s="397"/>
      <c r="I973" s="397"/>
      <c r="J973" s="397"/>
      <c r="K973" s="397"/>
      <c r="L973" s="218"/>
      <c r="M973" s="229"/>
      <c r="N973" s="339">
        <v>0</v>
      </c>
      <c r="O973" s="339">
        <v>360</v>
      </c>
      <c r="P973" s="216">
        <v>2000</v>
      </c>
      <c r="Q973" s="216">
        <v>2000</v>
      </c>
      <c r="R973" s="215">
        <v>2000</v>
      </c>
      <c r="S973" s="215">
        <v>2000</v>
      </c>
      <c r="T973" s="215">
        <v>2000</v>
      </c>
      <c r="U973" s="215">
        <v>2000</v>
      </c>
      <c r="V973" s="215">
        <v>2000</v>
      </c>
    </row>
    <row r="974" spans="1:29" ht="24" customHeight="1">
      <c r="A974" s="396" t="s">
        <v>610</v>
      </c>
      <c r="B974" s="328"/>
      <c r="C974" s="328"/>
      <c r="D974" s="396" t="s">
        <v>611</v>
      </c>
      <c r="E974" s="328"/>
      <c r="F974" s="328"/>
      <c r="G974" s="417"/>
      <c r="H974" s="417"/>
      <c r="I974" s="417"/>
      <c r="J974" s="417"/>
      <c r="K974" s="417"/>
      <c r="L974" s="315"/>
      <c r="M974" s="229"/>
      <c r="N974" s="339">
        <v>28210</v>
      </c>
      <c r="O974" s="339">
        <v>30199</v>
      </c>
      <c r="P974" s="216">
        <v>35000</v>
      </c>
      <c r="Q974" s="216">
        <v>35000</v>
      </c>
      <c r="R974" s="215">
        <v>35000</v>
      </c>
      <c r="S974" s="215">
        <v>35000</v>
      </c>
      <c r="T974" s="215">
        <v>35000</v>
      </c>
      <c r="U974" s="215">
        <v>35000</v>
      </c>
      <c r="V974" s="215">
        <v>35000</v>
      </c>
    </row>
    <row r="975" spans="1:29" ht="24" customHeight="1">
      <c r="A975" s="396" t="s">
        <v>612</v>
      </c>
      <c r="B975" s="397"/>
      <c r="C975" s="397"/>
      <c r="D975" s="396" t="s">
        <v>18</v>
      </c>
      <c r="E975" s="397"/>
      <c r="F975" s="397"/>
      <c r="G975" s="397"/>
      <c r="H975" s="397"/>
      <c r="I975" s="397"/>
      <c r="J975" s="397"/>
      <c r="K975" s="397"/>
      <c r="L975" s="218"/>
      <c r="M975" s="229"/>
      <c r="N975" s="340">
        <v>8872</v>
      </c>
      <c r="O975" s="340">
        <v>10508</v>
      </c>
      <c r="P975" s="212">
        <v>12600</v>
      </c>
      <c r="Q975" s="212">
        <v>12600</v>
      </c>
      <c r="R975" s="215">
        <f>ROUND(Q975*1.15,0)</f>
        <v>14490</v>
      </c>
      <c r="S975" s="215">
        <f>ROUND(R975*1.06,0)</f>
        <v>15359</v>
      </c>
      <c r="T975" s="215">
        <f t="shared" ref="T975:V975" si="287">ROUND(S975*1.06,0)</f>
        <v>16281</v>
      </c>
      <c r="U975" s="215">
        <f t="shared" si="287"/>
        <v>17258</v>
      </c>
      <c r="V975" s="215">
        <f t="shared" si="287"/>
        <v>18293</v>
      </c>
      <c r="X975" s="217"/>
    </row>
    <row r="976" spans="1:29" ht="24" customHeight="1">
      <c r="A976" s="396" t="s">
        <v>613</v>
      </c>
      <c r="B976" s="397"/>
      <c r="C976" s="397"/>
      <c r="D976" s="396" t="s">
        <v>1323</v>
      </c>
      <c r="E976" s="397"/>
      <c r="F976" s="397"/>
      <c r="G976" s="397"/>
      <c r="H976" s="397"/>
      <c r="I976" s="397"/>
      <c r="J976" s="397"/>
      <c r="K976" s="397"/>
      <c r="L976" s="218"/>
      <c r="M976" s="229"/>
      <c r="N976" s="356">
        <v>4276</v>
      </c>
      <c r="O976" s="356">
        <v>3632</v>
      </c>
      <c r="P976" s="270">
        <v>5000</v>
      </c>
      <c r="Q976" s="270">
        <v>5000</v>
      </c>
      <c r="R976" s="260">
        <v>5000</v>
      </c>
      <c r="S976" s="260">
        <v>5000</v>
      </c>
      <c r="T976" s="260">
        <v>5000</v>
      </c>
      <c r="U976" s="260">
        <v>5000</v>
      </c>
      <c r="V976" s="260">
        <v>5000</v>
      </c>
    </row>
    <row r="977" spans="1:24" ht="24" customHeight="1">
      <c r="A977" s="396" t="s">
        <v>862</v>
      </c>
      <c r="B977" s="397"/>
      <c r="C977" s="397"/>
      <c r="D977" s="396" t="s">
        <v>364</v>
      </c>
      <c r="E977" s="397"/>
      <c r="F977" s="397"/>
      <c r="G977" s="397"/>
      <c r="H977" s="397"/>
      <c r="I977" s="397"/>
      <c r="J977" s="397"/>
      <c r="K977" s="397"/>
      <c r="L977" s="218"/>
      <c r="M977" s="229"/>
      <c r="N977" s="356">
        <v>0</v>
      </c>
      <c r="O977" s="356">
        <v>749</v>
      </c>
      <c r="P977" s="270">
        <v>749</v>
      </c>
      <c r="Q977" s="270">
        <v>749</v>
      </c>
      <c r="R977" s="260">
        <v>2275</v>
      </c>
      <c r="S977" s="260">
        <v>2275</v>
      </c>
      <c r="T977" s="260">
        <v>2275</v>
      </c>
      <c r="U977" s="260">
        <v>2275</v>
      </c>
      <c r="V977" s="260">
        <v>2275</v>
      </c>
    </row>
    <row r="978" spans="1:24" ht="24" customHeight="1">
      <c r="A978" s="396" t="s">
        <v>614</v>
      </c>
      <c r="B978" s="397"/>
      <c r="C978" s="397"/>
      <c r="D978" s="396" t="s">
        <v>11</v>
      </c>
      <c r="E978" s="397"/>
      <c r="F978" s="397"/>
      <c r="G978" s="397"/>
      <c r="H978" s="397"/>
      <c r="I978" s="397"/>
      <c r="J978" s="397"/>
      <c r="K978" s="397"/>
      <c r="L978" s="218"/>
      <c r="M978" s="229"/>
      <c r="N978" s="340">
        <v>5005</v>
      </c>
      <c r="O978" s="340">
        <v>5497</v>
      </c>
      <c r="P978" s="212">
        <v>8000</v>
      </c>
      <c r="Q978" s="212">
        <v>8000</v>
      </c>
      <c r="R978" s="211">
        <v>8000</v>
      </c>
      <c r="S978" s="211">
        <v>8000</v>
      </c>
      <c r="T978" s="211">
        <v>8000</v>
      </c>
      <c r="U978" s="211">
        <v>8000</v>
      </c>
      <c r="V978" s="211">
        <v>8000</v>
      </c>
    </row>
    <row r="979" spans="1:24" ht="24" customHeight="1">
      <c r="A979" s="396" t="s">
        <v>615</v>
      </c>
      <c r="B979" s="397"/>
      <c r="C979" s="397"/>
      <c r="D979" s="396" t="s">
        <v>12</v>
      </c>
      <c r="E979" s="397"/>
      <c r="F979" s="397"/>
      <c r="G979" s="397"/>
      <c r="H979" s="397"/>
      <c r="I979" s="397"/>
      <c r="J979" s="397"/>
      <c r="K979" s="397"/>
      <c r="L979" s="218"/>
      <c r="M979" s="229"/>
      <c r="N979" s="339">
        <v>4694</v>
      </c>
      <c r="O979" s="339">
        <v>7738</v>
      </c>
      <c r="P979" s="216">
        <v>8000</v>
      </c>
      <c r="Q979" s="216">
        <v>8000</v>
      </c>
      <c r="R979" s="215">
        <v>8000</v>
      </c>
      <c r="S979" s="215">
        <v>8000</v>
      </c>
      <c r="T979" s="215">
        <v>8000</v>
      </c>
      <c r="U979" s="215">
        <v>8000</v>
      </c>
      <c r="V979" s="215">
        <v>8000</v>
      </c>
      <c r="X979" s="217"/>
    </row>
    <row r="980" spans="1:24" ht="24" customHeight="1">
      <c r="A980" s="396" t="s">
        <v>616</v>
      </c>
      <c r="B980" s="397"/>
      <c r="C980" s="397"/>
      <c r="D980" s="396" t="s">
        <v>274</v>
      </c>
      <c r="E980" s="397"/>
      <c r="F980" s="397"/>
      <c r="G980" s="397"/>
      <c r="H980" s="397"/>
      <c r="I980" s="397"/>
      <c r="J980" s="397"/>
      <c r="K980" s="397"/>
      <c r="L980" s="218"/>
      <c r="M980" s="229"/>
      <c r="N980" s="340">
        <v>0</v>
      </c>
      <c r="O980" s="340">
        <v>1550</v>
      </c>
      <c r="P980" s="212">
        <v>0</v>
      </c>
      <c r="Q980" s="212">
        <v>0</v>
      </c>
      <c r="R980" s="211">
        <v>0</v>
      </c>
      <c r="S980" s="211">
        <v>0</v>
      </c>
      <c r="T980" s="211">
        <v>0</v>
      </c>
      <c r="U980" s="211">
        <v>0</v>
      </c>
      <c r="V980" s="211">
        <v>0</v>
      </c>
      <c r="X980" s="213"/>
    </row>
    <row r="981" spans="1:24" ht="24" customHeight="1">
      <c r="A981" s="396" t="s">
        <v>617</v>
      </c>
      <c r="B981" s="397"/>
      <c r="C981" s="397"/>
      <c r="D981" s="396" t="s">
        <v>1322</v>
      </c>
      <c r="E981" s="397"/>
      <c r="F981" s="397"/>
      <c r="G981" s="397"/>
      <c r="H981" s="397"/>
      <c r="I981" s="397"/>
      <c r="J981" s="397"/>
      <c r="K981" s="397"/>
      <c r="L981" s="218"/>
      <c r="M981" s="229"/>
      <c r="N981" s="337">
        <v>0</v>
      </c>
      <c r="O981" s="337">
        <v>881</v>
      </c>
      <c r="P981" s="212">
        <v>0</v>
      </c>
      <c r="Q981" s="212">
        <v>0</v>
      </c>
      <c r="R981" s="211">
        <v>0</v>
      </c>
      <c r="S981" s="211">
        <v>0</v>
      </c>
      <c r="T981" s="211">
        <v>0</v>
      </c>
      <c r="U981" s="211">
        <v>0</v>
      </c>
      <c r="V981" s="211">
        <v>0</v>
      </c>
    </row>
    <row r="982" spans="1:24" ht="24" customHeight="1">
      <c r="A982" s="396" t="s">
        <v>618</v>
      </c>
      <c r="B982" s="397"/>
      <c r="C982" s="397"/>
      <c r="D982" s="396" t="s">
        <v>619</v>
      </c>
      <c r="E982" s="397"/>
      <c r="F982" s="397"/>
      <c r="G982" s="397"/>
      <c r="H982" s="397"/>
      <c r="I982" s="397"/>
      <c r="J982" s="397"/>
      <c r="K982" s="397"/>
      <c r="L982" s="218"/>
      <c r="M982" s="229"/>
      <c r="N982" s="341">
        <v>225</v>
      </c>
      <c r="O982" s="341">
        <v>875</v>
      </c>
      <c r="P982" s="224">
        <f t="shared" ref="P982" si="288">P943</f>
        <v>1000</v>
      </c>
      <c r="Q982" s="224">
        <v>1000</v>
      </c>
      <c r="R982" s="223">
        <f t="shared" ref="R982:U982" si="289">R943</f>
        <v>1000</v>
      </c>
      <c r="S982" s="223">
        <f t="shared" si="289"/>
        <v>1000</v>
      </c>
      <c r="T982" s="223">
        <f t="shared" si="289"/>
        <v>1000</v>
      </c>
      <c r="U982" s="223">
        <f t="shared" si="289"/>
        <v>1000</v>
      </c>
      <c r="V982" s="223">
        <f t="shared" ref="V982" si="290">V943</f>
        <v>1000</v>
      </c>
      <c r="X982" s="213"/>
    </row>
    <row r="983" spans="1:24" ht="24" customHeight="1">
      <c r="A983" s="396" t="s">
        <v>620</v>
      </c>
      <c r="B983" s="328"/>
      <c r="C983" s="328"/>
      <c r="D983" s="396" t="s">
        <v>621</v>
      </c>
      <c r="E983" s="328"/>
      <c r="F983" s="328"/>
      <c r="G983" s="328"/>
      <c r="H983" s="328"/>
      <c r="I983" s="328"/>
      <c r="J983" s="328"/>
      <c r="K983" s="328"/>
      <c r="L983" s="209"/>
      <c r="M983" s="229"/>
      <c r="N983" s="340">
        <v>0</v>
      </c>
      <c r="O983" s="340">
        <v>0</v>
      </c>
      <c r="P983" s="212">
        <v>0</v>
      </c>
      <c r="Q983" s="212">
        <v>0</v>
      </c>
      <c r="R983" s="211">
        <v>0</v>
      </c>
      <c r="S983" s="211">
        <v>0</v>
      </c>
      <c r="T983" s="211">
        <v>0</v>
      </c>
      <c r="U983" s="211">
        <v>0</v>
      </c>
      <c r="V983" s="211">
        <v>0</v>
      </c>
    </row>
    <row r="984" spans="1:24" ht="24" customHeight="1">
      <c r="A984" s="396" t="s">
        <v>622</v>
      </c>
      <c r="B984" s="328"/>
      <c r="C984" s="328"/>
      <c r="D984" s="396" t="s">
        <v>623</v>
      </c>
      <c r="E984" s="328"/>
      <c r="F984" s="328"/>
      <c r="G984" s="328"/>
      <c r="H984" s="328"/>
      <c r="I984" s="328"/>
      <c r="J984" s="328"/>
      <c r="K984" s="328"/>
      <c r="L984" s="209"/>
      <c r="M984" s="229"/>
      <c r="N984" s="341">
        <v>0</v>
      </c>
      <c r="O984" s="341">
        <v>0</v>
      </c>
      <c r="P984" s="224">
        <v>0</v>
      </c>
      <c r="Q984" s="224">
        <v>0</v>
      </c>
      <c r="R984" s="223">
        <v>0</v>
      </c>
      <c r="S984" s="223">
        <v>0</v>
      </c>
      <c r="T984" s="223">
        <v>0</v>
      </c>
      <c r="U984" s="223">
        <v>0</v>
      </c>
      <c r="V984" s="223">
        <v>0</v>
      </c>
    </row>
    <row r="985" spans="1:24" ht="24" customHeight="1">
      <c r="A985" s="396" t="s">
        <v>624</v>
      </c>
      <c r="B985" s="328"/>
      <c r="C985" s="328"/>
      <c r="D985" s="396" t="s">
        <v>625</v>
      </c>
      <c r="E985" s="328"/>
      <c r="F985" s="328"/>
      <c r="G985" s="328"/>
      <c r="H985" s="328"/>
      <c r="I985" s="328"/>
      <c r="J985" s="328"/>
      <c r="K985" s="328"/>
      <c r="L985" s="209"/>
      <c r="M985" s="229"/>
      <c r="N985" s="341">
        <v>0</v>
      </c>
      <c r="O985" s="341">
        <v>0</v>
      </c>
      <c r="P985" s="224">
        <v>0</v>
      </c>
      <c r="Q985" s="224">
        <v>0</v>
      </c>
      <c r="R985" s="223">
        <v>0</v>
      </c>
      <c r="S985" s="223">
        <v>0</v>
      </c>
      <c r="T985" s="223">
        <v>0</v>
      </c>
      <c r="U985" s="223">
        <v>0</v>
      </c>
      <c r="V985" s="223">
        <v>0</v>
      </c>
    </row>
    <row r="986" spans="1:24" ht="24" customHeight="1">
      <c r="A986" s="396" t="s">
        <v>626</v>
      </c>
      <c r="B986" s="328"/>
      <c r="C986" s="328"/>
      <c r="D986" s="396" t="s">
        <v>627</v>
      </c>
      <c r="E986" s="328"/>
      <c r="F986" s="328"/>
      <c r="G986" s="328"/>
      <c r="H986" s="328"/>
      <c r="I986" s="328"/>
      <c r="J986" s="328"/>
      <c r="K986" s="328"/>
      <c r="L986" s="209"/>
      <c r="M986" s="229"/>
      <c r="N986" s="337">
        <v>0</v>
      </c>
      <c r="O986" s="337">
        <v>0</v>
      </c>
      <c r="P986" s="212">
        <v>0</v>
      </c>
      <c r="Q986" s="212">
        <v>0</v>
      </c>
      <c r="R986" s="211">
        <v>0</v>
      </c>
      <c r="S986" s="211">
        <v>0</v>
      </c>
      <c r="T986" s="211">
        <v>0</v>
      </c>
      <c r="U986" s="211">
        <v>0</v>
      </c>
      <c r="V986" s="211">
        <v>0</v>
      </c>
    </row>
    <row r="987" spans="1:24" ht="24" customHeight="1">
      <c r="A987" s="396" t="s">
        <v>628</v>
      </c>
      <c r="B987" s="328"/>
      <c r="C987" s="328"/>
      <c r="D987" s="396" t="s">
        <v>629</v>
      </c>
      <c r="E987" s="328"/>
      <c r="F987" s="328"/>
      <c r="G987" s="328"/>
      <c r="H987" s="328"/>
      <c r="I987" s="328"/>
      <c r="J987" s="328"/>
      <c r="K987" s="328"/>
      <c r="L987" s="209"/>
      <c r="M987" s="229"/>
      <c r="N987" s="341">
        <v>0</v>
      </c>
      <c r="O987" s="341">
        <v>0</v>
      </c>
      <c r="P987" s="224">
        <v>0</v>
      </c>
      <c r="Q987" s="224">
        <v>0</v>
      </c>
      <c r="R987" s="223">
        <v>0</v>
      </c>
      <c r="S987" s="223">
        <v>0</v>
      </c>
      <c r="T987" s="223">
        <v>0</v>
      </c>
      <c r="U987" s="223">
        <v>0</v>
      </c>
      <c r="V987" s="223">
        <v>0</v>
      </c>
    </row>
    <row r="988" spans="1:24" ht="24" customHeight="1">
      <c r="A988" s="396" t="s">
        <v>630</v>
      </c>
      <c r="B988" s="328"/>
      <c r="C988" s="328"/>
      <c r="D988" s="396" t="s">
        <v>1329</v>
      </c>
      <c r="E988" s="328"/>
      <c r="F988" s="328"/>
      <c r="G988" s="328"/>
      <c r="H988" s="328"/>
      <c r="I988" s="328"/>
      <c r="J988" s="328"/>
      <c r="K988" s="328"/>
      <c r="L988" s="209"/>
      <c r="M988" s="229"/>
      <c r="N988" s="341">
        <v>0</v>
      </c>
      <c r="O988" s="341">
        <v>0</v>
      </c>
      <c r="P988" s="224">
        <v>0</v>
      </c>
      <c r="Q988" s="224">
        <v>0</v>
      </c>
      <c r="R988" s="223">
        <v>0</v>
      </c>
      <c r="S988" s="223">
        <v>0</v>
      </c>
      <c r="T988" s="223">
        <v>0</v>
      </c>
      <c r="U988" s="223">
        <v>0</v>
      </c>
      <c r="V988" s="223">
        <v>0</v>
      </c>
    </row>
    <row r="989" spans="1:24" ht="24" customHeight="1">
      <c r="A989" s="396" t="s">
        <v>631</v>
      </c>
      <c r="B989" s="328"/>
      <c r="C989" s="328"/>
      <c r="D989" s="396" t="s">
        <v>632</v>
      </c>
      <c r="E989" s="328"/>
      <c r="F989" s="328"/>
      <c r="G989" s="328"/>
      <c r="H989" s="328"/>
      <c r="I989" s="328"/>
      <c r="J989" s="328"/>
      <c r="K989" s="328"/>
      <c r="L989" s="209"/>
      <c r="M989" s="229"/>
      <c r="N989" s="341">
        <v>1260</v>
      </c>
      <c r="O989" s="341">
        <v>2421</v>
      </c>
      <c r="P989" s="224">
        <v>2000</v>
      </c>
      <c r="Q989" s="224">
        <v>2000</v>
      </c>
      <c r="R989" s="223">
        <v>2000</v>
      </c>
      <c r="S989" s="223">
        <v>2000</v>
      </c>
      <c r="T989" s="223">
        <v>2000</v>
      </c>
      <c r="U989" s="223">
        <v>2000</v>
      </c>
      <c r="V989" s="223">
        <v>2000</v>
      </c>
    </row>
    <row r="990" spans="1:24" ht="24" customHeight="1">
      <c r="A990" s="396" t="s">
        <v>633</v>
      </c>
      <c r="B990" s="328"/>
      <c r="C990" s="328"/>
      <c r="D990" s="396" t="s">
        <v>59</v>
      </c>
      <c r="E990" s="328"/>
      <c r="F990" s="328"/>
      <c r="G990" s="328"/>
      <c r="H990" s="328"/>
      <c r="I990" s="328"/>
      <c r="J990" s="328"/>
      <c r="K990" s="328"/>
      <c r="L990" s="209"/>
      <c r="M990" s="229"/>
      <c r="N990" s="341">
        <v>4681</v>
      </c>
      <c r="O990" s="341">
        <v>0</v>
      </c>
      <c r="P990" s="224">
        <v>0</v>
      </c>
      <c r="Q990" s="224">
        <v>0</v>
      </c>
      <c r="R990" s="223">
        <v>0</v>
      </c>
      <c r="S990" s="223">
        <v>0</v>
      </c>
      <c r="T990" s="223">
        <v>0</v>
      </c>
      <c r="U990" s="223">
        <v>0</v>
      </c>
      <c r="V990" s="223">
        <v>0</v>
      </c>
    </row>
    <row r="991" spans="1:24" ht="24" customHeight="1">
      <c r="A991" s="396" t="s">
        <v>634</v>
      </c>
      <c r="B991" s="328"/>
      <c r="C991" s="328"/>
      <c r="D991" s="396" t="s">
        <v>1330</v>
      </c>
      <c r="E991" s="328"/>
      <c r="F991" s="328"/>
      <c r="G991" s="328"/>
      <c r="H991" s="328"/>
      <c r="I991" s="328"/>
      <c r="J991" s="328"/>
      <c r="K991" s="328"/>
      <c r="L991" s="209"/>
      <c r="M991" s="229"/>
      <c r="N991" s="341">
        <v>5627</v>
      </c>
      <c r="O991" s="341">
        <v>5201</v>
      </c>
      <c r="P991" s="224">
        <f t="shared" ref="P991:Q991" si="291">P949</f>
        <v>2000</v>
      </c>
      <c r="Q991" s="224">
        <f t="shared" si="291"/>
        <v>0</v>
      </c>
      <c r="R991" s="223">
        <f t="shared" ref="R991:U991" si="292">R949</f>
        <v>0</v>
      </c>
      <c r="S991" s="223">
        <f t="shared" si="292"/>
        <v>0</v>
      </c>
      <c r="T991" s="223">
        <f t="shared" si="292"/>
        <v>0</v>
      </c>
      <c r="U991" s="223">
        <f t="shared" si="292"/>
        <v>0</v>
      </c>
      <c r="V991" s="223">
        <f t="shared" ref="V991" si="293">V949</f>
        <v>0</v>
      </c>
      <c r="X991" s="213"/>
    </row>
    <row r="992" spans="1:24" ht="24" customHeight="1">
      <c r="A992" s="396" t="s">
        <v>635</v>
      </c>
      <c r="B992" s="328"/>
      <c r="C992" s="328"/>
      <c r="D992" s="396" t="s">
        <v>14</v>
      </c>
      <c r="E992" s="328"/>
      <c r="F992" s="328"/>
      <c r="G992" s="328"/>
      <c r="H992" s="328"/>
      <c r="I992" s="328"/>
      <c r="J992" s="328"/>
      <c r="K992" s="328"/>
      <c r="L992" s="209"/>
      <c r="M992" s="229"/>
      <c r="N992" s="340">
        <f>131+158</f>
        <v>289</v>
      </c>
      <c r="O992" s="340">
        <v>0</v>
      </c>
      <c r="P992" s="225">
        <v>250</v>
      </c>
      <c r="Q992" s="225">
        <v>250</v>
      </c>
      <c r="R992" s="221">
        <v>0</v>
      </c>
      <c r="S992" s="221">
        <v>0</v>
      </c>
      <c r="T992" s="221">
        <v>0</v>
      </c>
      <c r="U992" s="221">
        <v>0</v>
      </c>
      <c r="V992" s="221">
        <v>0</v>
      </c>
    </row>
    <row r="993" spans="1:29" ht="24" customHeight="1">
      <c r="A993" s="396" t="s">
        <v>863</v>
      </c>
      <c r="B993" s="397"/>
      <c r="C993" s="397"/>
      <c r="D993" s="396" t="s">
        <v>864</v>
      </c>
      <c r="E993" s="648"/>
      <c r="F993" s="648"/>
      <c r="G993" s="648"/>
      <c r="H993" s="648"/>
      <c r="I993" s="648"/>
      <c r="J993" s="648"/>
      <c r="K993" s="648"/>
      <c r="L993" s="218"/>
      <c r="M993" s="209"/>
      <c r="N993" s="360">
        <v>0</v>
      </c>
      <c r="O993" s="360">
        <v>5469</v>
      </c>
      <c r="P993" s="269">
        <f t="shared" ref="P993" si="294">P1007</f>
        <v>0</v>
      </c>
      <c r="Q993" s="269">
        <f>Q1007</f>
        <v>21226</v>
      </c>
      <c r="R993" s="268">
        <f t="shared" ref="R993:V993" si="295">R1007</f>
        <v>0</v>
      </c>
      <c r="S993" s="268">
        <f t="shared" si="295"/>
        <v>0</v>
      </c>
      <c r="T993" s="268">
        <f t="shared" si="295"/>
        <v>0</v>
      </c>
      <c r="U993" s="268">
        <f t="shared" si="295"/>
        <v>0</v>
      </c>
      <c r="V993" s="268">
        <f t="shared" si="295"/>
        <v>0</v>
      </c>
      <c r="X993" s="213"/>
    </row>
    <row r="994" spans="1:29" ht="24" customHeight="1">
      <c r="A994" s="396" t="s">
        <v>638</v>
      </c>
      <c r="B994" s="397"/>
      <c r="C994" s="397"/>
      <c r="D994" s="396" t="s">
        <v>1104</v>
      </c>
      <c r="E994" s="397"/>
      <c r="F994" s="397"/>
      <c r="G994" s="399"/>
      <c r="H994" s="399"/>
      <c r="I994" s="399"/>
      <c r="J994" s="399"/>
      <c r="K994" s="399"/>
      <c r="L994" s="236"/>
      <c r="M994" s="312"/>
      <c r="N994" s="379">
        <v>332519</v>
      </c>
      <c r="O994" s="379">
        <v>0</v>
      </c>
      <c r="P994" s="314">
        <v>0</v>
      </c>
      <c r="Q994" s="314">
        <v>0</v>
      </c>
      <c r="R994" s="313">
        <v>0</v>
      </c>
      <c r="S994" s="313">
        <v>0</v>
      </c>
      <c r="T994" s="313">
        <v>0</v>
      </c>
      <c r="U994" s="313">
        <v>0</v>
      </c>
      <c r="V994" s="313">
        <v>0</v>
      </c>
    </row>
    <row r="995" spans="1:29" ht="15" customHeight="1">
      <c r="A995" s="328"/>
      <c r="B995" s="328"/>
      <c r="C995" s="328"/>
      <c r="D995" s="328"/>
      <c r="E995" s="328"/>
      <c r="F995" s="328"/>
      <c r="G995" s="328"/>
      <c r="H995" s="328"/>
      <c r="I995" s="328"/>
      <c r="J995" s="328"/>
      <c r="K995" s="328"/>
      <c r="L995" s="209"/>
      <c r="N995" s="346"/>
      <c r="O995" s="346"/>
      <c r="P995" s="238"/>
      <c r="Q995" s="238"/>
      <c r="R995" s="237"/>
      <c r="S995" s="237"/>
      <c r="T995" s="237"/>
      <c r="U995" s="237"/>
      <c r="V995" s="237"/>
    </row>
    <row r="996" spans="1:29" s="328" customFormat="1" ht="24" customHeight="1">
      <c r="K996" s="400" t="s">
        <v>659</v>
      </c>
      <c r="L996" s="422"/>
      <c r="M996" s="441"/>
      <c r="N996" s="348">
        <f t="shared" ref="N996" si="296">SUM(N956:N995)</f>
        <v>1024044</v>
      </c>
      <c r="O996" s="348">
        <f t="shared" ref="O996" si="297">SUM(O956:O995)</f>
        <v>732279</v>
      </c>
      <c r="P996" s="349">
        <f t="shared" ref="P996" si="298">SUM(P956:P995)</f>
        <v>771363</v>
      </c>
      <c r="Q996" s="349">
        <f>SUM(Q956:Q995)</f>
        <v>790589</v>
      </c>
      <c r="R996" s="348">
        <f t="shared" ref="R996:T996" si="299">SUM(R956:R995)</f>
        <v>783453</v>
      </c>
      <c r="S996" s="348">
        <f t="shared" si="299"/>
        <v>796768</v>
      </c>
      <c r="T996" s="348">
        <f t="shared" si="299"/>
        <v>810646</v>
      </c>
      <c r="U996" s="348">
        <f>SUM(U956:U995)</f>
        <v>825513</v>
      </c>
      <c r="V996" s="348">
        <f>SUM(V956:V995)</f>
        <v>839353</v>
      </c>
      <c r="W996" s="640"/>
    </row>
    <row r="997" spans="1:29" s="328" customFormat="1" ht="15" customHeight="1">
      <c r="L997" s="424"/>
      <c r="M997" s="435"/>
      <c r="N997" s="346"/>
      <c r="O997" s="346"/>
      <c r="P997" s="347"/>
      <c r="Q997" s="347"/>
      <c r="R997" s="346"/>
      <c r="S997" s="346"/>
      <c r="T997" s="346"/>
      <c r="U997" s="346"/>
      <c r="V997" s="346"/>
      <c r="W997" s="640"/>
    </row>
    <row r="998" spans="1:29" s="328" customFormat="1" ht="24" customHeight="1">
      <c r="K998" s="400" t="s">
        <v>660</v>
      </c>
      <c r="L998" s="422"/>
      <c r="M998" s="423"/>
      <c r="N998" s="348">
        <f t="shared" ref="N998:V998" si="300">N954-N996</f>
        <v>71495</v>
      </c>
      <c r="O998" s="348">
        <f t="shared" si="300"/>
        <v>57305</v>
      </c>
      <c r="P998" s="349">
        <f t="shared" si="300"/>
        <v>7276</v>
      </c>
      <c r="Q998" s="349">
        <f t="shared" si="300"/>
        <v>-40585</v>
      </c>
      <c r="R998" s="348">
        <f t="shared" si="300"/>
        <v>-50768</v>
      </c>
      <c r="S998" s="348">
        <f t="shared" si="300"/>
        <v>-73100</v>
      </c>
      <c r="T998" s="348">
        <f t="shared" si="300"/>
        <v>-95078</v>
      </c>
      <c r="U998" s="348">
        <f t="shared" si="300"/>
        <v>-117931</v>
      </c>
      <c r="V998" s="348">
        <f t="shared" si="300"/>
        <v>-131771</v>
      </c>
      <c r="W998" s="640"/>
    </row>
    <row r="999" spans="1:29" s="328" customFormat="1" ht="15" customHeight="1">
      <c r="L999" s="424"/>
      <c r="M999" s="435"/>
      <c r="N999" s="346"/>
      <c r="O999" s="346"/>
      <c r="P999" s="347"/>
      <c r="Q999" s="347"/>
      <c r="R999" s="346"/>
      <c r="S999" s="346"/>
      <c r="T999" s="346"/>
      <c r="U999" s="346"/>
      <c r="V999" s="346"/>
      <c r="W999" s="640"/>
    </row>
    <row r="1000" spans="1:29" s="328" customFormat="1" ht="24" customHeight="1">
      <c r="K1000" s="405" t="s">
        <v>662</v>
      </c>
      <c r="L1000" s="422"/>
      <c r="M1000" s="422"/>
      <c r="N1000" s="365">
        <v>388831</v>
      </c>
      <c r="O1000" s="365">
        <v>446136</v>
      </c>
      <c r="P1000" s="366">
        <v>407430</v>
      </c>
      <c r="Q1000" s="366">
        <f>O1000+Q998</f>
        <v>405551</v>
      </c>
      <c r="R1000" s="365">
        <f>Q1000+R998</f>
        <v>354783</v>
      </c>
      <c r="S1000" s="365">
        <f>R1000+S998</f>
        <v>281683</v>
      </c>
      <c r="T1000" s="365">
        <f>S1000+T998</f>
        <v>186605</v>
      </c>
      <c r="U1000" s="365">
        <f>T1000+U998</f>
        <v>68674</v>
      </c>
      <c r="V1000" s="365">
        <f>U1000+V998</f>
        <v>-63097</v>
      </c>
      <c r="W1000" s="640"/>
    </row>
    <row r="1001" spans="1:29" s="409" customFormat="1" ht="24" customHeight="1">
      <c r="L1001" s="440"/>
      <c r="M1001" s="438"/>
      <c r="N1001" s="367">
        <f t="shared" ref="N1001" si="301">N1000/N996</f>
        <v>0.37970145814047052</v>
      </c>
      <c r="O1001" s="367">
        <f t="shared" ref="O1001:V1001" si="302">O1000/O996</f>
        <v>0.60924319828917661</v>
      </c>
      <c r="P1001" s="368">
        <f t="shared" ref="P1001" si="303">P1000/P996</f>
        <v>0.52819489656620811</v>
      </c>
      <c r="Q1001" s="368">
        <f t="shared" si="302"/>
        <v>0.51297323893957547</v>
      </c>
      <c r="R1001" s="367">
        <f t="shared" ref="R1001:U1001" si="304">R1000/R996</f>
        <v>0.45284528874099661</v>
      </c>
      <c r="S1001" s="367">
        <f t="shared" si="304"/>
        <v>0.35353201935820716</v>
      </c>
      <c r="T1001" s="367">
        <f t="shared" si="304"/>
        <v>0.23019295722177127</v>
      </c>
      <c r="U1001" s="367">
        <f t="shared" si="304"/>
        <v>8.3189483387905466E-2</v>
      </c>
      <c r="V1001" s="367">
        <f t="shared" si="302"/>
        <v>-7.5173377589643445E-2</v>
      </c>
      <c r="W1001" s="522"/>
    </row>
    <row r="1002" spans="1:29" ht="15" customHeight="1">
      <c r="A1002" s="328"/>
      <c r="B1002" s="328"/>
      <c r="C1002" s="328"/>
      <c r="D1002" s="328"/>
      <c r="E1002" s="328"/>
      <c r="F1002" s="328"/>
      <c r="G1002" s="328"/>
      <c r="H1002" s="328"/>
      <c r="I1002" s="328"/>
      <c r="J1002" s="328"/>
      <c r="K1002" s="328"/>
      <c r="L1002" s="209"/>
      <c r="M1002" s="240"/>
      <c r="N1002" s="620"/>
      <c r="O1002" s="620"/>
      <c r="P1002" s="624"/>
      <c r="Q1002" s="624"/>
      <c r="R1002" s="625"/>
      <c r="S1002" s="625"/>
      <c r="T1002" s="625"/>
      <c r="U1002" s="625"/>
      <c r="V1002" s="625"/>
    </row>
    <row r="1003" spans="1:29" ht="24" customHeight="1">
      <c r="A1003" s="407" t="s">
        <v>639</v>
      </c>
      <c r="B1003" s="328"/>
      <c r="C1003" s="328"/>
      <c r="D1003" s="328"/>
      <c r="E1003" s="328"/>
      <c r="F1003" s="328"/>
      <c r="G1003" s="328"/>
      <c r="H1003" s="328"/>
      <c r="I1003" s="328"/>
      <c r="J1003" s="328"/>
      <c r="K1003" s="328"/>
      <c r="L1003" s="209"/>
      <c r="M1003" s="240"/>
      <c r="N1003" s="620"/>
      <c r="O1003" s="620"/>
      <c r="P1003" s="624"/>
      <c r="Q1003" s="624"/>
      <c r="R1003" s="625"/>
      <c r="S1003" s="625"/>
      <c r="T1003" s="625"/>
      <c r="U1003" s="625"/>
      <c r="V1003" s="625"/>
    </row>
    <row r="1004" spans="1:29" ht="24" customHeight="1">
      <c r="A1004" s="328"/>
      <c r="B1004" s="328"/>
      <c r="C1004" s="328"/>
      <c r="D1004" s="328"/>
      <c r="E1004" s="328"/>
      <c r="F1004" s="328"/>
      <c r="G1004" s="328"/>
      <c r="H1004" s="328"/>
      <c r="I1004" s="328"/>
      <c r="J1004" s="328"/>
      <c r="K1004" s="328"/>
      <c r="L1004" s="209"/>
      <c r="M1004" s="240"/>
      <c r="N1004" s="620"/>
      <c r="O1004" s="620"/>
      <c r="P1004" s="624"/>
      <c r="Q1004" s="624"/>
      <c r="R1004" s="625"/>
      <c r="S1004" s="625"/>
      <c r="T1004" s="625"/>
      <c r="U1004" s="625"/>
      <c r="V1004" s="625"/>
    </row>
    <row r="1005" spans="1:29" ht="24" customHeight="1">
      <c r="A1005" s="555" t="s">
        <v>1402</v>
      </c>
      <c r="B1005" s="328"/>
      <c r="C1005" s="328"/>
      <c r="D1005" s="555" t="s">
        <v>1403</v>
      </c>
      <c r="E1005" s="510"/>
      <c r="F1005" s="510"/>
      <c r="G1005" s="510"/>
      <c r="H1005" s="510"/>
      <c r="I1005" s="510"/>
      <c r="J1005" s="510"/>
      <c r="K1005" s="510"/>
      <c r="L1005" s="209"/>
      <c r="M1005" s="220"/>
      <c r="N1005" s="340">
        <v>718839</v>
      </c>
      <c r="O1005" s="340">
        <v>791640</v>
      </c>
      <c r="P1005" s="225">
        <v>771763</v>
      </c>
      <c r="Q1005" s="225">
        <v>746464</v>
      </c>
      <c r="R1005" s="221">
        <f>R1012+R1013+R1015+R1016+R1018+R1019</f>
        <v>731321</v>
      </c>
      <c r="S1005" s="221">
        <f>S1012+S1013+S1015+S1016+S1018+S1019</f>
        <v>749846</v>
      </c>
      <c r="T1005" s="221">
        <f>T1012+T1013+T1015+T1016+T1018+T1019</f>
        <v>752771</v>
      </c>
      <c r="U1005" s="221">
        <f t="shared" ref="U1005" si="305">U1012+U1013+U1015+U1016+U1018+U1019</f>
        <v>760396</v>
      </c>
      <c r="V1005" s="221">
        <f>V1012+V1013+V1015+V1016+V1018+V1019</f>
        <v>792101</v>
      </c>
      <c r="W1005" s="221"/>
      <c r="X1005" s="221"/>
      <c r="Y1005" s="221"/>
      <c r="Z1005" s="221"/>
      <c r="AA1005" s="221"/>
      <c r="AB1005" s="221"/>
      <c r="AC1005" s="221"/>
    </row>
    <row r="1006" spans="1:29" ht="24" customHeight="1">
      <c r="A1006" s="328" t="s">
        <v>823</v>
      </c>
      <c r="B1006" s="328"/>
      <c r="C1006" s="328"/>
      <c r="D1006" s="328" t="s">
        <v>6</v>
      </c>
      <c r="E1006" s="328"/>
      <c r="F1006" s="328"/>
      <c r="G1006" s="328"/>
      <c r="H1006" s="328"/>
      <c r="I1006" s="328"/>
      <c r="J1006" s="328"/>
      <c r="K1006" s="328"/>
      <c r="L1006" s="209"/>
      <c r="M1006" s="220"/>
      <c r="N1006" s="340">
        <v>140</v>
      </c>
      <c r="O1006" s="340">
        <v>200</v>
      </c>
      <c r="P1006" s="225">
        <v>200</v>
      </c>
      <c r="Q1006" s="225">
        <v>30</v>
      </c>
      <c r="R1006" s="221">
        <v>30</v>
      </c>
      <c r="S1006" s="221">
        <v>30</v>
      </c>
      <c r="T1006" s="221">
        <v>30</v>
      </c>
      <c r="U1006" s="221">
        <v>30</v>
      </c>
      <c r="V1006" s="221">
        <v>30</v>
      </c>
      <c r="W1006" s="524"/>
    </row>
    <row r="1007" spans="1:29" ht="24" customHeight="1">
      <c r="A1007" s="328" t="s">
        <v>865</v>
      </c>
      <c r="B1007" s="328"/>
      <c r="C1007" s="328"/>
      <c r="D1007" s="649" t="s">
        <v>740</v>
      </c>
      <c r="E1007" s="649"/>
      <c r="F1007" s="649"/>
      <c r="G1007" s="649"/>
      <c r="H1007" s="649"/>
      <c r="I1007" s="649"/>
      <c r="J1007" s="649"/>
      <c r="K1007" s="649"/>
      <c r="L1007" s="209"/>
      <c r="M1007" s="246"/>
      <c r="N1007" s="345">
        <v>0</v>
      </c>
      <c r="O1007" s="345">
        <v>5469</v>
      </c>
      <c r="P1007" s="235">
        <v>0</v>
      </c>
      <c r="Q1007" s="677">
        <v>21226</v>
      </c>
      <c r="R1007" s="234">
        <v>0</v>
      </c>
      <c r="S1007" s="234">
        <v>0</v>
      </c>
      <c r="T1007" s="234">
        <v>0</v>
      </c>
      <c r="U1007" s="234">
        <v>0</v>
      </c>
      <c r="V1007" s="234">
        <v>0</v>
      </c>
      <c r="W1007" s="524"/>
      <c r="X1007" s="213"/>
    </row>
    <row r="1008" spans="1:29" ht="15" customHeight="1">
      <c r="A1008" s="328"/>
      <c r="B1008" s="328"/>
      <c r="C1008" s="328"/>
      <c r="D1008" s="328"/>
      <c r="E1008" s="328"/>
      <c r="F1008" s="328"/>
      <c r="G1008" s="328"/>
      <c r="H1008" s="328"/>
      <c r="I1008" s="328"/>
      <c r="J1008" s="328"/>
      <c r="K1008" s="328"/>
      <c r="L1008" s="209"/>
      <c r="M1008" s="246"/>
      <c r="N1008" s="345"/>
      <c r="O1008" s="345"/>
      <c r="P1008" s="235"/>
      <c r="Q1008" s="235"/>
      <c r="R1008" s="234"/>
      <c r="S1008" s="234"/>
      <c r="T1008" s="234"/>
      <c r="U1008" s="234"/>
      <c r="V1008" s="234"/>
      <c r="W1008" s="524"/>
    </row>
    <row r="1009" spans="1:31" s="328" customFormat="1" ht="24" customHeight="1">
      <c r="K1009" s="400" t="s">
        <v>656</v>
      </c>
      <c r="L1009" s="422"/>
      <c r="M1009" s="423"/>
      <c r="N1009" s="348">
        <f t="shared" ref="N1009" si="306">SUM(N1005:N1008)</f>
        <v>718979</v>
      </c>
      <c r="O1009" s="348">
        <f t="shared" ref="O1009:V1009" si="307">SUM(O1005:O1008)</f>
        <v>797309</v>
      </c>
      <c r="P1009" s="349">
        <f t="shared" ref="P1009" si="308">SUM(P1005:P1008)</f>
        <v>771963</v>
      </c>
      <c r="Q1009" s="349">
        <f t="shared" si="307"/>
        <v>767720</v>
      </c>
      <c r="R1009" s="348">
        <f t="shared" ref="R1009:U1009" si="309">SUM(R1005:R1008)</f>
        <v>731351</v>
      </c>
      <c r="S1009" s="348">
        <f t="shared" si="309"/>
        <v>749876</v>
      </c>
      <c r="T1009" s="348">
        <f t="shared" si="309"/>
        <v>752801</v>
      </c>
      <c r="U1009" s="348">
        <f t="shared" si="309"/>
        <v>760426</v>
      </c>
      <c r="V1009" s="348">
        <f t="shared" si="307"/>
        <v>792131</v>
      </c>
      <c r="W1009" s="527"/>
    </row>
    <row r="1010" spans="1:31" ht="15" customHeight="1">
      <c r="A1010" s="328"/>
      <c r="B1010" s="328"/>
      <c r="C1010" s="328"/>
      <c r="D1010" s="328"/>
      <c r="E1010" s="328"/>
      <c r="F1010" s="328"/>
      <c r="G1010" s="328"/>
      <c r="H1010" s="328"/>
      <c r="I1010" s="328"/>
      <c r="J1010" s="328"/>
      <c r="K1010" s="328"/>
      <c r="L1010" s="209"/>
      <c r="N1010" s="346"/>
      <c r="O1010" s="346"/>
      <c r="P1010" s="238"/>
      <c r="Q1010" s="238"/>
      <c r="R1010" s="237"/>
      <c r="S1010" s="237"/>
      <c r="T1010" s="237"/>
      <c r="U1010" s="237"/>
      <c r="V1010" s="237"/>
      <c r="X1010" s="740" t="s">
        <v>1283</v>
      </c>
      <c r="Y1010" s="740"/>
      <c r="Z1010" s="740"/>
      <c r="AA1010" s="740"/>
      <c r="AB1010" s="740"/>
      <c r="AC1010" s="740"/>
    </row>
    <row r="1011" spans="1:31" ht="24" customHeight="1">
      <c r="A1011" s="400" t="s">
        <v>636</v>
      </c>
      <c r="B1011" s="400"/>
      <c r="C1011" s="400"/>
      <c r="D1011" s="400"/>
      <c r="E1011" s="400"/>
      <c r="F1011" s="400"/>
      <c r="G1011" s="400"/>
      <c r="H1011" s="400"/>
      <c r="I1011" s="400"/>
      <c r="J1011" s="400"/>
      <c r="K1011" s="400"/>
      <c r="L1011" s="240"/>
      <c r="N1011" s="346"/>
      <c r="O1011" s="346"/>
      <c r="P1011" s="238"/>
      <c r="Q1011" s="238"/>
      <c r="R1011" s="237"/>
      <c r="S1011" s="237"/>
      <c r="T1011" s="237"/>
      <c r="U1011" s="237"/>
      <c r="V1011" s="237"/>
      <c r="X1011" s="631" t="s">
        <v>1266</v>
      </c>
      <c r="Y1011" s="631" t="s">
        <v>1267</v>
      </c>
      <c r="Z1011" s="631" t="s">
        <v>1268</v>
      </c>
      <c r="AA1011" s="631" t="s">
        <v>1269</v>
      </c>
      <c r="AB1011" s="631" t="s">
        <v>1270</v>
      </c>
      <c r="AC1011" s="631" t="s">
        <v>1271</v>
      </c>
      <c r="AE1011" s="322"/>
    </row>
    <row r="1012" spans="1:31" ht="24" customHeight="1">
      <c r="A1012" s="396" t="s">
        <v>666</v>
      </c>
      <c r="B1012" s="397"/>
      <c r="C1012" s="397"/>
      <c r="D1012" s="396" t="s">
        <v>1246</v>
      </c>
      <c r="E1012" s="397"/>
      <c r="F1012" s="397"/>
      <c r="G1012" s="397"/>
      <c r="H1012" s="397"/>
      <c r="I1012" s="397"/>
      <c r="J1012" s="397"/>
      <c r="K1012" s="397"/>
      <c r="L1012" s="218"/>
      <c r="M1012" s="247"/>
      <c r="N1012" s="340">
        <v>175000</v>
      </c>
      <c r="O1012" s="340">
        <v>290000</v>
      </c>
      <c r="P1012" s="212">
        <v>335000</v>
      </c>
      <c r="Q1012" s="212">
        <v>335000</v>
      </c>
      <c r="R1012" s="211">
        <v>0</v>
      </c>
      <c r="S1012" s="211">
        <v>0</v>
      </c>
      <c r="T1012" s="211">
        <v>0</v>
      </c>
      <c r="U1012" s="211">
        <v>0</v>
      </c>
      <c r="V1012" s="211">
        <v>0</v>
      </c>
      <c r="X1012" s="559">
        <v>0</v>
      </c>
      <c r="Y1012" s="559">
        <v>0</v>
      </c>
      <c r="Z1012" s="559">
        <v>0</v>
      </c>
      <c r="AA1012" s="559">
        <v>0</v>
      </c>
      <c r="AB1012" s="559">
        <v>0</v>
      </c>
      <c r="AC1012" s="559">
        <v>0</v>
      </c>
      <c r="AE1012" s="304"/>
    </row>
    <row r="1013" spans="1:31" ht="24" customHeight="1">
      <c r="A1013" s="396" t="s">
        <v>667</v>
      </c>
      <c r="B1013" s="397"/>
      <c r="C1013" s="397"/>
      <c r="D1013" s="396" t="s">
        <v>338</v>
      </c>
      <c r="E1013" s="397"/>
      <c r="F1013" s="397"/>
      <c r="G1013" s="397"/>
      <c r="H1013" s="397"/>
      <c r="I1013" s="397"/>
      <c r="J1013" s="397"/>
      <c r="K1013" s="397"/>
      <c r="L1013" s="218"/>
      <c r="M1013" s="264"/>
      <c r="N1013" s="340">
        <v>316125</v>
      </c>
      <c r="O1013" s="340">
        <v>309125</v>
      </c>
      <c r="P1013" s="212">
        <v>13400</v>
      </c>
      <c r="Q1013" s="212">
        <v>13400</v>
      </c>
      <c r="R1013" s="211">
        <v>0</v>
      </c>
      <c r="S1013" s="211">
        <v>0</v>
      </c>
      <c r="T1013" s="211">
        <v>0</v>
      </c>
      <c r="U1013" s="211">
        <v>0</v>
      </c>
      <c r="V1013" s="211">
        <v>0</v>
      </c>
      <c r="X1013" s="559">
        <v>0</v>
      </c>
      <c r="Y1013" s="559">
        <v>0</v>
      </c>
      <c r="Z1013" s="559">
        <v>0</v>
      </c>
      <c r="AA1013" s="559">
        <v>0</v>
      </c>
      <c r="AB1013" s="559">
        <v>0</v>
      </c>
      <c r="AC1013" s="559">
        <v>0</v>
      </c>
      <c r="AE1013" s="304"/>
    </row>
    <row r="1014" spans="1:31" ht="24" customHeight="1">
      <c r="A1014" s="400" t="s">
        <v>637</v>
      </c>
      <c r="B1014" s="400"/>
      <c r="C1014" s="400"/>
      <c r="D1014" s="400"/>
      <c r="E1014" s="400"/>
      <c r="F1014" s="400"/>
      <c r="G1014" s="400"/>
      <c r="H1014" s="400"/>
      <c r="I1014" s="400"/>
      <c r="J1014" s="400"/>
      <c r="K1014" s="400"/>
      <c r="L1014" s="240"/>
      <c r="N1014" s="346"/>
      <c r="O1014" s="346"/>
      <c r="P1014" s="238"/>
      <c r="Q1014" s="238"/>
      <c r="R1014" s="237"/>
      <c r="S1014" s="237"/>
      <c r="T1014" s="237"/>
      <c r="U1014" s="237"/>
      <c r="V1014" s="237"/>
      <c r="X1014" s="630"/>
      <c r="Y1014" s="630"/>
      <c r="Z1014" s="630"/>
      <c r="AA1014" s="630"/>
      <c r="AB1014" s="630"/>
      <c r="AC1014" s="630"/>
      <c r="AE1014" s="304"/>
    </row>
    <row r="1015" spans="1:31" ht="24" customHeight="1">
      <c r="A1015" s="396" t="s">
        <v>668</v>
      </c>
      <c r="B1015" s="397"/>
      <c r="C1015" s="397"/>
      <c r="D1015" s="396" t="s">
        <v>1246</v>
      </c>
      <c r="E1015" s="397"/>
      <c r="F1015" s="397"/>
      <c r="G1015" s="397"/>
      <c r="H1015" s="397"/>
      <c r="I1015" s="397"/>
      <c r="J1015" s="397"/>
      <c r="K1015" s="397"/>
      <c r="L1015" s="218"/>
      <c r="M1015" s="247"/>
      <c r="N1015" s="340">
        <v>175000</v>
      </c>
      <c r="O1015" s="340">
        <v>150000</v>
      </c>
      <c r="P1015" s="212">
        <v>100000</v>
      </c>
      <c r="Q1015" s="212">
        <v>100000</v>
      </c>
      <c r="R1015" s="211">
        <v>50000</v>
      </c>
      <c r="S1015" s="211">
        <v>50000</v>
      </c>
      <c r="T1015" s="211">
        <v>50000</v>
      </c>
      <c r="U1015" s="211">
        <v>50000</v>
      </c>
      <c r="V1015" s="211">
        <v>50000</v>
      </c>
      <c r="X1015" s="630">
        <v>50000</v>
      </c>
      <c r="Y1015" s="630">
        <v>75000</v>
      </c>
      <c r="Z1015" s="630">
        <v>75000</v>
      </c>
      <c r="AA1015" s="630">
        <v>75000</v>
      </c>
      <c r="AB1015" s="630">
        <v>100000</v>
      </c>
      <c r="AC1015" s="630">
        <v>100000</v>
      </c>
      <c r="AE1015" s="304"/>
    </row>
    <row r="1016" spans="1:31" ht="24" customHeight="1">
      <c r="A1016" s="396" t="s">
        <v>669</v>
      </c>
      <c r="B1016" s="397"/>
      <c r="C1016" s="397"/>
      <c r="D1016" s="396" t="s">
        <v>338</v>
      </c>
      <c r="E1016" s="397"/>
      <c r="F1016" s="397"/>
      <c r="G1016" s="397"/>
      <c r="H1016" s="397"/>
      <c r="I1016" s="397"/>
      <c r="J1016" s="397"/>
      <c r="K1016" s="397"/>
      <c r="L1016" s="218"/>
      <c r="M1016" s="305"/>
      <c r="N1016" s="340">
        <v>54675</v>
      </c>
      <c r="O1016" s="340">
        <v>46363</v>
      </c>
      <c r="P1016" s="212">
        <v>39238</v>
      </c>
      <c r="Q1016" s="212">
        <v>39238</v>
      </c>
      <c r="R1016" s="211">
        <v>34488</v>
      </c>
      <c r="S1016" s="211">
        <v>32113</v>
      </c>
      <c r="T1016" s="211">
        <v>29738</v>
      </c>
      <c r="U1016" s="211">
        <v>27363</v>
      </c>
      <c r="V1016" s="211">
        <v>24988</v>
      </c>
      <c r="X1016" s="630">
        <v>22613</v>
      </c>
      <c r="Y1016" s="630">
        <v>20238</v>
      </c>
      <c r="Z1016" s="630">
        <v>16675</v>
      </c>
      <c r="AA1016" s="630">
        <v>13113</v>
      </c>
      <c r="AB1016" s="630">
        <v>9550</v>
      </c>
      <c r="AC1016" s="630">
        <v>4800</v>
      </c>
      <c r="AE1016" s="304"/>
    </row>
    <row r="1017" spans="1:31" ht="24" customHeight="1">
      <c r="A1017" s="400" t="s">
        <v>1251</v>
      </c>
      <c r="B1017" s="400"/>
      <c r="C1017" s="400"/>
      <c r="D1017" s="400"/>
      <c r="E1017" s="400"/>
      <c r="F1017" s="400"/>
      <c r="G1017" s="400"/>
      <c r="H1017" s="400"/>
      <c r="I1017" s="400"/>
      <c r="J1017" s="397"/>
      <c r="K1017" s="397"/>
      <c r="L1017" s="218"/>
      <c r="M1017" s="271"/>
      <c r="N1017" s="345"/>
      <c r="O1017" s="345"/>
      <c r="P1017" s="252"/>
      <c r="Q1017" s="252"/>
      <c r="R1017" s="233"/>
      <c r="S1017" s="233"/>
      <c r="T1017" s="233"/>
      <c r="U1017" s="233"/>
      <c r="V1017" s="233"/>
      <c r="X1017" s="630"/>
      <c r="Y1017" s="630"/>
      <c r="Z1017" s="630"/>
      <c r="AA1017" s="630"/>
      <c r="AB1017" s="630"/>
      <c r="AC1017" s="630"/>
      <c r="AE1017" s="304"/>
    </row>
    <row r="1018" spans="1:31" ht="24" customHeight="1">
      <c r="A1018" s="396" t="s">
        <v>1301</v>
      </c>
      <c r="B1018" s="397"/>
      <c r="C1018" s="397"/>
      <c r="D1018" s="396" t="s">
        <v>1246</v>
      </c>
      <c r="E1018" s="397"/>
      <c r="F1018" s="397"/>
      <c r="G1018" s="397"/>
      <c r="H1018" s="397"/>
      <c r="I1018" s="397"/>
      <c r="J1018" s="397"/>
      <c r="K1018" s="397"/>
      <c r="L1018" s="218"/>
      <c r="M1018" s="271"/>
      <c r="N1018" s="340">
        <v>0</v>
      </c>
      <c r="O1018" s="340">
        <v>0</v>
      </c>
      <c r="P1018" s="225">
        <v>170000</v>
      </c>
      <c r="Q1018" s="225">
        <v>155000</v>
      </c>
      <c r="R1018" s="221">
        <v>455000</v>
      </c>
      <c r="S1018" s="221">
        <v>485000</v>
      </c>
      <c r="T1018" s="221">
        <v>500000</v>
      </c>
      <c r="U1018" s="221">
        <v>520000</v>
      </c>
      <c r="V1018" s="221">
        <v>565000</v>
      </c>
      <c r="X1018" s="630">
        <v>585000</v>
      </c>
      <c r="Y1018" s="630">
        <v>610000</v>
      </c>
      <c r="Z1018" s="630">
        <v>645000</v>
      </c>
      <c r="AA1018" s="630">
        <v>675000</v>
      </c>
      <c r="AB1018" s="630">
        <v>700000</v>
      </c>
      <c r="AC1018" s="630">
        <v>730000</v>
      </c>
      <c r="AE1018" s="304"/>
    </row>
    <row r="1019" spans="1:31" ht="24" customHeight="1">
      <c r="A1019" s="396" t="s">
        <v>1302</v>
      </c>
      <c r="B1019" s="397"/>
      <c r="C1019" s="397"/>
      <c r="D1019" s="396" t="s">
        <v>338</v>
      </c>
      <c r="E1019" s="397"/>
      <c r="F1019" s="397"/>
      <c r="G1019" s="397"/>
      <c r="H1019" s="397"/>
      <c r="I1019" s="397"/>
      <c r="J1019" s="397"/>
      <c r="K1019" s="397"/>
      <c r="L1019" s="218"/>
      <c r="M1019" s="253"/>
      <c r="N1019" s="345">
        <v>0</v>
      </c>
      <c r="O1019" s="345">
        <v>0</v>
      </c>
      <c r="P1019" s="235">
        <v>112000</v>
      </c>
      <c r="Q1019" s="235">
        <v>125082</v>
      </c>
      <c r="R1019" s="234">
        <v>191833</v>
      </c>
      <c r="S1019" s="234">
        <v>182733</v>
      </c>
      <c r="T1019" s="234">
        <v>173033</v>
      </c>
      <c r="U1019" s="234">
        <v>163033</v>
      </c>
      <c r="V1019" s="234">
        <v>152113</v>
      </c>
      <c r="X1019" s="630">
        <v>139400</v>
      </c>
      <c r="Y1019" s="630">
        <v>121850</v>
      </c>
      <c r="Z1019" s="630">
        <v>103550</v>
      </c>
      <c r="AA1019" s="630">
        <v>84200</v>
      </c>
      <c r="AB1019" s="630">
        <v>57200</v>
      </c>
      <c r="AC1019" s="630">
        <v>29200</v>
      </c>
      <c r="AE1019" s="304"/>
    </row>
    <row r="1020" spans="1:31" ht="15" customHeight="1">
      <c r="A1020" s="396"/>
      <c r="B1020" s="397"/>
      <c r="C1020" s="397"/>
      <c r="D1020" s="396"/>
      <c r="E1020" s="397"/>
      <c r="F1020" s="397"/>
      <c r="G1020" s="397"/>
      <c r="H1020" s="397"/>
      <c r="I1020" s="397"/>
      <c r="J1020" s="397"/>
      <c r="K1020" s="397"/>
      <c r="L1020" s="218"/>
      <c r="M1020" s="253"/>
      <c r="N1020" s="340"/>
      <c r="O1020" s="340"/>
      <c r="P1020" s="212"/>
      <c r="Q1020" s="212"/>
      <c r="R1020" s="211"/>
      <c r="S1020" s="211"/>
      <c r="T1020" s="211"/>
      <c r="U1020" s="211"/>
      <c r="V1020" s="211"/>
      <c r="X1020" s="304"/>
      <c r="Y1020" s="304"/>
      <c r="Z1020" s="304"/>
      <c r="AA1020" s="304"/>
      <c r="AB1020" s="304"/>
      <c r="AC1020" s="304"/>
      <c r="AD1020" s="304"/>
      <c r="AE1020" s="304"/>
    </row>
    <row r="1021" spans="1:31" s="328" customFormat="1" ht="24" customHeight="1">
      <c r="A1021" s="396"/>
      <c r="B1021" s="397"/>
      <c r="C1021" s="397"/>
      <c r="D1021" s="396"/>
      <c r="E1021" s="397"/>
      <c r="F1021" s="397"/>
      <c r="G1021" s="397"/>
      <c r="H1021" s="397"/>
      <c r="I1021" s="397"/>
      <c r="J1021" s="397"/>
      <c r="K1021" s="400" t="s">
        <v>659</v>
      </c>
      <c r="L1021" s="422"/>
      <c r="M1021" s="423"/>
      <c r="N1021" s="348">
        <f t="shared" ref="N1021" si="310">SUM(N1012:N1019)</f>
        <v>720800</v>
      </c>
      <c r="O1021" s="348">
        <f t="shared" ref="O1021:V1021" si="311">SUM(O1012:O1019)</f>
        <v>795488</v>
      </c>
      <c r="P1021" s="349">
        <f t="shared" ref="P1021" si="312">SUM(P1012:P1019)</f>
        <v>769638</v>
      </c>
      <c r="Q1021" s="349">
        <f t="shared" si="311"/>
        <v>767720</v>
      </c>
      <c r="R1021" s="348">
        <f>SUM(R1012:R1019)</f>
        <v>731321</v>
      </c>
      <c r="S1021" s="348">
        <f t="shared" ref="S1021:U1021" si="313">SUM(S1012:S1019)</f>
        <v>749846</v>
      </c>
      <c r="T1021" s="348">
        <f t="shared" si="313"/>
        <v>752771</v>
      </c>
      <c r="U1021" s="348">
        <f t="shared" si="313"/>
        <v>760396</v>
      </c>
      <c r="V1021" s="348">
        <f t="shared" si="311"/>
        <v>792101</v>
      </c>
      <c r="W1021" s="640"/>
    </row>
    <row r="1022" spans="1:31" s="328" customFormat="1" ht="15" customHeight="1">
      <c r="A1022" s="396"/>
      <c r="B1022" s="397"/>
      <c r="C1022" s="397"/>
      <c r="D1022" s="396"/>
      <c r="E1022" s="397"/>
      <c r="F1022" s="397"/>
      <c r="G1022" s="397"/>
      <c r="H1022" s="397"/>
      <c r="I1022" s="397"/>
      <c r="J1022" s="397"/>
      <c r="K1022" s="400"/>
      <c r="L1022" s="422"/>
      <c r="M1022" s="434"/>
      <c r="N1022" s="340"/>
      <c r="O1022" s="340"/>
      <c r="P1022" s="338"/>
      <c r="Q1022" s="338"/>
      <c r="R1022" s="337"/>
      <c r="S1022" s="337"/>
      <c r="T1022" s="337"/>
      <c r="U1022" s="337"/>
      <c r="V1022" s="337"/>
      <c r="W1022" s="640"/>
    </row>
    <row r="1023" spans="1:31" s="328" customFormat="1" ht="24" customHeight="1">
      <c r="K1023" s="400" t="s">
        <v>660</v>
      </c>
      <c r="L1023" s="422"/>
      <c r="M1023" s="423"/>
      <c r="N1023" s="348">
        <f t="shared" ref="N1023" si="314">N1009-N1021</f>
        <v>-1821</v>
      </c>
      <c r="O1023" s="348">
        <f t="shared" ref="O1023:V1023" si="315">O1009-O1021</f>
        <v>1821</v>
      </c>
      <c r="P1023" s="349">
        <f t="shared" ref="P1023" si="316">P1009-P1021</f>
        <v>2325</v>
      </c>
      <c r="Q1023" s="349">
        <f t="shared" si="315"/>
        <v>0</v>
      </c>
      <c r="R1023" s="348">
        <f t="shared" ref="R1023:U1023" si="317">R1009-R1021</f>
        <v>30</v>
      </c>
      <c r="S1023" s="348">
        <f t="shared" si="317"/>
        <v>30</v>
      </c>
      <c r="T1023" s="348">
        <f t="shared" si="317"/>
        <v>30</v>
      </c>
      <c r="U1023" s="348">
        <f t="shared" si="317"/>
        <v>30</v>
      </c>
      <c r="V1023" s="348">
        <f t="shared" si="315"/>
        <v>30</v>
      </c>
      <c r="W1023" s="528"/>
    </row>
    <row r="1024" spans="1:31" s="328" customFormat="1" ht="15" customHeight="1">
      <c r="L1024" s="424"/>
      <c r="M1024" s="436"/>
      <c r="N1024" s="348"/>
      <c r="O1024" s="348"/>
      <c r="P1024" s="349"/>
      <c r="Q1024" s="349"/>
      <c r="R1024" s="348"/>
      <c r="S1024" s="348"/>
      <c r="T1024" s="348"/>
      <c r="U1024" s="348"/>
      <c r="V1024" s="348"/>
      <c r="W1024" s="640"/>
    </row>
    <row r="1025" spans="1:26" s="328" customFormat="1" ht="24" customHeight="1">
      <c r="K1025" s="405" t="s">
        <v>662</v>
      </c>
      <c r="L1025" s="422"/>
      <c r="M1025" s="436"/>
      <c r="N1025" s="348">
        <v>-1821</v>
      </c>
      <c r="O1025" s="348">
        <v>0</v>
      </c>
      <c r="P1025" s="349">
        <v>2325</v>
      </c>
      <c r="Q1025" s="349">
        <f>O1025+Q1023</f>
        <v>0</v>
      </c>
      <c r="R1025" s="348">
        <f>Q1025+R1023</f>
        <v>30</v>
      </c>
      <c r="S1025" s="348">
        <f>R1025+S1023</f>
        <v>60</v>
      </c>
      <c r="T1025" s="348">
        <f>S1025+T1023</f>
        <v>90</v>
      </c>
      <c r="U1025" s="348">
        <f>T1025+U1023</f>
        <v>120</v>
      </c>
      <c r="V1025" s="348">
        <f>U1025+V1023</f>
        <v>150</v>
      </c>
      <c r="W1025" s="640"/>
    </row>
    <row r="1026" spans="1:26" ht="15" customHeight="1">
      <c r="A1026" s="328"/>
      <c r="B1026" s="328"/>
      <c r="C1026" s="328"/>
      <c r="D1026" s="328"/>
      <c r="E1026" s="328"/>
      <c r="F1026" s="328"/>
      <c r="G1026" s="328"/>
      <c r="H1026" s="328"/>
      <c r="I1026" s="328"/>
      <c r="J1026" s="328"/>
      <c r="K1026" s="328"/>
      <c r="L1026" s="209"/>
      <c r="N1026" s="394"/>
      <c r="O1026" s="394"/>
      <c r="P1026" s="618"/>
      <c r="Q1026" s="618"/>
      <c r="R1026" s="619"/>
      <c r="S1026" s="619"/>
      <c r="T1026" s="619"/>
      <c r="U1026" s="619"/>
      <c r="V1026" s="619"/>
    </row>
    <row r="1027" spans="1:26" ht="24" customHeight="1">
      <c r="A1027" s="407" t="s">
        <v>1094</v>
      </c>
      <c r="B1027" s="328"/>
      <c r="C1027" s="328"/>
      <c r="D1027" s="328"/>
      <c r="E1027" s="328"/>
      <c r="F1027" s="328"/>
      <c r="G1027" s="328"/>
      <c r="H1027" s="328"/>
      <c r="I1027" s="328"/>
      <c r="J1027" s="328"/>
      <c r="K1027" s="328"/>
      <c r="L1027" s="209"/>
      <c r="N1027" s="394"/>
      <c r="O1027" s="394"/>
      <c r="P1027" s="618"/>
      <c r="Q1027" s="618"/>
      <c r="R1027" s="619"/>
      <c r="S1027" s="619"/>
      <c r="T1027" s="619"/>
      <c r="U1027" s="619"/>
      <c r="V1027" s="619"/>
    </row>
    <row r="1028" spans="1:26" ht="15" customHeight="1">
      <c r="A1028" s="328"/>
      <c r="B1028" s="328"/>
      <c r="C1028" s="328"/>
      <c r="D1028" s="328"/>
      <c r="E1028" s="328"/>
      <c r="F1028" s="328"/>
      <c r="G1028" s="328"/>
      <c r="H1028" s="328"/>
      <c r="I1028" s="328"/>
      <c r="J1028" s="328"/>
      <c r="K1028" s="328"/>
      <c r="L1028" s="209"/>
      <c r="N1028" s="394"/>
      <c r="O1028" s="394"/>
      <c r="P1028" s="618"/>
      <c r="Q1028" s="618"/>
      <c r="R1028" s="619"/>
      <c r="S1028" s="619"/>
      <c r="T1028" s="619"/>
      <c r="U1028" s="619"/>
      <c r="V1028" s="619"/>
    </row>
    <row r="1029" spans="1:26" ht="24" customHeight="1">
      <c r="A1029" s="396" t="s">
        <v>873</v>
      </c>
      <c r="B1029" s="397"/>
      <c r="C1029" s="397"/>
      <c r="D1029" s="396" t="s">
        <v>872</v>
      </c>
      <c r="E1029" s="328"/>
      <c r="F1029" s="328"/>
      <c r="G1029" s="328"/>
      <c r="H1029" s="328"/>
      <c r="I1029" s="328"/>
      <c r="J1029" s="328"/>
      <c r="K1029" s="328"/>
      <c r="L1029" s="209"/>
      <c r="M1029" s="220"/>
      <c r="N1029" s="339">
        <v>17669</v>
      </c>
      <c r="O1029" s="339">
        <v>35200</v>
      </c>
      <c r="P1029" s="216">
        <v>20000</v>
      </c>
      <c r="Q1029" s="216">
        <v>55000</v>
      </c>
      <c r="R1029" s="215">
        <v>20000</v>
      </c>
      <c r="S1029" s="215">
        <v>20000</v>
      </c>
      <c r="T1029" s="215">
        <v>20000</v>
      </c>
      <c r="U1029" s="215">
        <v>20000</v>
      </c>
      <c r="V1029" s="215">
        <v>20000</v>
      </c>
    </row>
    <row r="1030" spans="1:26" ht="24" customHeight="1">
      <c r="A1030" s="396" t="s">
        <v>824</v>
      </c>
      <c r="B1030" s="397"/>
      <c r="C1030" s="397"/>
      <c r="D1030" s="736" t="s">
        <v>6</v>
      </c>
      <c r="E1030" s="736"/>
      <c r="F1030" s="736"/>
      <c r="G1030" s="736"/>
      <c r="H1030" s="736"/>
      <c r="I1030" s="736"/>
      <c r="J1030" s="736"/>
      <c r="K1030" s="736"/>
      <c r="L1030" s="209"/>
      <c r="M1030" s="220"/>
      <c r="N1030" s="339">
        <v>71</v>
      </c>
      <c r="O1030" s="339">
        <v>8</v>
      </c>
      <c r="P1030" s="216">
        <v>20</v>
      </c>
      <c r="Q1030" s="216">
        <v>15</v>
      </c>
      <c r="R1030" s="215">
        <v>20</v>
      </c>
      <c r="S1030" s="215">
        <v>20</v>
      </c>
      <c r="T1030" s="215">
        <v>20</v>
      </c>
      <c r="U1030" s="215">
        <v>20</v>
      </c>
      <c r="V1030" s="215">
        <v>20</v>
      </c>
    </row>
    <row r="1031" spans="1:26" ht="24" customHeight="1">
      <c r="A1031" s="396" t="s">
        <v>739</v>
      </c>
      <c r="B1031" s="397"/>
      <c r="C1031" s="397"/>
      <c r="D1031" s="396" t="s">
        <v>740</v>
      </c>
      <c r="E1031" s="328"/>
      <c r="F1031" s="328"/>
      <c r="G1031" s="328"/>
      <c r="H1031" s="328"/>
      <c r="I1031" s="328"/>
      <c r="J1031" s="328"/>
      <c r="K1031" s="328"/>
      <c r="L1031" s="209"/>
      <c r="M1031" s="246"/>
      <c r="N1031" s="354">
        <v>332519</v>
      </c>
      <c r="O1031" s="354">
        <v>0</v>
      </c>
      <c r="P1031" s="256">
        <v>0</v>
      </c>
      <c r="Q1031" s="256">
        <v>0</v>
      </c>
      <c r="R1031" s="255">
        <v>0</v>
      </c>
      <c r="S1031" s="255">
        <v>0</v>
      </c>
      <c r="T1031" s="255">
        <v>0</v>
      </c>
      <c r="U1031" s="255">
        <v>0</v>
      </c>
      <c r="V1031" s="255">
        <v>0</v>
      </c>
    </row>
    <row r="1032" spans="1:26" ht="15" customHeight="1">
      <c r="A1032" s="328"/>
      <c r="B1032" s="328"/>
      <c r="C1032" s="328"/>
      <c r="D1032" s="328"/>
      <c r="E1032" s="328"/>
      <c r="F1032" s="328"/>
      <c r="G1032" s="328"/>
      <c r="H1032" s="328"/>
      <c r="I1032" s="328"/>
      <c r="J1032" s="328"/>
      <c r="K1032" s="328"/>
      <c r="L1032" s="209"/>
      <c r="N1032" s="346"/>
      <c r="O1032" s="346"/>
      <c r="P1032" s="238"/>
      <c r="Q1032" s="238"/>
      <c r="R1032" s="237"/>
      <c r="S1032" s="237"/>
      <c r="T1032" s="237"/>
      <c r="U1032" s="237"/>
      <c r="V1032" s="237"/>
    </row>
    <row r="1033" spans="1:26" s="328" customFormat="1" ht="24" customHeight="1">
      <c r="K1033" s="400" t="s">
        <v>656</v>
      </c>
      <c r="L1033" s="422"/>
      <c r="M1033" s="423"/>
      <c r="N1033" s="348">
        <f t="shared" ref="N1033" si="318">SUM(N1029:N1032)</f>
        <v>350259</v>
      </c>
      <c r="O1033" s="348">
        <f t="shared" ref="O1033" si="319">SUM(O1029:O1032)</f>
        <v>35208</v>
      </c>
      <c r="P1033" s="349">
        <f t="shared" ref="P1033" si="320">SUM(P1029:P1032)</f>
        <v>20020</v>
      </c>
      <c r="Q1033" s="349">
        <f>SUM(Q1029:Q1032)</f>
        <v>55015</v>
      </c>
      <c r="R1033" s="348">
        <f t="shared" ref="R1033:T1033" si="321">SUM(R1029:R1032)</f>
        <v>20020</v>
      </c>
      <c r="S1033" s="348">
        <f t="shared" si="321"/>
        <v>20020</v>
      </c>
      <c r="T1033" s="348">
        <f t="shared" si="321"/>
        <v>20020</v>
      </c>
      <c r="U1033" s="348">
        <f>SUM(U1029:U1032)</f>
        <v>20020</v>
      </c>
      <c r="V1033" s="348">
        <f>SUM(V1029:V1032)</f>
        <v>20020</v>
      </c>
      <c r="W1033" s="640"/>
    </row>
    <row r="1034" spans="1:26" ht="15" customHeight="1">
      <c r="A1034" s="328"/>
      <c r="B1034" s="328"/>
      <c r="C1034" s="328"/>
      <c r="D1034" s="328"/>
      <c r="E1034" s="328"/>
      <c r="F1034" s="328"/>
      <c r="G1034" s="328"/>
      <c r="H1034" s="328"/>
      <c r="I1034" s="328"/>
      <c r="J1034" s="328"/>
      <c r="K1034" s="400"/>
      <c r="L1034" s="240"/>
      <c r="M1034" s="241"/>
      <c r="N1034" s="348"/>
      <c r="O1034" s="348"/>
      <c r="P1034" s="243"/>
      <c r="Q1034" s="243"/>
      <c r="R1034" s="242"/>
      <c r="S1034" s="242"/>
      <c r="T1034" s="242"/>
      <c r="U1034" s="242"/>
      <c r="V1034" s="242"/>
    </row>
    <row r="1035" spans="1:26" ht="24" customHeight="1">
      <c r="A1035" s="396" t="s">
        <v>1180</v>
      </c>
      <c r="B1035" s="328"/>
      <c r="C1035" s="328"/>
      <c r="D1035" s="396" t="s">
        <v>1385</v>
      </c>
      <c r="E1035" s="543"/>
      <c r="F1035" s="543"/>
      <c r="G1035" s="543"/>
      <c r="H1035" s="543"/>
      <c r="I1035" s="543"/>
      <c r="J1035" s="543"/>
      <c r="K1035" s="400"/>
      <c r="L1035" s="240"/>
      <c r="M1035" s="241"/>
      <c r="N1035" s="360">
        <v>0</v>
      </c>
      <c r="O1035" s="360">
        <v>0</v>
      </c>
      <c r="P1035" s="269">
        <v>3500</v>
      </c>
      <c r="Q1035" s="269">
        <v>3500</v>
      </c>
      <c r="R1035" s="268">
        <v>3500</v>
      </c>
      <c r="S1035" s="268">
        <v>3500</v>
      </c>
      <c r="T1035" s="268">
        <v>3500</v>
      </c>
      <c r="U1035" s="268">
        <v>3500</v>
      </c>
      <c r="V1035" s="268">
        <v>3500</v>
      </c>
      <c r="X1035" s="213"/>
    </row>
    <row r="1036" spans="1:26" ht="24" customHeight="1">
      <c r="A1036" s="396" t="s">
        <v>1074</v>
      </c>
      <c r="B1036" s="397"/>
      <c r="C1036" s="397"/>
      <c r="D1036" s="396" t="s">
        <v>274</v>
      </c>
      <c r="E1036" s="397"/>
      <c r="F1036" s="397"/>
      <c r="G1036" s="397"/>
      <c r="H1036" s="397"/>
      <c r="I1036" s="397"/>
      <c r="J1036" s="328"/>
      <c r="K1036" s="400"/>
      <c r="L1036" s="240"/>
      <c r="M1036" s="317"/>
      <c r="N1036" s="360">
        <v>0</v>
      </c>
      <c r="O1036" s="360">
        <v>3153</v>
      </c>
      <c r="P1036" s="269">
        <v>0</v>
      </c>
      <c r="Q1036" s="269">
        <v>0</v>
      </c>
      <c r="R1036" s="268">
        <v>0</v>
      </c>
      <c r="S1036" s="268">
        <v>0</v>
      </c>
      <c r="T1036" s="268">
        <v>0</v>
      </c>
      <c r="U1036" s="268">
        <v>0</v>
      </c>
      <c r="V1036" s="268">
        <v>0</v>
      </c>
    </row>
    <row r="1037" spans="1:26" ht="24" customHeight="1">
      <c r="A1037" s="396" t="s">
        <v>1071</v>
      </c>
      <c r="B1037" s="328"/>
      <c r="C1037" s="328"/>
      <c r="D1037" s="396" t="s">
        <v>629</v>
      </c>
      <c r="E1037" s="328"/>
      <c r="F1037" s="328"/>
      <c r="G1037" s="328"/>
      <c r="H1037" s="328"/>
      <c r="I1037" s="328"/>
      <c r="J1037" s="328"/>
      <c r="K1037" s="328"/>
      <c r="L1037" s="209"/>
      <c r="M1037" s="229"/>
      <c r="N1037" s="360">
        <v>0</v>
      </c>
      <c r="O1037" s="360">
        <v>0</v>
      </c>
      <c r="P1037" s="269">
        <v>0</v>
      </c>
      <c r="Q1037" s="269">
        <v>0</v>
      </c>
      <c r="R1037" s="268">
        <v>0</v>
      </c>
      <c r="S1037" s="268">
        <v>0</v>
      </c>
      <c r="T1037" s="268">
        <v>0</v>
      </c>
      <c r="U1037" s="268">
        <v>0</v>
      </c>
      <c r="V1037" s="268">
        <v>0</v>
      </c>
    </row>
    <row r="1038" spans="1:26" ht="24" customHeight="1">
      <c r="A1038" s="396" t="s">
        <v>1072</v>
      </c>
      <c r="B1038" s="328"/>
      <c r="C1038" s="328"/>
      <c r="D1038" s="396" t="s">
        <v>1329</v>
      </c>
      <c r="E1038" s="328"/>
      <c r="F1038" s="328"/>
      <c r="G1038" s="328"/>
      <c r="H1038" s="328"/>
      <c r="I1038" s="328"/>
      <c r="J1038" s="328"/>
      <c r="K1038" s="328"/>
      <c r="L1038" s="209"/>
      <c r="M1038" s="229"/>
      <c r="N1038" s="360">
        <v>0</v>
      </c>
      <c r="O1038" s="360">
        <v>0</v>
      </c>
      <c r="P1038" s="269">
        <v>0</v>
      </c>
      <c r="Q1038" s="269">
        <v>0</v>
      </c>
      <c r="R1038" s="268">
        <v>0</v>
      </c>
      <c r="S1038" s="268">
        <v>0</v>
      </c>
      <c r="T1038" s="268">
        <v>0</v>
      </c>
      <c r="U1038" s="268">
        <v>0</v>
      </c>
      <c r="V1038" s="268">
        <v>0</v>
      </c>
    </row>
    <row r="1039" spans="1:26" ht="24" customHeight="1">
      <c r="A1039" s="396" t="s">
        <v>1073</v>
      </c>
      <c r="B1039" s="328"/>
      <c r="C1039" s="328"/>
      <c r="D1039" s="396" t="s">
        <v>632</v>
      </c>
      <c r="E1039" s="328"/>
      <c r="F1039" s="328"/>
      <c r="G1039" s="328"/>
      <c r="H1039" s="328"/>
      <c r="I1039" s="328"/>
      <c r="J1039" s="328"/>
      <c r="K1039" s="328"/>
      <c r="L1039" s="209"/>
      <c r="M1039" s="229"/>
      <c r="N1039" s="360">
        <v>0</v>
      </c>
      <c r="O1039" s="360">
        <v>1768</v>
      </c>
      <c r="P1039" s="269">
        <v>0</v>
      </c>
      <c r="Q1039" s="269">
        <v>0</v>
      </c>
      <c r="R1039" s="268">
        <v>0</v>
      </c>
      <c r="S1039" s="268">
        <v>0</v>
      </c>
      <c r="T1039" s="268">
        <v>0</v>
      </c>
      <c r="U1039" s="268">
        <v>0</v>
      </c>
      <c r="V1039" s="268">
        <v>0</v>
      </c>
    </row>
    <row r="1040" spans="1:26" ht="24" customHeight="1">
      <c r="A1040" s="396" t="s">
        <v>1076</v>
      </c>
      <c r="B1040" s="328"/>
      <c r="C1040" s="328"/>
      <c r="D1040" s="396" t="s">
        <v>1075</v>
      </c>
      <c r="E1040" s="328"/>
      <c r="F1040" s="328"/>
      <c r="G1040" s="328"/>
      <c r="H1040" s="328"/>
      <c r="I1040" s="328"/>
      <c r="J1040" s="328"/>
      <c r="K1040" s="328"/>
      <c r="L1040" s="209"/>
      <c r="M1040" s="229"/>
      <c r="N1040" s="360">
        <v>0</v>
      </c>
      <c r="O1040" s="360">
        <v>21391</v>
      </c>
      <c r="P1040" s="269">
        <v>35350</v>
      </c>
      <c r="Q1040" s="269">
        <f>35350-3141</f>
        <v>32209</v>
      </c>
      <c r="R1040" s="268">
        <f>16520+34995</f>
        <v>51515</v>
      </c>
      <c r="S1040" s="268">
        <v>16520</v>
      </c>
      <c r="T1040" s="268">
        <v>16520</v>
      </c>
      <c r="U1040" s="268">
        <v>16520</v>
      </c>
      <c r="V1040" s="268">
        <v>16520</v>
      </c>
      <c r="X1040" s="656"/>
      <c r="Y1040" s="656"/>
      <c r="Z1040" s="656"/>
    </row>
    <row r="1041" spans="1:23" ht="24" customHeight="1">
      <c r="A1041" s="396" t="s">
        <v>866</v>
      </c>
      <c r="B1041" s="397"/>
      <c r="C1041" s="397"/>
      <c r="D1041" s="396" t="s">
        <v>867</v>
      </c>
      <c r="E1041" s="397"/>
      <c r="F1041" s="397"/>
      <c r="G1041" s="328"/>
      <c r="H1041" s="328"/>
      <c r="I1041" s="328"/>
      <c r="J1041" s="328"/>
      <c r="K1041" s="328"/>
      <c r="L1041" s="209"/>
      <c r="M1041" s="229"/>
      <c r="N1041" s="341">
        <v>10965</v>
      </c>
      <c r="O1041" s="341">
        <v>0</v>
      </c>
      <c r="P1041" s="224">
        <v>0</v>
      </c>
      <c r="Q1041" s="224">
        <v>0</v>
      </c>
      <c r="R1041" s="223">
        <v>0</v>
      </c>
      <c r="S1041" s="223">
        <v>0</v>
      </c>
      <c r="T1041" s="223">
        <v>0</v>
      </c>
      <c r="U1041" s="223">
        <v>0</v>
      </c>
      <c r="V1041" s="223">
        <v>0</v>
      </c>
    </row>
    <row r="1042" spans="1:23" ht="24" customHeight="1">
      <c r="A1042" s="396" t="s">
        <v>741</v>
      </c>
      <c r="B1042" s="328"/>
      <c r="C1042" s="328"/>
      <c r="D1042" s="328" t="s">
        <v>1105</v>
      </c>
      <c r="E1042" s="328"/>
      <c r="F1042" s="328"/>
      <c r="G1042" s="328"/>
      <c r="H1042" s="328"/>
      <c r="I1042" s="328"/>
      <c r="J1042" s="328"/>
      <c r="K1042" s="328"/>
      <c r="L1042" s="209"/>
      <c r="M1042" s="232"/>
      <c r="N1042" s="345">
        <v>332500</v>
      </c>
      <c r="O1042" s="345">
        <v>0</v>
      </c>
      <c r="P1042" s="314">
        <v>0</v>
      </c>
      <c r="Q1042" s="314">
        <v>0</v>
      </c>
      <c r="R1042" s="313">
        <v>0</v>
      </c>
      <c r="S1042" s="313">
        <v>0</v>
      </c>
      <c r="T1042" s="313">
        <v>0</v>
      </c>
      <c r="U1042" s="313">
        <v>0</v>
      </c>
      <c r="V1042" s="313">
        <v>0</v>
      </c>
    </row>
    <row r="1043" spans="1:23" ht="15" customHeight="1">
      <c r="A1043" s="396"/>
      <c r="B1043" s="328"/>
      <c r="C1043" s="328"/>
      <c r="D1043" s="328"/>
      <c r="E1043" s="328"/>
      <c r="F1043" s="328"/>
      <c r="G1043" s="328"/>
      <c r="H1043" s="328"/>
      <c r="I1043" s="328"/>
      <c r="J1043" s="328"/>
      <c r="K1043" s="328"/>
      <c r="L1043" s="209"/>
      <c r="N1043" s="346"/>
      <c r="O1043" s="346"/>
      <c r="P1043" s="238"/>
      <c r="Q1043" s="238"/>
      <c r="R1043" s="237"/>
      <c r="S1043" s="237"/>
      <c r="T1043" s="237"/>
      <c r="U1043" s="237"/>
      <c r="V1043" s="237"/>
    </row>
    <row r="1044" spans="1:23" s="328" customFormat="1" ht="24" customHeight="1">
      <c r="A1044" s="396"/>
      <c r="K1044" s="400" t="s">
        <v>659</v>
      </c>
      <c r="L1044" s="422"/>
      <c r="M1044" s="441"/>
      <c r="N1044" s="348">
        <f t="shared" ref="N1044" si="322">SUM(N1035:N1043)</f>
        <v>343465</v>
      </c>
      <c r="O1044" s="348">
        <f t="shared" ref="O1044:V1044" si="323">SUM(O1035:O1043)</f>
        <v>26312</v>
      </c>
      <c r="P1044" s="349">
        <f t="shared" ref="P1044" si="324">SUM(P1035:P1043)</f>
        <v>38850</v>
      </c>
      <c r="Q1044" s="349">
        <f t="shared" si="323"/>
        <v>35709</v>
      </c>
      <c r="R1044" s="348">
        <f t="shared" ref="R1044:U1044" si="325">SUM(R1035:R1043)</f>
        <v>55015</v>
      </c>
      <c r="S1044" s="348">
        <f t="shared" si="325"/>
        <v>20020</v>
      </c>
      <c r="T1044" s="348">
        <f t="shared" si="325"/>
        <v>20020</v>
      </c>
      <c r="U1044" s="348">
        <f t="shared" si="325"/>
        <v>20020</v>
      </c>
      <c r="V1044" s="348">
        <f t="shared" si="323"/>
        <v>20020</v>
      </c>
      <c r="W1044" s="640"/>
    </row>
    <row r="1045" spans="1:23" s="328" customFormat="1" ht="15" customHeight="1">
      <c r="A1045" s="396"/>
      <c r="L1045" s="424"/>
      <c r="M1045" s="435"/>
      <c r="N1045" s="346"/>
      <c r="O1045" s="346"/>
      <c r="P1045" s="347"/>
      <c r="Q1045" s="347"/>
      <c r="R1045" s="346"/>
      <c r="S1045" s="346"/>
      <c r="T1045" s="346"/>
      <c r="U1045" s="346"/>
      <c r="V1045" s="346"/>
      <c r="W1045" s="640"/>
    </row>
    <row r="1046" spans="1:23" s="328" customFormat="1" ht="24" customHeight="1">
      <c r="K1046" s="400" t="s">
        <v>660</v>
      </c>
      <c r="L1046" s="422"/>
      <c r="M1046" s="423"/>
      <c r="N1046" s="348">
        <f t="shared" ref="N1046" si="326">N1033-N1044</f>
        <v>6794</v>
      </c>
      <c r="O1046" s="348">
        <f t="shared" ref="O1046:V1046" si="327">O1033-O1044</f>
        <v>8896</v>
      </c>
      <c r="P1046" s="349">
        <f t="shared" ref="P1046" si="328">P1033-P1044</f>
        <v>-18830</v>
      </c>
      <c r="Q1046" s="349">
        <f t="shared" si="327"/>
        <v>19306</v>
      </c>
      <c r="R1046" s="348">
        <f t="shared" ref="R1046:U1046" si="329">R1033-R1044</f>
        <v>-34995</v>
      </c>
      <c r="S1046" s="348">
        <f t="shared" si="329"/>
        <v>0</v>
      </c>
      <c r="T1046" s="348">
        <f t="shared" si="329"/>
        <v>0</v>
      </c>
      <c r="U1046" s="348">
        <f t="shared" si="329"/>
        <v>0</v>
      </c>
      <c r="V1046" s="348">
        <f t="shared" si="327"/>
        <v>0</v>
      </c>
      <c r="W1046" s="640"/>
    </row>
    <row r="1047" spans="1:23" s="328" customFormat="1" ht="15" customHeight="1">
      <c r="L1047" s="424"/>
      <c r="M1047" s="435"/>
      <c r="N1047" s="346"/>
      <c r="O1047" s="346"/>
      <c r="P1047" s="347"/>
      <c r="Q1047" s="347"/>
      <c r="R1047" s="346"/>
      <c r="S1047" s="346"/>
      <c r="T1047" s="346"/>
      <c r="U1047" s="346"/>
      <c r="V1047" s="346"/>
      <c r="W1047" s="640"/>
    </row>
    <row r="1048" spans="1:23" s="328" customFormat="1" ht="24" customHeight="1">
      <c r="K1048" s="405" t="s">
        <v>662</v>
      </c>
      <c r="L1048" s="422"/>
      <c r="M1048" s="436"/>
      <c r="N1048" s="348">
        <v>6794</v>
      </c>
      <c r="O1048" s="348">
        <v>15689</v>
      </c>
      <c r="P1048" s="349">
        <v>0</v>
      </c>
      <c r="Q1048" s="349">
        <f>O1048+Q1046</f>
        <v>34995</v>
      </c>
      <c r="R1048" s="348">
        <f>Q1048+R1046</f>
        <v>0</v>
      </c>
      <c r="S1048" s="348">
        <f>R1048+S1046</f>
        <v>0</v>
      </c>
      <c r="T1048" s="348">
        <f>S1048+T1046</f>
        <v>0</v>
      </c>
      <c r="U1048" s="348">
        <f>T1048+U1046</f>
        <v>0</v>
      </c>
      <c r="V1048" s="348">
        <f>U1048+V1046</f>
        <v>0</v>
      </c>
      <c r="W1048" s="640"/>
    </row>
    <row r="1049" spans="1:23" ht="15" customHeight="1">
      <c r="A1049" s="328"/>
      <c r="B1049" s="328"/>
      <c r="C1049" s="328"/>
      <c r="D1049" s="328"/>
      <c r="E1049" s="328"/>
      <c r="F1049" s="328"/>
      <c r="G1049" s="328"/>
      <c r="H1049" s="328"/>
      <c r="I1049" s="328"/>
      <c r="J1049" s="328"/>
      <c r="K1049" s="328"/>
      <c r="L1049" s="209"/>
      <c r="N1049" s="394"/>
      <c r="O1049" s="394"/>
      <c r="P1049" s="618"/>
      <c r="Q1049" s="618"/>
      <c r="R1049" s="619"/>
      <c r="S1049" s="619"/>
      <c r="T1049" s="619"/>
      <c r="U1049" s="619"/>
      <c r="V1049" s="619"/>
    </row>
    <row r="1050" spans="1:23" ht="24" customHeight="1">
      <c r="A1050" s="407" t="s">
        <v>869</v>
      </c>
      <c r="B1050" s="328"/>
      <c r="C1050" s="328"/>
      <c r="D1050" s="328"/>
      <c r="E1050" s="328"/>
      <c r="F1050" s="328"/>
      <c r="G1050" s="328"/>
      <c r="H1050" s="328"/>
      <c r="I1050" s="328"/>
      <c r="J1050" s="328"/>
      <c r="K1050" s="328"/>
      <c r="L1050" s="209"/>
      <c r="N1050" s="394"/>
      <c r="O1050" s="394"/>
      <c r="P1050" s="618"/>
      <c r="Q1050" s="618"/>
      <c r="R1050" s="619"/>
      <c r="S1050" s="619"/>
      <c r="T1050" s="619"/>
      <c r="U1050" s="619"/>
      <c r="V1050" s="619"/>
    </row>
    <row r="1051" spans="1:23" ht="15" customHeight="1">
      <c r="A1051" s="328"/>
      <c r="B1051" s="328"/>
      <c r="C1051" s="328"/>
      <c r="D1051" s="328"/>
      <c r="E1051" s="328"/>
      <c r="F1051" s="328"/>
      <c r="G1051" s="328"/>
      <c r="H1051" s="328"/>
      <c r="I1051" s="328"/>
      <c r="J1051" s="328"/>
      <c r="K1051" s="328"/>
      <c r="L1051" s="209"/>
      <c r="N1051" s="394"/>
      <c r="O1051" s="394"/>
      <c r="P1051" s="618"/>
      <c r="Q1051" s="618"/>
      <c r="R1051" s="619"/>
      <c r="S1051" s="619"/>
      <c r="T1051" s="619"/>
      <c r="U1051" s="619"/>
      <c r="V1051" s="619"/>
    </row>
    <row r="1052" spans="1:23" ht="24" customHeight="1">
      <c r="A1052" s="555" t="s">
        <v>1404</v>
      </c>
      <c r="B1052" s="328"/>
      <c r="C1052" s="328"/>
      <c r="D1052" s="555" t="s">
        <v>1405</v>
      </c>
      <c r="E1052" s="328"/>
      <c r="F1052" s="328"/>
      <c r="G1052" s="328"/>
      <c r="H1052" s="328"/>
      <c r="I1052" s="328"/>
      <c r="J1052" s="328"/>
      <c r="K1052" s="328"/>
      <c r="L1052" s="209">
        <v>207398</v>
      </c>
      <c r="M1052" s="214">
        <v>216677</v>
      </c>
      <c r="N1052" s="340">
        <v>259052</v>
      </c>
      <c r="O1052" s="340">
        <v>0</v>
      </c>
      <c r="P1052" s="225">
        <v>0</v>
      </c>
      <c r="Q1052" s="225">
        <v>0</v>
      </c>
      <c r="R1052" s="221">
        <v>0</v>
      </c>
      <c r="S1052" s="221">
        <v>0</v>
      </c>
      <c r="T1052" s="221">
        <v>0</v>
      </c>
      <c r="U1052" s="221">
        <v>0</v>
      </c>
      <c r="V1052" s="221">
        <v>0</v>
      </c>
    </row>
    <row r="1053" spans="1:23" ht="24" customHeight="1">
      <c r="A1053" s="396" t="s">
        <v>640</v>
      </c>
      <c r="B1053" s="397"/>
      <c r="C1053" s="397"/>
      <c r="D1053" s="735" t="s">
        <v>6</v>
      </c>
      <c r="E1053" s="735"/>
      <c r="F1053" s="735"/>
      <c r="G1053" s="735"/>
      <c r="H1053" s="735"/>
      <c r="I1053" s="735"/>
      <c r="J1053" s="735"/>
      <c r="K1053" s="735"/>
      <c r="L1053" s="218"/>
      <c r="M1053" s="310"/>
      <c r="N1053" s="345">
        <v>275</v>
      </c>
      <c r="O1053" s="345">
        <v>0</v>
      </c>
      <c r="P1053" s="235">
        <v>0</v>
      </c>
      <c r="Q1053" s="235">
        <v>0</v>
      </c>
      <c r="R1053" s="234">
        <v>0</v>
      </c>
      <c r="S1053" s="234">
        <v>0</v>
      </c>
      <c r="T1053" s="234">
        <v>0</v>
      </c>
      <c r="U1053" s="234">
        <v>0</v>
      </c>
      <c r="V1053" s="234">
        <v>0</v>
      </c>
    </row>
    <row r="1054" spans="1:23" ht="15" customHeight="1">
      <c r="A1054" s="328"/>
      <c r="B1054" s="328"/>
      <c r="C1054" s="328"/>
      <c r="D1054" s="399"/>
      <c r="E1054" s="399"/>
      <c r="F1054" s="399"/>
      <c r="G1054" s="399"/>
      <c r="H1054" s="399"/>
      <c r="I1054" s="399"/>
      <c r="J1054" s="399"/>
      <c r="K1054" s="399"/>
      <c r="L1054" s="236"/>
      <c r="N1054" s="346"/>
      <c r="O1054" s="346"/>
      <c r="P1054" s="238"/>
      <c r="Q1054" s="238"/>
      <c r="R1054" s="237"/>
      <c r="S1054" s="237"/>
      <c r="T1054" s="237"/>
      <c r="U1054" s="237"/>
      <c r="V1054" s="237"/>
    </row>
    <row r="1055" spans="1:23" s="328" customFormat="1" ht="24" customHeight="1">
      <c r="K1055" s="400" t="s">
        <v>656</v>
      </c>
      <c r="L1055" s="422"/>
      <c r="M1055" s="423"/>
      <c r="N1055" s="348">
        <f t="shared" ref="N1055" si="330">SUM(N1052:N1054)</f>
        <v>259327</v>
      </c>
      <c r="O1055" s="348">
        <f t="shared" ref="O1055" si="331">SUM(O1052:O1054)</f>
        <v>0</v>
      </c>
      <c r="P1055" s="349">
        <f t="shared" ref="P1055" si="332">SUM(P1052:P1054)</f>
        <v>0</v>
      </c>
      <c r="Q1055" s="349">
        <f>SUM(Q1052:Q1054)</f>
        <v>0</v>
      </c>
      <c r="R1055" s="348">
        <f t="shared" ref="R1055:T1055" si="333">SUM(R1052:R1054)</f>
        <v>0</v>
      </c>
      <c r="S1055" s="348">
        <f t="shared" si="333"/>
        <v>0</v>
      </c>
      <c r="T1055" s="348">
        <f t="shared" si="333"/>
        <v>0</v>
      </c>
      <c r="U1055" s="348">
        <f>SUM(U1052:U1054)</f>
        <v>0</v>
      </c>
      <c r="V1055" s="348">
        <f>SUM(V1052:V1054)</f>
        <v>0</v>
      </c>
      <c r="W1055" s="640"/>
    </row>
    <row r="1056" spans="1:23" ht="15" customHeight="1">
      <c r="A1056" s="328"/>
      <c r="B1056" s="328"/>
      <c r="C1056" s="328"/>
      <c r="D1056" s="328"/>
      <c r="E1056" s="328"/>
      <c r="F1056" s="328"/>
      <c r="G1056" s="328"/>
      <c r="H1056" s="328"/>
      <c r="I1056" s="328"/>
      <c r="J1056" s="328"/>
      <c r="K1056" s="328"/>
      <c r="L1056" s="209"/>
      <c r="N1056" s="346"/>
      <c r="O1056" s="346"/>
      <c r="P1056" s="238"/>
      <c r="Q1056" s="238"/>
      <c r="R1056" s="237"/>
      <c r="S1056" s="237"/>
      <c r="T1056" s="237"/>
      <c r="U1056" s="237"/>
      <c r="V1056" s="237"/>
    </row>
    <row r="1057" spans="1:23" ht="24" customHeight="1">
      <c r="A1057" s="396" t="s">
        <v>1172</v>
      </c>
      <c r="B1057" s="397"/>
      <c r="C1057" s="397"/>
      <c r="D1057" s="396" t="s">
        <v>832</v>
      </c>
      <c r="E1057" s="397"/>
      <c r="F1057" s="397"/>
      <c r="G1057" s="397"/>
      <c r="H1057" s="397"/>
      <c r="I1057" s="397"/>
      <c r="J1057" s="397"/>
      <c r="K1057" s="397"/>
      <c r="L1057" s="218"/>
      <c r="M1057" s="253"/>
      <c r="N1057" s="340">
        <v>658757</v>
      </c>
      <c r="O1057" s="340">
        <v>0</v>
      </c>
      <c r="P1057" s="225">
        <v>0</v>
      </c>
      <c r="Q1057" s="225">
        <v>0</v>
      </c>
      <c r="R1057" s="221">
        <v>0</v>
      </c>
      <c r="S1057" s="221">
        <v>0</v>
      </c>
      <c r="T1057" s="221">
        <v>0</v>
      </c>
      <c r="U1057" s="221">
        <v>0</v>
      </c>
      <c r="V1057" s="221">
        <v>0</v>
      </c>
    </row>
    <row r="1058" spans="1:23" ht="24" customHeight="1">
      <c r="A1058" s="396" t="s">
        <v>641</v>
      </c>
      <c r="B1058" s="397"/>
      <c r="C1058" s="397"/>
      <c r="D1058" s="396" t="s">
        <v>642</v>
      </c>
      <c r="E1058" s="397"/>
      <c r="F1058" s="397"/>
      <c r="G1058" s="397"/>
      <c r="H1058" s="397"/>
      <c r="I1058" s="397"/>
      <c r="J1058" s="397"/>
      <c r="K1058" s="397"/>
      <c r="L1058" s="218"/>
      <c r="M1058" s="247"/>
      <c r="N1058" s="340">
        <v>3565</v>
      </c>
      <c r="O1058" s="340">
        <v>0</v>
      </c>
      <c r="P1058" s="225">
        <v>0</v>
      </c>
      <c r="Q1058" s="225">
        <v>0</v>
      </c>
      <c r="R1058" s="221">
        <v>0</v>
      </c>
      <c r="S1058" s="221">
        <v>0</v>
      </c>
      <c r="T1058" s="221">
        <v>0</v>
      </c>
      <c r="U1058" s="221">
        <v>0</v>
      </c>
      <c r="V1058" s="221">
        <v>0</v>
      </c>
    </row>
    <row r="1059" spans="1:23" ht="24" customHeight="1">
      <c r="A1059" s="398" t="s">
        <v>751</v>
      </c>
      <c r="B1059" s="397"/>
      <c r="C1059" s="397"/>
      <c r="D1059" s="396" t="s">
        <v>318</v>
      </c>
      <c r="E1059" s="397"/>
      <c r="F1059" s="397"/>
      <c r="G1059" s="397"/>
      <c r="H1059" s="397"/>
      <c r="I1059" s="397"/>
      <c r="J1059" s="397"/>
      <c r="K1059" s="397"/>
      <c r="L1059" s="218"/>
      <c r="M1059" s="253"/>
      <c r="N1059" s="340">
        <v>11236</v>
      </c>
      <c r="O1059" s="340">
        <v>0</v>
      </c>
      <c r="P1059" s="225">
        <v>0</v>
      </c>
      <c r="Q1059" s="225">
        <v>0</v>
      </c>
      <c r="R1059" s="221">
        <v>0</v>
      </c>
      <c r="S1059" s="221">
        <v>0</v>
      </c>
      <c r="T1059" s="221">
        <v>0</v>
      </c>
      <c r="U1059" s="221">
        <v>0</v>
      </c>
      <c r="V1059" s="221">
        <v>0</v>
      </c>
    </row>
    <row r="1060" spans="1:23" ht="24" customHeight="1">
      <c r="A1060" s="400" t="s">
        <v>643</v>
      </c>
      <c r="B1060" s="400"/>
      <c r="C1060" s="400"/>
      <c r="D1060" s="400"/>
      <c r="E1060" s="400"/>
      <c r="F1060" s="400"/>
      <c r="G1060" s="400"/>
      <c r="H1060" s="400"/>
      <c r="I1060" s="400"/>
      <c r="J1060" s="400"/>
      <c r="K1060" s="400"/>
      <c r="L1060" s="240"/>
      <c r="N1060" s="346"/>
      <c r="O1060" s="346"/>
      <c r="P1060" s="238"/>
      <c r="Q1060" s="238"/>
      <c r="R1060" s="237"/>
      <c r="S1060" s="237"/>
      <c r="T1060" s="237"/>
      <c r="U1060" s="237"/>
      <c r="V1060" s="237"/>
    </row>
    <row r="1061" spans="1:23" ht="24" customHeight="1">
      <c r="A1061" s="396" t="s">
        <v>644</v>
      </c>
      <c r="B1061" s="397"/>
      <c r="C1061" s="397"/>
      <c r="D1061" s="396" t="s">
        <v>1246</v>
      </c>
      <c r="E1061" s="397"/>
      <c r="F1061" s="397"/>
      <c r="G1061" s="397"/>
      <c r="H1061" s="397"/>
      <c r="I1061" s="397"/>
      <c r="J1061" s="397"/>
      <c r="K1061" s="397"/>
      <c r="L1061" s="218"/>
      <c r="M1061" s="247"/>
      <c r="N1061" s="340">
        <v>70000</v>
      </c>
      <c r="O1061" s="340">
        <v>0</v>
      </c>
      <c r="P1061" s="225">
        <v>0</v>
      </c>
      <c r="Q1061" s="225">
        <v>0</v>
      </c>
      <c r="R1061" s="221">
        <v>0</v>
      </c>
      <c r="S1061" s="221">
        <v>0</v>
      </c>
      <c r="T1061" s="221">
        <v>0</v>
      </c>
      <c r="U1061" s="221">
        <v>0</v>
      </c>
      <c r="V1061" s="221">
        <v>0</v>
      </c>
    </row>
    <row r="1062" spans="1:23" ht="24" customHeight="1">
      <c r="A1062" s="396" t="s">
        <v>645</v>
      </c>
      <c r="B1062" s="397"/>
      <c r="C1062" s="397"/>
      <c r="D1062" s="396" t="s">
        <v>338</v>
      </c>
      <c r="E1062" s="397"/>
      <c r="F1062" s="397"/>
      <c r="G1062" s="397"/>
      <c r="H1062" s="397"/>
      <c r="I1062" s="397"/>
      <c r="J1062" s="397"/>
      <c r="K1062" s="397"/>
      <c r="L1062" s="218"/>
      <c r="M1062" s="264"/>
      <c r="N1062" s="340">
        <v>6783</v>
      </c>
      <c r="O1062" s="340">
        <v>0</v>
      </c>
      <c r="P1062" s="225">
        <v>0</v>
      </c>
      <c r="Q1062" s="225">
        <v>0</v>
      </c>
      <c r="R1062" s="221">
        <v>0</v>
      </c>
      <c r="S1062" s="221">
        <v>0</v>
      </c>
      <c r="T1062" s="221">
        <v>0</v>
      </c>
      <c r="U1062" s="221">
        <v>0</v>
      </c>
      <c r="V1062" s="221">
        <v>0</v>
      </c>
    </row>
    <row r="1063" spans="1:23" ht="24" customHeight="1">
      <c r="A1063" s="396" t="s">
        <v>837</v>
      </c>
      <c r="B1063" s="397"/>
      <c r="C1063" s="397"/>
      <c r="D1063" s="396" t="s">
        <v>245</v>
      </c>
      <c r="E1063" s="397"/>
      <c r="F1063" s="397"/>
      <c r="G1063" s="397"/>
      <c r="H1063" s="397"/>
      <c r="I1063" s="397"/>
      <c r="J1063" s="397"/>
      <c r="K1063" s="397"/>
      <c r="L1063" s="218"/>
      <c r="M1063" s="271"/>
      <c r="N1063" s="345">
        <v>78777</v>
      </c>
      <c r="O1063" s="345">
        <v>0</v>
      </c>
      <c r="P1063" s="235">
        <v>0</v>
      </c>
      <c r="Q1063" s="235">
        <v>0</v>
      </c>
      <c r="R1063" s="234">
        <v>0</v>
      </c>
      <c r="S1063" s="234">
        <v>0</v>
      </c>
      <c r="T1063" s="234">
        <v>0</v>
      </c>
      <c r="U1063" s="234">
        <v>0</v>
      </c>
      <c r="V1063" s="234">
        <v>0</v>
      </c>
    </row>
    <row r="1064" spans="1:23" ht="15" customHeight="1">
      <c r="A1064" s="328"/>
      <c r="B1064" s="328"/>
      <c r="C1064" s="328"/>
      <c r="D1064" s="328"/>
      <c r="E1064" s="328"/>
      <c r="F1064" s="328"/>
      <c r="G1064" s="328"/>
      <c r="H1064" s="328"/>
      <c r="I1064" s="328"/>
      <c r="J1064" s="328"/>
      <c r="K1064" s="328"/>
      <c r="L1064" s="209"/>
      <c r="N1064" s="346"/>
      <c r="O1064" s="346"/>
      <c r="P1064" s="238"/>
      <c r="Q1064" s="238"/>
      <c r="R1064" s="237"/>
      <c r="S1064" s="237"/>
      <c r="T1064" s="237"/>
      <c r="U1064" s="237"/>
      <c r="V1064" s="237"/>
    </row>
    <row r="1065" spans="1:23" s="328" customFormat="1" ht="24" customHeight="1">
      <c r="K1065" s="400" t="s">
        <v>659</v>
      </c>
      <c r="L1065" s="422"/>
      <c r="M1065" s="441"/>
      <c r="N1065" s="348">
        <f t="shared" ref="N1065" si="334">SUM(N1057:N1064)</f>
        <v>829118</v>
      </c>
      <c r="O1065" s="348">
        <f t="shared" ref="O1065:V1065" si="335">SUM(O1057:O1064)</f>
        <v>0</v>
      </c>
      <c r="P1065" s="349">
        <f t="shared" ref="P1065" si="336">SUM(P1057:P1064)</f>
        <v>0</v>
      </c>
      <c r="Q1065" s="349">
        <f t="shared" si="335"/>
        <v>0</v>
      </c>
      <c r="R1065" s="348">
        <f t="shared" ref="R1065:U1065" si="337">SUM(R1057:R1064)</f>
        <v>0</v>
      </c>
      <c r="S1065" s="348">
        <f t="shared" si="337"/>
        <v>0</v>
      </c>
      <c r="T1065" s="348">
        <f t="shared" si="337"/>
        <v>0</v>
      </c>
      <c r="U1065" s="348">
        <f t="shared" si="337"/>
        <v>0</v>
      </c>
      <c r="V1065" s="348">
        <f t="shared" si="335"/>
        <v>0</v>
      </c>
      <c r="W1065" s="640"/>
    </row>
    <row r="1066" spans="1:23" s="328" customFormat="1" ht="15" customHeight="1">
      <c r="L1066" s="424"/>
      <c r="M1066" s="435"/>
      <c r="N1066" s="346"/>
      <c r="O1066" s="346"/>
      <c r="P1066" s="347"/>
      <c r="Q1066" s="347"/>
      <c r="R1066" s="346"/>
      <c r="S1066" s="346"/>
      <c r="T1066" s="346"/>
      <c r="U1066" s="346"/>
      <c r="V1066" s="346"/>
      <c r="W1066" s="640"/>
    </row>
    <row r="1067" spans="1:23" s="328" customFormat="1" ht="24" customHeight="1">
      <c r="K1067" s="400" t="s">
        <v>660</v>
      </c>
      <c r="L1067" s="422"/>
      <c r="M1067" s="423"/>
      <c r="N1067" s="348">
        <f t="shared" ref="N1067" si="338">N1055-N1065</f>
        <v>-569791</v>
      </c>
      <c r="O1067" s="348">
        <f t="shared" ref="O1067:V1067" si="339">O1055-O1065</f>
        <v>0</v>
      </c>
      <c r="P1067" s="349">
        <f t="shared" ref="P1067" si="340">P1055-P1065</f>
        <v>0</v>
      </c>
      <c r="Q1067" s="349">
        <f t="shared" si="339"/>
        <v>0</v>
      </c>
      <c r="R1067" s="348">
        <f t="shared" ref="R1067:U1067" si="341">R1055-R1065</f>
        <v>0</v>
      </c>
      <c r="S1067" s="348">
        <f t="shared" si="341"/>
        <v>0</v>
      </c>
      <c r="T1067" s="348">
        <f t="shared" si="341"/>
        <v>0</v>
      </c>
      <c r="U1067" s="348">
        <f t="shared" si="341"/>
        <v>0</v>
      </c>
      <c r="V1067" s="348">
        <f t="shared" si="339"/>
        <v>0</v>
      </c>
      <c r="W1067" s="640"/>
    </row>
    <row r="1068" spans="1:23" s="328" customFormat="1" ht="15" customHeight="1">
      <c r="L1068" s="424"/>
      <c r="M1068" s="435"/>
      <c r="N1068" s="346"/>
      <c r="O1068" s="346"/>
      <c r="P1068" s="347"/>
      <c r="Q1068" s="347"/>
      <c r="R1068" s="346"/>
      <c r="S1068" s="346"/>
      <c r="T1068" s="346"/>
      <c r="U1068" s="346"/>
      <c r="V1068" s="346"/>
      <c r="W1068" s="640"/>
    </row>
    <row r="1069" spans="1:23" s="328" customFormat="1" ht="24" customHeight="1">
      <c r="K1069" s="405" t="s">
        <v>662</v>
      </c>
      <c r="L1069" s="422"/>
      <c r="M1069" s="422"/>
      <c r="N1069" s="365">
        <v>0</v>
      </c>
      <c r="O1069" s="365">
        <v>0</v>
      </c>
      <c r="P1069" s="366">
        <f>O1069+P1067</f>
        <v>0</v>
      </c>
      <c r="Q1069" s="366">
        <v>0</v>
      </c>
      <c r="R1069" s="365">
        <f>Q1069+R1067</f>
        <v>0</v>
      </c>
      <c r="S1069" s="365">
        <f>R1069+S1067</f>
        <v>0</v>
      </c>
      <c r="T1069" s="365">
        <f>S1069+T1067</f>
        <v>0</v>
      </c>
      <c r="U1069" s="365">
        <f>T1069+U1067</f>
        <v>0</v>
      </c>
      <c r="V1069" s="365">
        <f>U1069+V1067</f>
        <v>0</v>
      </c>
      <c r="W1069" s="640"/>
    </row>
    <row r="1070" spans="1:23" ht="15" customHeight="1">
      <c r="A1070" s="328"/>
      <c r="B1070" s="328"/>
      <c r="C1070" s="328"/>
      <c r="D1070" s="328"/>
      <c r="E1070" s="328"/>
      <c r="F1070" s="328"/>
      <c r="G1070" s="328"/>
      <c r="H1070" s="328"/>
      <c r="I1070" s="328"/>
      <c r="J1070" s="328"/>
      <c r="K1070" s="328"/>
      <c r="L1070" s="209"/>
      <c r="N1070" s="394"/>
      <c r="O1070" s="394"/>
      <c r="P1070" s="618"/>
      <c r="Q1070" s="618"/>
      <c r="R1070" s="619"/>
      <c r="S1070" s="619"/>
      <c r="T1070" s="619"/>
      <c r="U1070" s="619"/>
      <c r="V1070" s="619"/>
    </row>
    <row r="1071" spans="1:23" ht="24" customHeight="1">
      <c r="A1071" s="407" t="s">
        <v>647</v>
      </c>
      <c r="B1071" s="328"/>
      <c r="C1071" s="328"/>
      <c r="D1071" s="328"/>
      <c r="E1071" s="328"/>
      <c r="F1071" s="328"/>
      <c r="G1071" s="328"/>
      <c r="H1071" s="328"/>
      <c r="I1071" s="328"/>
      <c r="J1071" s="328"/>
      <c r="K1071" s="328"/>
      <c r="L1071" s="209"/>
      <c r="N1071" s="394"/>
      <c r="O1071" s="394"/>
      <c r="P1071" s="618"/>
      <c r="Q1071" s="618"/>
      <c r="R1071" s="619"/>
      <c r="S1071" s="619"/>
      <c r="T1071" s="619"/>
      <c r="U1071" s="619"/>
      <c r="V1071" s="619"/>
    </row>
    <row r="1072" spans="1:23" ht="15" customHeight="1">
      <c r="A1072" s="328"/>
      <c r="B1072" s="328"/>
      <c r="C1072" s="328"/>
      <c r="D1072" s="328"/>
      <c r="E1072" s="328"/>
      <c r="F1072" s="328"/>
      <c r="G1072" s="328"/>
      <c r="H1072" s="328"/>
      <c r="I1072" s="328"/>
      <c r="J1072" s="328"/>
      <c r="K1072" s="328"/>
      <c r="L1072" s="209"/>
      <c r="N1072" s="394"/>
      <c r="O1072" s="394"/>
      <c r="P1072" s="618"/>
      <c r="Q1072" s="618"/>
      <c r="R1072" s="619"/>
      <c r="S1072" s="619"/>
      <c r="T1072" s="619"/>
      <c r="U1072" s="619"/>
      <c r="V1072" s="619"/>
    </row>
    <row r="1073" spans="1:34" ht="24" customHeight="1">
      <c r="A1073" s="555" t="s">
        <v>1406</v>
      </c>
      <c r="B1073" s="328"/>
      <c r="C1073" s="328"/>
      <c r="D1073" s="555" t="s">
        <v>1405</v>
      </c>
      <c r="E1073" s="328"/>
      <c r="F1073" s="328"/>
      <c r="G1073" s="328"/>
      <c r="H1073" s="328"/>
      <c r="I1073" s="328"/>
      <c r="J1073" s="328"/>
      <c r="K1073" s="328"/>
      <c r="L1073" s="209">
        <v>8455</v>
      </c>
      <c r="M1073" s="214">
        <v>6250</v>
      </c>
      <c r="N1073" s="339">
        <v>4188</v>
      </c>
      <c r="O1073" s="339">
        <v>0</v>
      </c>
      <c r="P1073" s="216">
        <v>0</v>
      </c>
      <c r="Q1073" s="216">
        <v>0</v>
      </c>
      <c r="R1073" s="215">
        <v>0</v>
      </c>
      <c r="S1073" s="215">
        <v>100000</v>
      </c>
      <c r="T1073" s="215">
        <v>100000</v>
      </c>
      <c r="U1073" s="215">
        <v>100000</v>
      </c>
      <c r="V1073" s="215">
        <v>100000</v>
      </c>
    </row>
    <row r="1074" spans="1:34" ht="24" customHeight="1">
      <c r="A1074" s="681" t="s">
        <v>1498</v>
      </c>
      <c r="B1074" s="681"/>
      <c r="C1074" s="681"/>
      <c r="D1074" s="681" t="s">
        <v>1422</v>
      </c>
      <c r="E1074" s="681"/>
      <c r="F1074" s="681"/>
      <c r="G1074" s="681"/>
      <c r="H1074" s="681"/>
      <c r="I1074" s="681"/>
      <c r="J1074" s="681"/>
      <c r="K1074" s="681"/>
      <c r="L1074" s="209"/>
      <c r="M1074" s="214"/>
      <c r="N1074" s="339">
        <v>0</v>
      </c>
      <c r="O1074" s="339">
        <v>0</v>
      </c>
      <c r="P1074" s="216">
        <v>0</v>
      </c>
      <c r="Q1074" s="216">
        <v>0</v>
      </c>
      <c r="R1074" s="215">
        <v>20000</v>
      </c>
      <c r="S1074" s="215">
        <v>20000</v>
      </c>
      <c r="T1074" s="215">
        <v>20000</v>
      </c>
      <c r="U1074" s="215">
        <v>20000</v>
      </c>
      <c r="V1074" s="215">
        <v>20000</v>
      </c>
    </row>
    <row r="1075" spans="1:34" ht="24" customHeight="1">
      <c r="A1075" s="396" t="s">
        <v>646</v>
      </c>
      <c r="B1075" s="397"/>
      <c r="C1075" s="397"/>
      <c r="D1075" s="735" t="s">
        <v>6</v>
      </c>
      <c r="E1075" s="735"/>
      <c r="F1075" s="735"/>
      <c r="G1075" s="735"/>
      <c r="H1075" s="735"/>
      <c r="I1075" s="735"/>
      <c r="J1075" s="735"/>
      <c r="K1075" s="735"/>
      <c r="L1075" s="218">
        <v>37322</v>
      </c>
      <c r="M1075" s="310">
        <v>8223</v>
      </c>
      <c r="N1075" s="354">
        <v>2718</v>
      </c>
      <c r="O1075" s="354">
        <v>2132</v>
      </c>
      <c r="P1075" s="256">
        <v>1550</v>
      </c>
      <c r="Q1075" s="256">
        <v>106</v>
      </c>
      <c r="R1075" s="255">
        <v>0</v>
      </c>
      <c r="S1075" s="255">
        <v>0</v>
      </c>
      <c r="T1075" s="255">
        <v>0</v>
      </c>
      <c r="U1075" s="255">
        <v>0</v>
      </c>
      <c r="V1075" s="255">
        <v>0</v>
      </c>
    </row>
    <row r="1076" spans="1:34" ht="15" customHeight="1">
      <c r="A1076" s="328"/>
      <c r="B1076" s="328"/>
      <c r="C1076" s="328"/>
      <c r="D1076" s="328"/>
      <c r="E1076" s="328"/>
      <c r="F1076" s="328"/>
      <c r="G1076" s="328"/>
      <c r="H1076" s="328"/>
      <c r="I1076" s="328"/>
      <c r="J1076" s="328"/>
      <c r="K1076" s="328"/>
      <c r="L1076" s="209"/>
      <c r="N1076" s="346"/>
      <c r="O1076" s="346"/>
      <c r="P1076" s="238"/>
      <c r="Q1076" s="238"/>
      <c r="R1076" s="237"/>
      <c r="S1076" s="237"/>
      <c r="T1076" s="237"/>
      <c r="U1076" s="237"/>
      <c r="V1076" s="237"/>
    </row>
    <row r="1077" spans="1:34" s="328" customFormat="1" ht="24" customHeight="1">
      <c r="K1077" s="400" t="s">
        <v>656</v>
      </c>
      <c r="L1077" s="422"/>
      <c r="M1077" s="423"/>
      <c r="N1077" s="348">
        <f t="shared" ref="N1077" si="342">SUM(N1073:N1076)</f>
        <v>6906</v>
      </c>
      <c r="O1077" s="348">
        <f t="shared" ref="O1077" si="343">SUM(O1073:O1076)</f>
        <v>2132</v>
      </c>
      <c r="P1077" s="349">
        <f t="shared" ref="P1077" si="344">SUM(P1073:P1076)</f>
        <v>1550</v>
      </c>
      <c r="Q1077" s="349">
        <f>SUM(Q1073:Q1076)</f>
        <v>106</v>
      </c>
      <c r="R1077" s="348">
        <f>SUM(R1073:R1076)</f>
        <v>20000</v>
      </c>
      <c r="S1077" s="348">
        <f t="shared" ref="S1077:T1077" si="345">SUM(S1073:S1076)</f>
        <v>120000</v>
      </c>
      <c r="T1077" s="348">
        <f t="shared" si="345"/>
        <v>120000</v>
      </c>
      <c r="U1077" s="348">
        <f>SUM(U1073:U1076)</f>
        <v>120000</v>
      </c>
      <c r="V1077" s="348">
        <f>SUM(V1073:V1076)</f>
        <v>120000</v>
      </c>
      <c r="W1077" s="640"/>
    </row>
    <row r="1078" spans="1:34" ht="15" customHeight="1">
      <c r="A1078" s="328"/>
      <c r="B1078" s="328"/>
      <c r="C1078" s="328"/>
      <c r="D1078" s="328"/>
      <c r="E1078" s="328"/>
      <c r="F1078" s="328"/>
      <c r="G1078" s="328"/>
      <c r="H1078" s="328"/>
      <c r="I1078" s="328"/>
      <c r="J1078" s="328"/>
      <c r="K1078" s="328"/>
      <c r="L1078" s="209"/>
      <c r="N1078" s="346"/>
      <c r="O1078" s="346"/>
      <c r="P1078" s="238"/>
      <c r="Q1078" s="238"/>
      <c r="R1078" s="237"/>
      <c r="S1078" s="237"/>
      <c r="T1078" s="237"/>
      <c r="U1078" s="237"/>
      <c r="V1078" s="237"/>
    </row>
    <row r="1079" spans="1:34" ht="24" customHeight="1">
      <c r="A1079" s="396" t="s">
        <v>648</v>
      </c>
      <c r="B1079" s="397"/>
      <c r="C1079" s="397"/>
      <c r="D1079" s="396" t="s">
        <v>642</v>
      </c>
      <c r="E1079" s="397"/>
      <c r="F1079" s="397"/>
      <c r="G1079" s="397"/>
      <c r="H1079" s="397"/>
      <c r="I1079" s="397"/>
      <c r="J1079" s="397"/>
      <c r="K1079" s="328"/>
      <c r="L1079" s="209"/>
      <c r="M1079" s="229"/>
      <c r="N1079" s="337">
        <v>1067</v>
      </c>
      <c r="O1079" s="337">
        <v>2627</v>
      </c>
      <c r="P1079" s="212">
        <v>2000</v>
      </c>
      <c r="Q1079" s="212">
        <v>2000</v>
      </c>
      <c r="R1079" s="211">
        <v>2000</v>
      </c>
      <c r="S1079" s="211">
        <v>2000</v>
      </c>
      <c r="T1079" s="211">
        <v>2000</v>
      </c>
      <c r="U1079" s="211">
        <v>2000</v>
      </c>
      <c r="V1079" s="211">
        <v>2000</v>
      </c>
      <c r="X1079" s="217"/>
    </row>
    <row r="1080" spans="1:34" ht="24" customHeight="1">
      <c r="A1080" s="396" t="s">
        <v>1174</v>
      </c>
      <c r="B1080" s="397"/>
      <c r="C1080" s="397"/>
      <c r="D1080" s="396" t="s">
        <v>1249</v>
      </c>
      <c r="E1080" s="397"/>
      <c r="F1080" s="397"/>
      <c r="G1080" s="397"/>
      <c r="H1080" s="397"/>
      <c r="I1080" s="397"/>
      <c r="J1080" s="397"/>
      <c r="K1080" s="328"/>
      <c r="L1080" s="209"/>
      <c r="M1080" s="229"/>
      <c r="N1080" s="337">
        <v>0</v>
      </c>
      <c r="O1080" s="337">
        <v>0</v>
      </c>
      <c r="P1080" s="212">
        <v>1800000</v>
      </c>
      <c r="Q1080" s="212">
        <v>1800000</v>
      </c>
      <c r="R1080" s="211">
        <v>0</v>
      </c>
      <c r="S1080" s="211">
        <v>0</v>
      </c>
      <c r="T1080" s="211">
        <v>0</v>
      </c>
      <c r="U1080" s="211">
        <v>0</v>
      </c>
      <c r="V1080" s="211">
        <v>0</v>
      </c>
      <c r="X1080" s="217"/>
    </row>
    <row r="1081" spans="1:34" ht="24" customHeight="1">
      <c r="A1081" s="396" t="s">
        <v>1499</v>
      </c>
      <c r="B1081" s="680"/>
      <c r="C1081" s="680"/>
      <c r="D1081" s="396" t="s">
        <v>1262</v>
      </c>
      <c r="E1081" s="680"/>
      <c r="F1081" s="680"/>
      <c r="G1081" s="680"/>
      <c r="H1081" s="680"/>
      <c r="I1081" s="680"/>
      <c r="J1081" s="680"/>
      <c r="K1081" s="680"/>
      <c r="L1081" s="218"/>
      <c r="M1081" s="253"/>
      <c r="N1081" s="340">
        <f>N1074</f>
        <v>0</v>
      </c>
      <c r="O1081" s="340">
        <f t="shared" ref="O1081:V1081" si="346">O1074</f>
        <v>0</v>
      </c>
      <c r="P1081" s="342">
        <f t="shared" si="346"/>
        <v>0</v>
      </c>
      <c r="Q1081" s="342">
        <f t="shared" si="346"/>
        <v>0</v>
      </c>
      <c r="R1081" s="340">
        <f t="shared" si="346"/>
        <v>20000</v>
      </c>
      <c r="S1081" s="340">
        <f t="shared" si="346"/>
        <v>20000</v>
      </c>
      <c r="T1081" s="340">
        <f t="shared" si="346"/>
        <v>20000</v>
      </c>
      <c r="U1081" s="340">
        <f t="shared" si="346"/>
        <v>20000</v>
      </c>
      <c r="V1081" s="340">
        <f t="shared" si="346"/>
        <v>20000</v>
      </c>
      <c r="X1081" s="217"/>
    </row>
    <row r="1082" spans="1:34" ht="24" customHeight="1">
      <c r="A1082" s="396" t="s">
        <v>649</v>
      </c>
      <c r="B1082" s="397"/>
      <c r="C1082" s="397"/>
      <c r="D1082" s="396" t="s">
        <v>364</v>
      </c>
      <c r="E1082" s="397"/>
      <c r="F1082" s="397"/>
      <c r="G1082" s="397"/>
      <c r="H1082" s="397"/>
      <c r="I1082" s="397"/>
      <c r="J1082" s="397"/>
      <c r="K1082" s="328"/>
      <c r="L1082" s="209"/>
      <c r="M1082" s="253"/>
      <c r="N1082" s="340">
        <v>375</v>
      </c>
      <c r="O1082" s="340">
        <v>375</v>
      </c>
      <c r="P1082" s="225">
        <v>375</v>
      </c>
      <c r="Q1082" s="225">
        <v>375</v>
      </c>
      <c r="R1082" s="221">
        <v>1325</v>
      </c>
      <c r="S1082" s="221">
        <v>1325</v>
      </c>
      <c r="T1082" s="221">
        <v>1325</v>
      </c>
      <c r="U1082" s="221">
        <v>1325</v>
      </c>
      <c r="V1082" s="221">
        <v>1325</v>
      </c>
      <c r="X1082" s="740" t="s">
        <v>1283</v>
      </c>
      <c r="Y1082" s="740"/>
      <c r="Z1082" s="740"/>
      <c r="AA1082" s="740"/>
      <c r="AB1082" s="740"/>
      <c r="AC1082" s="740"/>
      <c r="AD1082" s="740"/>
      <c r="AE1082" s="740"/>
      <c r="AF1082" s="740"/>
      <c r="AG1082" s="740"/>
      <c r="AH1082" s="740"/>
    </row>
    <row r="1083" spans="1:34" ht="24" customHeight="1">
      <c r="A1083" s="400" t="s">
        <v>650</v>
      </c>
      <c r="B1083" s="400"/>
      <c r="C1083" s="400"/>
      <c r="D1083" s="400"/>
      <c r="E1083" s="400"/>
      <c r="F1083" s="400"/>
      <c r="G1083" s="400"/>
      <c r="H1083" s="400"/>
      <c r="I1083" s="400"/>
      <c r="J1083" s="400"/>
      <c r="K1083" s="589"/>
      <c r="L1083" s="266"/>
      <c r="M1083" s="326"/>
      <c r="N1083" s="346"/>
      <c r="O1083" s="346"/>
      <c r="P1083" s="238"/>
      <c r="Q1083" s="238"/>
      <c r="R1083" s="237"/>
      <c r="S1083" s="237"/>
      <c r="T1083" s="237"/>
      <c r="U1083" s="237"/>
      <c r="V1083" s="237"/>
      <c r="X1083" s="631" t="s">
        <v>1266</v>
      </c>
      <c r="Y1083" s="631" t="s">
        <v>1267</v>
      </c>
      <c r="Z1083" s="631" t="s">
        <v>1268</v>
      </c>
      <c r="AA1083" s="631" t="s">
        <v>1269</v>
      </c>
      <c r="AB1083" s="631" t="s">
        <v>1270</v>
      </c>
      <c r="AC1083" s="631" t="s">
        <v>1271</v>
      </c>
      <c r="AD1083" s="631" t="s">
        <v>1272</v>
      </c>
      <c r="AE1083" s="631" t="s">
        <v>1273</v>
      </c>
      <c r="AF1083" s="631" t="s">
        <v>1274</v>
      </c>
      <c r="AG1083" s="631" t="s">
        <v>1275</v>
      </c>
      <c r="AH1083" s="631" t="s">
        <v>1276</v>
      </c>
    </row>
    <row r="1084" spans="1:34" ht="24" customHeight="1">
      <c r="A1084" s="396" t="s">
        <v>651</v>
      </c>
      <c r="B1084" s="588"/>
      <c r="C1084" s="588"/>
      <c r="D1084" s="396" t="s">
        <v>1246</v>
      </c>
      <c r="E1084" s="588"/>
      <c r="F1084" s="588"/>
      <c r="G1084" s="588"/>
      <c r="H1084" s="588"/>
      <c r="I1084" s="588"/>
      <c r="J1084" s="588"/>
      <c r="K1084" s="589"/>
      <c r="L1084" s="266"/>
      <c r="M1084" s="267"/>
      <c r="N1084" s="340">
        <v>175000</v>
      </c>
      <c r="O1084" s="340">
        <v>180000</v>
      </c>
      <c r="P1084" s="225">
        <v>185000</v>
      </c>
      <c r="Q1084" s="225">
        <v>185000</v>
      </c>
      <c r="R1084" s="221">
        <v>0</v>
      </c>
      <c r="S1084" s="221">
        <v>0</v>
      </c>
      <c r="T1084" s="221">
        <v>0</v>
      </c>
      <c r="U1084" s="221">
        <v>0</v>
      </c>
      <c r="V1084" s="221">
        <v>0</v>
      </c>
      <c r="X1084" s="630">
        <v>235000</v>
      </c>
      <c r="Y1084" s="630">
        <v>245000</v>
      </c>
      <c r="Z1084" s="630">
        <v>260000</v>
      </c>
      <c r="AA1084" s="630">
        <v>275000</v>
      </c>
      <c r="AB1084" s="630">
        <v>285000</v>
      </c>
      <c r="AC1084" s="630">
        <v>300000</v>
      </c>
      <c r="AD1084" s="630">
        <v>0</v>
      </c>
      <c r="AE1084" s="630">
        <v>0</v>
      </c>
      <c r="AF1084" s="630">
        <v>0</v>
      </c>
      <c r="AG1084" s="638">
        <v>0</v>
      </c>
      <c r="AH1084" s="638">
        <v>0</v>
      </c>
    </row>
    <row r="1085" spans="1:34" ht="24" customHeight="1">
      <c r="A1085" s="396" t="s">
        <v>652</v>
      </c>
      <c r="B1085" s="588"/>
      <c r="C1085" s="588"/>
      <c r="D1085" s="396" t="s">
        <v>338</v>
      </c>
      <c r="E1085" s="588"/>
      <c r="F1085" s="588"/>
      <c r="G1085" s="588"/>
      <c r="H1085" s="588"/>
      <c r="I1085" s="588"/>
      <c r="J1085" s="588"/>
      <c r="K1085" s="589"/>
      <c r="L1085" s="266"/>
      <c r="M1085" s="590"/>
      <c r="N1085" s="340">
        <v>131143</v>
      </c>
      <c r="O1085" s="340">
        <v>124668</v>
      </c>
      <c r="P1085" s="225">
        <v>117738</v>
      </c>
      <c r="Q1085" s="225">
        <v>117738</v>
      </c>
      <c r="R1085" s="221">
        <v>68073</v>
      </c>
      <c r="S1085" s="221">
        <v>68073</v>
      </c>
      <c r="T1085" s="221">
        <v>68073</v>
      </c>
      <c r="U1085" s="221">
        <v>68073</v>
      </c>
      <c r="V1085" s="221">
        <v>68073</v>
      </c>
      <c r="X1085" s="630">
        <v>68073</v>
      </c>
      <c r="Y1085" s="630">
        <v>58203</v>
      </c>
      <c r="Z1085" s="630">
        <v>47913</v>
      </c>
      <c r="AA1085" s="630">
        <v>36993</v>
      </c>
      <c r="AB1085" s="630">
        <v>25305</v>
      </c>
      <c r="AC1085" s="630">
        <v>13050</v>
      </c>
      <c r="AD1085" s="630">
        <v>0</v>
      </c>
      <c r="AE1085" s="630">
        <v>0</v>
      </c>
      <c r="AF1085" s="630">
        <v>0</v>
      </c>
      <c r="AG1085" s="638">
        <v>0</v>
      </c>
      <c r="AH1085" s="638">
        <v>0</v>
      </c>
    </row>
    <row r="1086" spans="1:34" ht="24" customHeight="1">
      <c r="A1086" s="400" t="s">
        <v>1251</v>
      </c>
      <c r="B1086" s="400"/>
      <c r="C1086" s="400"/>
      <c r="D1086" s="400"/>
      <c r="E1086" s="400"/>
      <c r="F1086" s="400"/>
      <c r="G1086" s="400"/>
      <c r="H1086" s="400"/>
      <c r="I1086" s="400"/>
      <c r="J1086" s="400"/>
      <c r="K1086" s="328"/>
      <c r="L1086" s="209"/>
      <c r="N1086" s="346"/>
      <c r="O1086" s="346"/>
      <c r="P1086" s="238"/>
      <c r="Q1086" s="238"/>
      <c r="R1086" s="237"/>
      <c r="S1086" s="237"/>
      <c r="T1086" s="237"/>
      <c r="U1086" s="237"/>
      <c r="V1086" s="237"/>
      <c r="X1086" s="630"/>
      <c r="Y1086" s="630"/>
      <c r="Z1086" s="630"/>
      <c r="AA1086" s="630"/>
      <c r="AB1086" s="630"/>
      <c r="AC1086" s="630"/>
      <c r="AD1086" s="630"/>
      <c r="AE1086" s="630"/>
      <c r="AF1086" s="630"/>
      <c r="AG1086" s="630"/>
      <c r="AH1086" s="561"/>
    </row>
    <row r="1087" spans="1:34" ht="24" customHeight="1">
      <c r="A1087" s="396" t="s">
        <v>1252</v>
      </c>
      <c r="B1087" s="558"/>
      <c r="C1087" s="558"/>
      <c r="D1087" s="396" t="s">
        <v>1246</v>
      </c>
      <c r="E1087" s="558"/>
      <c r="F1087" s="558"/>
      <c r="G1087" s="558"/>
      <c r="H1087" s="558"/>
      <c r="I1087" s="558"/>
      <c r="J1087" s="397"/>
      <c r="K1087" s="328"/>
      <c r="L1087" s="209"/>
      <c r="M1087" s="247"/>
      <c r="N1087" s="340">
        <v>0</v>
      </c>
      <c r="O1087" s="340">
        <v>0</v>
      </c>
      <c r="P1087" s="225">
        <v>0</v>
      </c>
      <c r="Q1087" s="225">
        <v>0</v>
      </c>
      <c r="R1087" s="221">
        <v>0</v>
      </c>
      <c r="S1087" s="221">
        <v>0</v>
      </c>
      <c r="T1087" s="221">
        <v>0</v>
      </c>
      <c r="U1087" s="221">
        <v>0</v>
      </c>
      <c r="V1087" s="221">
        <v>0</v>
      </c>
      <c r="X1087" s="630">
        <v>0</v>
      </c>
      <c r="Y1087" s="630">
        <v>0</v>
      </c>
      <c r="Z1087" s="630">
        <v>0</v>
      </c>
      <c r="AA1087" s="630">
        <v>0</v>
      </c>
      <c r="AB1087" s="630">
        <v>0</v>
      </c>
      <c r="AC1087" s="630">
        <v>0</v>
      </c>
      <c r="AD1087" s="630">
        <v>230000</v>
      </c>
      <c r="AE1087" s="630">
        <v>235000</v>
      </c>
      <c r="AF1087" s="630">
        <v>245000</v>
      </c>
      <c r="AG1087" s="630">
        <v>255000</v>
      </c>
      <c r="AH1087" s="630">
        <v>270000</v>
      </c>
    </row>
    <row r="1088" spans="1:34" ht="24" customHeight="1">
      <c r="A1088" s="396" t="s">
        <v>1253</v>
      </c>
      <c r="B1088" s="558"/>
      <c r="C1088" s="558"/>
      <c r="D1088" s="396" t="s">
        <v>338</v>
      </c>
      <c r="E1088" s="558"/>
      <c r="F1088" s="558"/>
      <c r="G1088" s="558"/>
      <c r="H1088" s="558"/>
      <c r="I1088" s="558"/>
      <c r="J1088" s="397"/>
      <c r="K1088" s="328"/>
      <c r="L1088" s="209"/>
      <c r="M1088" s="305"/>
      <c r="N1088" s="345">
        <v>0</v>
      </c>
      <c r="O1088" s="345">
        <v>0</v>
      </c>
      <c r="P1088" s="235">
        <v>0</v>
      </c>
      <c r="Q1088" s="235">
        <v>0</v>
      </c>
      <c r="R1088" s="234">
        <v>0</v>
      </c>
      <c r="S1088" s="234">
        <v>25358</v>
      </c>
      <c r="T1088" s="234">
        <v>50715</v>
      </c>
      <c r="U1088" s="234">
        <v>50715</v>
      </c>
      <c r="V1088" s="234">
        <v>50715</v>
      </c>
      <c r="W1088" s="529"/>
      <c r="X1088" s="630">
        <v>50715</v>
      </c>
      <c r="Y1088" s="630">
        <v>50715</v>
      </c>
      <c r="Z1088" s="630">
        <v>50715</v>
      </c>
      <c r="AA1088" s="630">
        <v>50715</v>
      </c>
      <c r="AB1088" s="630">
        <v>50715</v>
      </c>
      <c r="AC1088" s="630">
        <v>50715</v>
      </c>
      <c r="AD1088" s="630">
        <v>50715</v>
      </c>
      <c r="AE1088" s="630">
        <v>41515</v>
      </c>
      <c r="AF1088" s="630">
        <v>32115</v>
      </c>
      <c r="AG1088" s="630">
        <v>22193</v>
      </c>
      <c r="AH1088" s="630">
        <v>11610</v>
      </c>
    </row>
    <row r="1089" spans="1:33" ht="15" customHeight="1">
      <c r="A1089" s="328"/>
      <c r="B1089" s="328"/>
      <c r="C1089" s="328"/>
      <c r="D1089" s="328"/>
      <c r="E1089" s="328"/>
      <c r="F1089" s="328"/>
      <c r="G1089" s="328"/>
      <c r="H1089" s="328"/>
      <c r="I1089" s="328"/>
      <c r="J1089" s="328"/>
      <c r="K1089" s="328"/>
      <c r="L1089" s="209"/>
      <c r="N1089" s="346"/>
      <c r="O1089" s="346"/>
      <c r="P1089" s="238"/>
      <c r="Q1089" s="238"/>
      <c r="R1089" s="237"/>
      <c r="S1089" s="237"/>
      <c r="T1089" s="237"/>
      <c r="U1089" s="237"/>
      <c r="V1089" s="237"/>
      <c r="X1089" s="304"/>
      <c r="Y1089" s="304"/>
      <c r="Z1089" s="304"/>
      <c r="AA1089" s="304"/>
      <c r="AB1089" s="304"/>
      <c r="AC1089" s="304"/>
      <c r="AD1089" s="304"/>
      <c r="AE1089" s="304"/>
      <c r="AF1089" s="304"/>
      <c r="AG1089" s="304"/>
    </row>
    <row r="1090" spans="1:33" s="328" customFormat="1" ht="24" customHeight="1">
      <c r="K1090" s="400" t="s">
        <v>659</v>
      </c>
      <c r="L1090" s="422"/>
      <c r="M1090" s="441"/>
      <c r="N1090" s="348">
        <f t="shared" ref="N1090" si="347">SUM(N1079:N1089)</f>
        <v>307585</v>
      </c>
      <c r="O1090" s="348">
        <f t="shared" ref="O1090:V1090" si="348">SUM(O1079:O1089)</f>
        <v>307670</v>
      </c>
      <c r="P1090" s="349">
        <f t="shared" ref="P1090" si="349">SUM(P1079:P1089)</f>
        <v>2105113</v>
      </c>
      <c r="Q1090" s="349">
        <f>SUM(Q1079:Q1089)</f>
        <v>2105113</v>
      </c>
      <c r="R1090" s="348">
        <f>SUM(R1079:R1089)</f>
        <v>91398</v>
      </c>
      <c r="S1090" s="348">
        <f t="shared" ref="S1090:T1090" si="350">SUM(S1079:S1089)</f>
        <v>116756</v>
      </c>
      <c r="T1090" s="348">
        <f t="shared" si="350"/>
        <v>142113</v>
      </c>
      <c r="U1090" s="348">
        <f>SUM(U1079:U1089)</f>
        <v>142113</v>
      </c>
      <c r="V1090" s="348">
        <f t="shared" si="348"/>
        <v>142113</v>
      </c>
      <c r="W1090" s="640"/>
      <c r="X1090" s="417"/>
      <c r="Y1090" s="417"/>
      <c r="Z1090" s="417"/>
      <c r="AA1090" s="417"/>
      <c r="AB1090" s="417"/>
      <c r="AC1090" s="417"/>
      <c r="AD1090" s="417"/>
      <c r="AE1090" s="446"/>
      <c r="AF1090" s="446"/>
      <c r="AG1090" s="446"/>
    </row>
    <row r="1091" spans="1:33" s="328" customFormat="1" ht="15" customHeight="1">
      <c r="L1091" s="424"/>
      <c r="M1091" s="435"/>
      <c r="N1091" s="346"/>
      <c r="O1091" s="346"/>
      <c r="P1091" s="347"/>
      <c r="Q1091" s="347"/>
      <c r="R1091" s="346"/>
      <c r="S1091" s="346"/>
      <c r="T1091" s="346"/>
      <c r="U1091" s="346"/>
      <c r="V1091" s="346"/>
      <c r="W1091" s="640"/>
      <c r="AE1091" s="446"/>
      <c r="AF1091" s="446"/>
      <c r="AG1091" s="446"/>
    </row>
    <row r="1092" spans="1:33" s="328" customFormat="1" ht="24" customHeight="1">
      <c r="K1092" s="400" t="s">
        <v>660</v>
      </c>
      <c r="L1092" s="422"/>
      <c r="M1092" s="423"/>
      <c r="N1092" s="348">
        <f t="shared" ref="N1092" si="351">N1077-N1090</f>
        <v>-300679</v>
      </c>
      <c r="O1092" s="348">
        <f t="shared" ref="O1092:V1092" si="352">O1077-O1090</f>
        <v>-305538</v>
      </c>
      <c r="P1092" s="349">
        <f t="shared" ref="P1092" si="353">P1077-P1090</f>
        <v>-2103563</v>
      </c>
      <c r="Q1092" s="349">
        <f t="shared" si="352"/>
        <v>-2105007</v>
      </c>
      <c r="R1092" s="348">
        <f t="shared" ref="R1092:U1092" si="354">R1077-R1090</f>
        <v>-71398</v>
      </c>
      <c r="S1092" s="348">
        <f t="shared" si="354"/>
        <v>3244</v>
      </c>
      <c r="T1092" s="348">
        <f t="shared" si="354"/>
        <v>-22113</v>
      </c>
      <c r="U1092" s="348">
        <f t="shared" si="354"/>
        <v>-22113</v>
      </c>
      <c r="V1092" s="348">
        <f t="shared" si="352"/>
        <v>-22113</v>
      </c>
      <c r="W1092" s="640"/>
    </row>
    <row r="1093" spans="1:33" s="328" customFormat="1" ht="15" customHeight="1">
      <c r="L1093" s="424"/>
      <c r="M1093" s="435"/>
      <c r="N1093" s="346"/>
      <c r="O1093" s="346"/>
      <c r="P1093" s="347"/>
      <c r="Q1093" s="347"/>
      <c r="R1093" s="346"/>
      <c r="S1093" s="346"/>
      <c r="T1093" s="346"/>
      <c r="U1093" s="346"/>
      <c r="V1093" s="346"/>
      <c r="W1093" s="640"/>
    </row>
    <row r="1094" spans="1:33" s="328" customFormat="1" ht="24" customHeight="1">
      <c r="K1094" s="405" t="s">
        <v>662</v>
      </c>
      <c r="L1094" s="422"/>
      <c r="M1094" s="422"/>
      <c r="N1094" s="365">
        <v>1877872</v>
      </c>
      <c r="O1094" s="365">
        <v>1572335</v>
      </c>
      <c r="P1094" s="366">
        <v>-529634</v>
      </c>
      <c r="Q1094" s="366">
        <f>O1094+Q1092</f>
        <v>-532672</v>
      </c>
      <c r="R1094" s="365">
        <f>Q1094+R1092</f>
        <v>-604070</v>
      </c>
      <c r="S1094" s="365">
        <f>R1094+S1092</f>
        <v>-600826</v>
      </c>
      <c r="T1094" s="365">
        <f>S1094+T1092</f>
        <v>-622939</v>
      </c>
      <c r="U1094" s="365">
        <f>T1094+U1092</f>
        <v>-645052</v>
      </c>
      <c r="V1094" s="365">
        <f>U1094+V1092</f>
        <v>-667165</v>
      </c>
      <c r="W1094" s="640"/>
    </row>
    <row r="1095" spans="1:33" ht="15" customHeight="1">
      <c r="A1095" s="328"/>
      <c r="B1095" s="328"/>
      <c r="C1095" s="328"/>
      <c r="D1095" s="328"/>
      <c r="E1095" s="328"/>
      <c r="F1095" s="328"/>
      <c r="G1095" s="328"/>
      <c r="H1095" s="328"/>
      <c r="I1095" s="328"/>
      <c r="J1095" s="328"/>
      <c r="K1095" s="328"/>
      <c r="L1095" s="209"/>
      <c r="M1095" s="240"/>
      <c r="N1095" s="620"/>
      <c r="O1095" s="620"/>
      <c r="P1095" s="624"/>
      <c r="Q1095" s="624"/>
      <c r="R1095" s="625"/>
      <c r="S1095" s="625"/>
      <c r="T1095" s="625"/>
      <c r="U1095" s="625"/>
      <c r="V1095" s="625"/>
    </row>
    <row r="1096" spans="1:33" ht="24" customHeight="1">
      <c r="A1096" s="407" t="s">
        <v>653</v>
      </c>
      <c r="B1096" s="328"/>
      <c r="C1096" s="328"/>
      <c r="D1096" s="328"/>
      <c r="E1096" s="328"/>
      <c r="F1096" s="328"/>
      <c r="G1096" s="328"/>
      <c r="H1096" s="328"/>
      <c r="I1096" s="328"/>
      <c r="J1096" s="328"/>
      <c r="K1096" s="328"/>
      <c r="L1096" s="209"/>
      <c r="M1096" s="240"/>
      <c r="N1096" s="620"/>
      <c r="O1096" s="620"/>
      <c r="P1096" s="624"/>
      <c r="Q1096" s="624"/>
      <c r="R1096" s="625"/>
      <c r="S1096" s="625"/>
      <c r="T1096" s="625"/>
      <c r="U1096" s="625"/>
      <c r="V1096" s="625"/>
    </row>
    <row r="1097" spans="1:33" ht="15" customHeight="1">
      <c r="A1097" s="328"/>
      <c r="B1097" s="328"/>
      <c r="C1097" s="328"/>
      <c r="D1097" s="328"/>
      <c r="E1097" s="328"/>
      <c r="F1097" s="328"/>
      <c r="G1097" s="328"/>
      <c r="H1097" s="328"/>
      <c r="I1097" s="328"/>
      <c r="J1097" s="328"/>
      <c r="K1097" s="328"/>
      <c r="L1097" s="209"/>
      <c r="N1097" s="394"/>
      <c r="O1097" s="394"/>
      <c r="P1097" s="618"/>
      <c r="Q1097" s="618"/>
      <c r="R1097" s="619"/>
      <c r="S1097" s="619"/>
      <c r="T1097" s="619"/>
      <c r="U1097" s="619"/>
      <c r="V1097" s="619"/>
    </row>
    <row r="1098" spans="1:33" ht="24" customHeight="1">
      <c r="A1098" s="555" t="s">
        <v>1407</v>
      </c>
      <c r="B1098" s="328"/>
      <c r="C1098" s="328"/>
      <c r="D1098" s="555" t="s">
        <v>1395</v>
      </c>
      <c r="E1098" s="328"/>
      <c r="F1098" s="328"/>
      <c r="G1098" s="328"/>
      <c r="H1098" s="328"/>
      <c r="I1098" s="328"/>
      <c r="J1098" s="328"/>
      <c r="K1098" s="328"/>
      <c r="L1098" s="209">
        <v>71588</v>
      </c>
      <c r="M1098" s="214">
        <v>88550</v>
      </c>
      <c r="N1098" s="339">
        <v>67807</v>
      </c>
      <c r="O1098" s="339">
        <v>39980</v>
      </c>
      <c r="P1098" s="216">
        <v>35000</v>
      </c>
      <c r="Q1098" s="216">
        <v>52811</v>
      </c>
      <c r="R1098" s="215">
        <v>65000</v>
      </c>
      <c r="S1098" s="215">
        <v>65000</v>
      </c>
      <c r="T1098" s="215">
        <v>70000</v>
      </c>
      <c r="U1098" s="215">
        <v>70000</v>
      </c>
      <c r="V1098" s="215">
        <v>75000</v>
      </c>
      <c r="X1098" s="656"/>
      <c r="Y1098" s="656"/>
    </row>
    <row r="1099" spans="1:33" ht="24" customHeight="1">
      <c r="A1099" s="594" t="s">
        <v>1423</v>
      </c>
      <c r="B1099" s="594"/>
      <c r="C1099" s="594"/>
      <c r="D1099" s="594" t="s">
        <v>1422</v>
      </c>
      <c r="E1099" s="594"/>
      <c r="F1099" s="594"/>
      <c r="G1099" s="594"/>
      <c r="H1099" s="594"/>
      <c r="I1099" s="594"/>
      <c r="J1099" s="594"/>
      <c r="K1099" s="594"/>
      <c r="L1099" s="209"/>
      <c r="M1099" s="214"/>
      <c r="N1099" s="339">
        <v>0</v>
      </c>
      <c r="O1099" s="339">
        <v>0</v>
      </c>
      <c r="P1099" s="216">
        <v>0</v>
      </c>
      <c r="Q1099" s="216">
        <v>6500</v>
      </c>
      <c r="R1099" s="215">
        <v>20000</v>
      </c>
      <c r="S1099" s="215">
        <v>20000</v>
      </c>
      <c r="T1099" s="215">
        <v>20000</v>
      </c>
      <c r="U1099" s="215">
        <v>20000</v>
      </c>
      <c r="V1099" s="215">
        <v>20000</v>
      </c>
    </row>
    <row r="1100" spans="1:33" ht="24" customHeight="1">
      <c r="A1100" s="396" t="s">
        <v>821</v>
      </c>
      <c r="B1100" s="506"/>
      <c r="C1100" s="593"/>
      <c r="D1100" s="507" t="s">
        <v>6</v>
      </c>
      <c r="E1100" s="506"/>
      <c r="F1100" s="506"/>
      <c r="G1100" s="506"/>
      <c r="H1100" s="506"/>
      <c r="I1100" s="506"/>
      <c r="J1100" s="506"/>
      <c r="K1100" s="506"/>
      <c r="L1100" s="218"/>
      <c r="M1100" s="214"/>
      <c r="N1100" s="339">
        <v>126</v>
      </c>
      <c r="O1100" s="339">
        <v>428</v>
      </c>
      <c r="P1100" s="216">
        <v>350</v>
      </c>
      <c r="Q1100" s="216">
        <v>75</v>
      </c>
      <c r="R1100" s="215">
        <v>75</v>
      </c>
      <c r="S1100" s="215">
        <v>75</v>
      </c>
      <c r="T1100" s="215">
        <v>75</v>
      </c>
      <c r="U1100" s="215">
        <v>75</v>
      </c>
      <c r="V1100" s="215">
        <v>75</v>
      </c>
    </row>
    <row r="1101" spans="1:33" ht="24" customHeight="1">
      <c r="A1101" s="396" t="s">
        <v>1393</v>
      </c>
      <c r="B1101" s="397"/>
      <c r="C1101" s="397"/>
      <c r="D1101" s="512" t="s">
        <v>1372</v>
      </c>
      <c r="E1101" s="397"/>
      <c r="F1101" s="397"/>
      <c r="G1101" s="397"/>
      <c r="H1101" s="397"/>
      <c r="I1101" s="397"/>
      <c r="J1101" s="397"/>
      <c r="K1101" s="397"/>
      <c r="L1101" s="218"/>
      <c r="M1101" s="310"/>
      <c r="N1101" s="354">
        <v>0</v>
      </c>
      <c r="O1101" s="354">
        <v>5000</v>
      </c>
      <c r="P1101" s="256">
        <v>0</v>
      </c>
      <c r="Q1101" s="256">
        <v>8500</v>
      </c>
      <c r="R1101" s="255">
        <v>0</v>
      </c>
      <c r="S1101" s="255">
        <v>0</v>
      </c>
      <c r="T1101" s="255">
        <v>0</v>
      </c>
      <c r="U1101" s="255">
        <v>0</v>
      </c>
      <c r="V1101" s="255">
        <v>0</v>
      </c>
    </row>
    <row r="1102" spans="1:33" ht="15" customHeight="1">
      <c r="A1102" s="328"/>
      <c r="B1102" s="328"/>
      <c r="C1102" s="328"/>
      <c r="D1102" s="328"/>
      <c r="E1102" s="328"/>
      <c r="F1102" s="328"/>
      <c r="G1102" s="328"/>
      <c r="H1102" s="328"/>
      <c r="I1102" s="328"/>
      <c r="J1102" s="328"/>
      <c r="K1102" s="328"/>
      <c r="L1102" s="209"/>
      <c r="N1102" s="346"/>
      <c r="O1102" s="346"/>
      <c r="P1102" s="238"/>
      <c r="Q1102" s="238"/>
      <c r="R1102" s="237"/>
      <c r="S1102" s="237"/>
      <c r="T1102" s="237"/>
      <c r="U1102" s="237"/>
      <c r="V1102" s="237"/>
    </row>
    <row r="1103" spans="1:33" s="328" customFormat="1" ht="24" customHeight="1">
      <c r="K1103" s="400" t="s">
        <v>656</v>
      </c>
      <c r="L1103" s="422"/>
      <c r="M1103" s="423"/>
      <c r="N1103" s="348">
        <f>SUM(N1098:N1102)</f>
        <v>67933</v>
      </c>
      <c r="O1103" s="348">
        <f t="shared" ref="O1103" si="355">SUM(O1098:O1102)</f>
        <v>45408</v>
      </c>
      <c r="P1103" s="349">
        <f t="shared" ref="P1103" si="356">SUM(P1098:P1102)</f>
        <v>35350</v>
      </c>
      <c r="Q1103" s="349">
        <f>SUM(Q1098:Q1102)</f>
        <v>67886</v>
      </c>
      <c r="R1103" s="348">
        <f>SUM(R1098:R1102)</f>
        <v>85075</v>
      </c>
      <c r="S1103" s="348">
        <f t="shared" ref="S1103:T1103" si="357">SUM(S1098:S1102)</f>
        <v>85075</v>
      </c>
      <c r="T1103" s="348">
        <f t="shared" si="357"/>
        <v>90075</v>
      </c>
      <c r="U1103" s="348">
        <f>SUM(U1098:U1102)</f>
        <v>90075</v>
      </c>
      <c r="V1103" s="348">
        <f>SUM(V1098:V1102)</f>
        <v>95075</v>
      </c>
      <c r="W1103" s="640"/>
    </row>
    <row r="1104" spans="1:33" ht="15" customHeight="1">
      <c r="A1104" s="328"/>
      <c r="B1104" s="328"/>
      <c r="C1104" s="328"/>
      <c r="D1104" s="328"/>
      <c r="E1104" s="328"/>
      <c r="F1104" s="328"/>
      <c r="G1104" s="328"/>
      <c r="H1104" s="328"/>
      <c r="I1104" s="328"/>
      <c r="J1104" s="328"/>
      <c r="K1104" s="328"/>
      <c r="L1104" s="209"/>
      <c r="N1104" s="346"/>
      <c r="O1104" s="346"/>
      <c r="P1104" s="238"/>
      <c r="Q1104" s="238"/>
      <c r="R1104" s="237"/>
      <c r="S1104" s="237"/>
      <c r="T1104" s="237"/>
      <c r="U1104" s="237"/>
      <c r="V1104" s="237"/>
    </row>
    <row r="1105" spans="1:25" ht="24" customHeight="1">
      <c r="A1105" s="396" t="s">
        <v>654</v>
      </c>
      <c r="B1105" s="397"/>
      <c r="C1105" s="397"/>
      <c r="D1105" s="396" t="s">
        <v>642</v>
      </c>
      <c r="E1105" s="397"/>
      <c r="F1105" s="397"/>
      <c r="G1105" s="397"/>
      <c r="H1105" s="397"/>
      <c r="I1105" s="397"/>
      <c r="J1105" s="397"/>
      <c r="K1105" s="397"/>
      <c r="L1105" s="218"/>
      <c r="M1105" s="247"/>
      <c r="N1105" s="339">
        <v>366</v>
      </c>
      <c r="O1105" s="339">
        <v>3951</v>
      </c>
      <c r="P1105" s="216">
        <v>350</v>
      </c>
      <c r="Q1105" s="216">
        <v>350</v>
      </c>
      <c r="R1105" s="215">
        <v>355</v>
      </c>
      <c r="S1105" s="215">
        <v>360</v>
      </c>
      <c r="T1105" s="215">
        <v>365</v>
      </c>
      <c r="U1105" s="215">
        <v>375</v>
      </c>
      <c r="V1105" s="215">
        <v>375</v>
      </c>
      <c r="X1105" s="217"/>
    </row>
    <row r="1106" spans="1:25" ht="24" customHeight="1">
      <c r="A1106" s="396" t="s">
        <v>806</v>
      </c>
      <c r="B1106" s="397"/>
      <c r="C1106" s="397"/>
      <c r="D1106" s="396" t="s">
        <v>152</v>
      </c>
      <c r="E1106" s="397"/>
      <c r="F1106" s="397"/>
      <c r="G1106" s="397"/>
      <c r="H1106" s="397"/>
      <c r="I1106" s="397"/>
      <c r="J1106" s="397"/>
      <c r="K1106" s="397"/>
      <c r="L1106" s="218"/>
      <c r="M1106" s="253"/>
      <c r="N1106" s="340">
        <v>11786</v>
      </c>
      <c r="O1106" s="340">
        <v>14440</v>
      </c>
      <c r="P1106" s="225">
        <v>15000</v>
      </c>
      <c r="Q1106" s="225">
        <v>15000</v>
      </c>
      <c r="R1106" s="221">
        <v>15000</v>
      </c>
      <c r="S1106" s="221">
        <v>15000</v>
      </c>
      <c r="T1106" s="221">
        <v>15000</v>
      </c>
      <c r="U1106" s="221">
        <v>15000</v>
      </c>
      <c r="V1106" s="221">
        <v>15000</v>
      </c>
    </row>
    <row r="1107" spans="1:25" ht="24" customHeight="1">
      <c r="A1107" s="396" t="s">
        <v>1250</v>
      </c>
      <c r="B1107" s="397"/>
      <c r="C1107" s="397"/>
      <c r="D1107" s="396" t="s">
        <v>1249</v>
      </c>
      <c r="E1107" s="642"/>
      <c r="F1107" s="642"/>
      <c r="G1107" s="642"/>
      <c r="H1107" s="642"/>
      <c r="I1107" s="642"/>
      <c r="J1107" s="642"/>
      <c r="K1107" s="642"/>
      <c r="L1107" s="218"/>
      <c r="M1107" s="253"/>
      <c r="N1107" s="340">
        <v>0</v>
      </c>
      <c r="O1107" s="340">
        <v>0</v>
      </c>
      <c r="P1107" s="225">
        <v>0</v>
      </c>
      <c r="Q1107" s="225">
        <v>0</v>
      </c>
      <c r="R1107" s="221">
        <v>0</v>
      </c>
      <c r="S1107" s="221">
        <v>0</v>
      </c>
      <c r="T1107" s="221">
        <v>0</v>
      </c>
      <c r="U1107" s="221">
        <v>0</v>
      </c>
      <c r="V1107" s="221">
        <v>0</v>
      </c>
    </row>
    <row r="1108" spans="1:25" ht="24" customHeight="1">
      <c r="A1108" s="396" t="s">
        <v>1455</v>
      </c>
      <c r="B1108" s="612"/>
      <c r="C1108" s="612"/>
      <c r="D1108" s="396" t="s">
        <v>1262</v>
      </c>
      <c r="E1108" s="612"/>
      <c r="F1108" s="612"/>
      <c r="G1108" s="612"/>
      <c r="H1108" s="612"/>
      <c r="I1108" s="612"/>
      <c r="J1108" s="612"/>
      <c r="K1108" s="612"/>
      <c r="L1108" s="218"/>
      <c r="M1108" s="253"/>
      <c r="N1108" s="340">
        <f>N1099</f>
        <v>0</v>
      </c>
      <c r="O1108" s="340">
        <f t="shared" ref="O1108:V1108" si="358">O1099</f>
        <v>0</v>
      </c>
      <c r="P1108" s="342">
        <f t="shared" si="358"/>
        <v>0</v>
      </c>
      <c r="Q1108" s="342">
        <f t="shared" si="358"/>
        <v>6500</v>
      </c>
      <c r="R1108" s="340">
        <f t="shared" si="358"/>
        <v>20000</v>
      </c>
      <c r="S1108" s="340">
        <f t="shared" si="358"/>
        <v>20000</v>
      </c>
      <c r="T1108" s="340">
        <f t="shared" si="358"/>
        <v>20000</v>
      </c>
      <c r="U1108" s="340">
        <f t="shared" si="358"/>
        <v>20000</v>
      </c>
      <c r="V1108" s="340">
        <f t="shared" si="358"/>
        <v>20000</v>
      </c>
    </row>
    <row r="1109" spans="1:25" ht="24" customHeight="1">
      <c r="A1109" s="396" t="s">
        <v>807</v>
      </c>
      <c r="B1109" s="397"/>
      <c r="C1109" s="397"/>
      <c r="D1109" s="396" t="s">
        <v>808</v>
      </c>
      <c r="E1109" s="397"/>
      <c r="F1109" s="397"/>
      <c r="G1109" s="397"/>
      <c r="H1109" s="397"/>
      <c r="I1109" s="397"/>
      <c r="J1109" s="397"/>
      <c r="K1109" s="397"/>
      <c r="L1109" s="218"/>
      <c r="M1109" s="253"/>
      <c r="N1109" s="340">
        <v>7589</v>
      </c>
      <c r="O1109" s="340">
        <v>56367</v>
      </c>
      <c r="P1109" s="225">
        <v>10000</v>
      </c>
      <c r="Q1109" s="225">
        <v>10000</v>
      </c>
      <c r="R1109" s="221">
        <v>10000</v>
      </c>
      <c r="S1109" s="221">
        <v>10000</v>
      </c>
      <c r="T1109" s="221">
        <v>10000</v>
      </c>
      <c r="U1109" s="221">
        <v>10000</v>
      </c>
      <c r="V1109" s="221">
        <v>10000</v>
      </c>
    </row>
    <row r="1110" spans="1:25" ht="24" customHeight="1">
      <c r="A1110" s="558" t="s">
        <v>1415</v>
      </c>
      <c r="B1110" s="399"/>
      <c r="C1110" s="399"/>
      <c r="D1110" s="398" t="s">
        <v>1463</v>
      </c>
      <c r="E1110" s="399"/>
      <c r="F1110" s="399"/>
      <c r="G1110" s="399"/>
      <c r="H1110" s="399"/>
      <c r="I1110" s="399"/>
      <c r="J1110" s="399"/>
      <c r="K1110" s="399"/>
      <c r="L1110" s="236"/>
      <c r="M1110" s="209"/>
      <c r="N1110" s="352">
        <v>0</v>
      </c>
      <c r="O1110" s="352">
        <v>0</v>
      </c>
      <c r="P1110" s="212">
        <v>0</v>
      </c>
      <c r="Q1110" s="212">
        <v>0</v>
      </c>
      <c r="R1110" s="211">
        <v>0</v>
      </c>
      <c r="S1110" s="211">
        <f>277750+33000</f>
        <v>310750</v>
      </c>
      <c r="T1110" s="211">
        <v>0</v>
      </c>
      <c r="U1110" s="211">
        <v>0</v>
      </c>
      <c r="V1110" s="211">
        <v>0</v>
      </c>
      <c r="X1110" s="213"/>
    </row>
    <row r="1111" spans="1:25" ht="24" customHeight="1">
      <c r="A1111" s="396" t="s">
        <v>655</v>
      </c>
      <c r="B1111" s="397"/>
      <c r="C1111" s="397"/>
      <c r="D1111" s="396" t="s">
        <v>330</v>
      </c>
      <c r="E1111" s="397"/>
      <c r="F1111" s="397"/>
      <c r="G1111" s="397"/>
      <c r="H1111" s="397"/>
      <c r="I1111" s="397"/>
      <c r="J1111" s="397"/>
      <c r="K1111" s="397"/>
      <c r="L1111" s="218"/>
      <c r="M1111" s="271"/>
      <c r="N1111" s="345">
        <v>0</v>
      </c>
      <c r="O1111" s="345">
        <v>11667</v>
      </c>
      <c r="P1111" s="235">
        <v>20000</v>
      </c>
      <c r="Q1111" s="235">
        <v>20000</v>
      </c>
      <c r="R1111" s="233">
        <v>7433</v>
      </c>
      <c r="S1111" s="233">
        <v>7433</v>
      </c>
      <c r="T1111" s="233">
        <v>7433</v>
      </c>
      <c r="U1111" s="233">
        <v>7433</v>
      </c>
      <c r="V1111" s="233">
        <v>7433</v>
      </c>
      <c r="W1111" s="520"/>
      <c r="X1111" s="275"/>
      <c r="Y1111" s="275"/>
    </row>
    <row r="1112" spans="1:25" ht="15" customHeight="1">
      <c r="A1112" s="328"/>
      <c r="B1112" s="328"/>
      <c r="C1112" s="328"/>
      <c r="D1112" s="328"/>
      <c r="E1112" s="328"/>
      <c r="F1112" s="328"/>
      <c r="G1112" s="328"/>
      <c r="H1112" s="328"/>
      <c r="I1112" s="328"/>
      <c r="J1112" s="328"/>
      <c r="K1112" s="328"/>
      <c r="L1112" s="209"/>
      <c r="N1112" s="346"/>
      <c r="O1112" s="346"/>
      <c r="P1112" s="238"/>
      <c r="Q1112" s="238"/>
      <c r="R1112" s="237"/>
      <c r="S1112" s="237"/>
      <c r="T1112" s="237"/>
      <c r="U1112" s="237"/>
      <c r="V1112" s="237"/>
    </row>
    <row r="1113" spans="1:25" s="328" customFormat="1" ht="24" customHeight="1">
      <c r="K1113" s="400" t="s">
        <v>659</v>
      </c>
      <c r="L1113" s="422"/>
      <c r="M1113" s="441"/>
      <c r="N1113" s="348">
        <f t="shared" ref="N1113" si="359">SUM(N1105:N1112)</f>
        <v>19741</v>
      </c>
      <c r="O1113" s="348">
        <f t="shared" ref="O1113:V1113" si="360">SUM(O1105:O1112)</f>
        <v>86425</v>
      </c>
      <c r="P1113" s="349">
        <f t="shared" ref="P1113" si="361">SUM(P1105:P1112)</f>
        <v>45350</v>
      </c>
      <c r="Q1113" s="349">
        <f t="shared" si="360"/>
        <v>51850</v>
      </c>
      <c r="R1113" s="348">
        <f t="shared" ref="R1113:U1113" si="362">SUM(R1105:R1112)</f>
        <v>52788</v>
      </c>
      <c r="S1113" s="348">
        <f>SUM(S1105:S1112)</f>
        <v>363543</v>
      </c>
      <c r="T1113" s="348">
        <f t="shared" si="362"/>
        <v>52798</v>
      </c>
      <c r="U1113" s="348">
        <f t="shared" si="362"/>
        <v>52808</v>
      </c>
      <c r="V1113" s="348">
        <f t="shared" si="360"/>
        <v>52808</v>
      </c>
      <c r="W1113" s="640"/>
    </row>
    <row r="1114" spans="1:25" s="328" customFormat="1" ht="15" customHeight="1">
      <c r="L1114" s="424"/>
      <c r="M1114" s="435"/>
      <c r="N1114" s="346"/>
      <c r="O1114" s="346"/>
      <c r="P1114" s="347"/>
      <c r="Q1114" s="347"/>
      <c r="R1114" s="346"/>
      <c r="S1114" s="346"/>
      <c r="T1114" s="346"/>
      <c r="U1114" s="346"/>
      <c r="V1114" s="346"/>
      <c r="W1114" s="640"/>
    </row>
    <row r="1115" spans="1:25" s="328" customFormat="1" ht="24" customHeight="1">
      <c r="K1115" s="400" t="s">
        <v>660</v>
      </c>
      <c r="L1115" s="422"/>
      <c r="M1115" s="422"/>
      <c r="N1115" s="365">
        <f t="shared" ref="N1115" si="363">N1103-N1113</f>
        <v>48192</v>
      </c>
      <c r="O1115" s="365">
        <f t="shared" ref="O1115:V1115" si="364">O1103-O1113</f>
        <v>-41017</v>
      </c>
      <c r="P1115" s="366">
        <f t="shared" ref="P1115" si="365">P1103-P1113</f>
        <v>-10000</v>
      </c>
      <c r="Q1115" s="366">
        <f t="shared" si="364"/>
        <v>16036</v>
      </c>
      <c r="R1115" s="365">
        <f t="shared" ref="R1115:U1115" si="366">R1103-R1113</f>
        <v>32287</v>
      </c>
      <c r="S1115" s="365">
        <f t="shared" si="366"/>
        <v>-278468</v>
      </c>
      <c r="T1115" s="365">
        <f t="shared" si="366"/>
        <v>37277</v>
      </c>
      <c r="U1115" s="365">
        <f t="shared" si="366"/>
        <v>37267</v>
      </c>
      <c r="V1115" s="365">
        <f t="shared" si="364"/>
        <v>42267</v>
      </c>
      <c r="W1115" s="640"/>
    </row>
    <row r="1116" spans="1:25" s="328" customFormat="1" ht="15" customHeight="1">
      <c r="L1116" s="424"/>
      <c r="M1116" s="422"/>
      <c r="N1116" s="365"/>
      <c r="O1116" s="365"/>
      <c r="P1116" s="366"/>
      <c r="Q1116" s="366"/>
      <c r="R1116" s="365"/>
      <c r="S1116" s="365"/>
      <c r="T1116" s="365"/>
      <c r="U1116" s="365"/>
      <c r="V1116" s="365"/>
      <c r="W1116" s="640"/>
    </row>
    <row r="1117" spans="1:25" s="328" customFormat="1" ht="24" customHeight="1">
      <c r="K1117" s="405" t="s">
        <v>662</v>
      </c>
      <c r="L1117" s="422"/>
      <c r="M1117" s="422"/>
      <c r="N1117" s="365">
        <v>257953</v>
      </c>
      <c r="O1117" s="365">
        <v>216937</v>
      </c>
      <c r="P1117" s="366">
        <v>251449</v>
      </c>
      <c r="Q1117" s="366">
        <f>O1117+Q1115</f>
        <v>232973</v>
      </c>
      <c r="R1117" s="365">
        <f>Q1117+R1115</f>
        <v>265260</v>
      </c>
      <c r="S1117" s="365">
        <f>R1117+S1115</f>
        <v>-13208</v>
      </c>
      <c r="T1117" s="365">
        <f>S1117+T1115</f>
        <v>24069</v>
      </c>
      <c r="U1117" s="365">
        <f>T1117+U1115</f>
        <v>61336</v>
      </c>
      <c r="V1117" s="365">
        <f>U1117+V1115</f>
        <v>103603</v>
      </c>
      <c r="W1117" s="640"/>
    </row>
    <row r="1118" spans="1:25" s="486" customFormat="1" ht="24" customHeight="1">
      <c r="K1118" s="405"/>
      <c r="L1118" s="422"/>
      <c r="M1118" s="422"/>
      <c r="N1118" s="365"/>
      <c r="O1118" s="365"/>
      <c r="P1118" s="366"/>
      <c r="Q1118" s="366"/>
      <c r="R1118" s="365"/>
      <c r="S1118" s="365"/>
      <c r="T1118" s="365"/>
      <c r="U1118" s="365"/>
      <c r="V1118" s="365"/>
      <c r="W1118" s="640"/>
    </row>
    <row r="1119" spans="1:25" ht="15" customHeight="1">
      <c r="A1119" s="488"/>
      <c r="B1119" s="488"/>
      <c r="C1119" s="488"/>
      <c r="D1119" s="488"/>
      <c r="E1119" s="488"/>
      <c r="F1119" s="488"/>
      <c r="G1119" s="488"/>
      <c r="H1119" s="488"/>
      <c r="I1119" s="488"/>
      <c r="J1119" s="488"/>
      <c r="K1119" s="488"/>
      <c r="L1119" s="266"/>
      <c r="M1119" s="326"/>
      <c r="N1119" s="346"/>
      <c r="O1119" s="346"/>
      <c r="P1119" s="347"/>
      <c r="Q1119" s="238"/>
      <c r="R1119" s="237"/>
      <c r="S1119" s="237"/>
      <c r="T1119" s="237"/>
      <c r="U1119" s="237"/>
      <c r="V1119" s="237"/>
    </row>
    <row r="1120" spans="1:25" s="490" customFormat="1" ht="20.100000000000001" customHeight="1">
      <c r="A1120" s="734" t="s">
        <v>826</v>
      </c>
      <c r="B1120" s="734"/>
      <c r="C1120" s="734"/>
      <c r="D1120" s="734"/>
      <c r="E1120" s="734"/>
      <c r="F1120" s="734"/>
      <c r="G1120" s="734"/>
      <c r="H1120" s="734"/>
      <c r="I1120" s="734"/>
      <c r="J1120" s="734"/>
      <c r="L1120" s="491"/>
      <c r="N1120" s="492"/>
      <c r="O1120" s="492"/>
      <c r="P1120" s="492"/>
      <c r="Q1120" s="492"/>
      <c r="R1120" s="492"/>
      <c r="S1120" s="492"/>
      <c r="T1120" s="492"/>
      <c r="U1120" s="492"/>
      <c r="V1120" s="492"/>
      <c r="W1120" s="494"/>
    </row>
    <row r="1121" spans="10:23" s="571" customFormat="1" ht="24" customHeight="1">
      <c r="K1121" s="572" t="s">
        <v>742</v>
      </c>
      <c r="L1121" s="573"/>
      <c r="M1121" s="574"/>
      <c r="N1121" s="575"/>
      <c r="O1121" s="575"/>
      <c r="P1121" s="576"/>
      <c r="Q1121" s="576"/>
      <c r="R1121" s="575"/>
      <c r="S1121" s="575"/>
      <c r="T1121" s="575"/>
      <c r="U1121" s="575"/>
      <c r="V1121" s="575"/>
      <c r="W1121" s="577"/>
    </row>
    <row r="1122" spans="10:23" s="328" customFormat="1" ht="24" customHeight="1">
      <c r="J1122" s="741" t="s">
        <v>1240</v>
      </c>
      <c r="K1122" s="328" t="s">
        <v>743</v>
      </c>
      <c r="L1122" s="424">
        <v>-1734080</v>
      </c>
      <c r="M1122" s="424">
        <v>-1711138</v>
      </c>
      <c r="N1122" s="360">
        <f t="shared" ref="N1122:V1122" si="367">N304</f>
        <v>1542522</v>
      </c>
      <c r="O1122" s="360">
        <f t="shared" si="367"/>
        <v>2953193</v>
      </c>
      <c r="P1122" s="347">
        <f t="shared" si="367"/>
        <v>-893104</v>
      </c>
      <c r="Q1122" s="347">
        <f t="shared" si="367"/>
        <v>-506280</v>
      </c>
      <c r="R1122" s="346">
        <f t="shared" si="367"/>
        <v>156513</v>
      </c>
      <c r="S1122" s="346">
        <f t="shared" si="367"/>
        <v>-233768</v>
      </c>
      <c r="T1122" s="346">
        <f t="shared" si="367"/>
        <v>-548420</v>
      </c>
      <c r="U1122" s="346">
        <f t="shared" si="367"/>
        <v>-1005794</v>
      </c>
      <c r="V1122" s="346">
        <f t="shared" si="367"/>
        <v>-1444377</v>
      </c>
      <c r="W1122" s="640"/>
    </row>
    <row r="1123" spans="10:23" s="328" customFormat="1" ht="24" customHeight="1">
      <c r="J1123" s="741"/>
      <c r="K1123" s="328" t="s">
        <v>744</v>
      </c>
      <c r="L1123" s="424">
        <v>-13660</v>
      </c>
      <c r="M1123" s="424">
        <v>15886</v>
      </c>
      <c r="N1123" s="360">
        <f t="shared" ref="N1123:V1123" si="368">N322</f>
        <v>-871</v>
      </c>
      <c r="O1123" s="360">
        <f t="shared" si="368"/>
        <v>-1947</v>
      </c>
      <c r="P1123" s="347">
        <f t="shared" si="368"/>
        <v>-3714</v>
      </c>
      <c r="Q1123" s="347">
        <f t="shared" si="368"/>
        <v>-3903</v>
      </c>
      <c r="R1123" s="346">
        <f t="shared" si="368"/>
        <v>-11067</v>
      </c>
      <c r="S1123" s="346">
        <f t="shared" si="368"/>
        <v>-11067</v>
      </c>
      <c r="T1123" s="346">
        <f t="shared" si="368"/>
        <v>3933</v>
      </c>
      <c r="U1123" s="346">
        <f t="shared" si="368"/>
        <v>3933</v>
      </c>
      <c r="V1123" s="346">
        <f t="shared" si="368"/>
        <v>3933</v>
      </c>
      <c r="W1123" s="640"/>
    </row>
    <row r="1124" spans="10:23" s="328" customFormat="1" ht="24" customHeight="1">
      <c r="J1124" s="741"/>
      <c r="K1124" s="328" t="s">
        <v>745</v>
      </c>
      <c r="L1124" s="424">
        <v>1099</v>
      </c>
      <c r="M1124" s="424">
        <v>5089</v>
      </c>
      <c r="N1124" s="360">
        <f t="shared" ref="N1124:V1124" si="369">N339</f>
        <v>265</v>
      </c>
      <c r="O1124" s="360">
        <f t="shared" si="369"/>
        <v>-4448</v>
      </c>
      <c r="P1124" s="347">
        <f t="shared" si="369"/>
        <v>-7454</v>
      </c>
      <c r="Q1124" s="347">
        <f t="shared" si="369"/>
        <v>-7516</v>
      </c>
      <c r="R1124" s="346">
        <f t="shared" si="369"/>
        <v>-18569</v>
      </c>
      <c r="S1124" s="346">
        <f t="shared" si="369"/>
        <v>-18569</v>
      </c>
      <c r="T1124" s="346">
        <f t="shared" si="369"/>
        <v>6431</v>
      </c>
      <c r="U1124" s="346">
        <f t="shared" si="369"/>
        <v>6431</v>
      </c>
      <c r="V1124" s="346">
        <f t="shared" si="369"/>
        <v>6431</v>
      </c>
      <c r="W1124" s="640"/>
    </row>
    <row r="1125" spans="10:23" s="328" customFormat="1" ht="24" customHeight="1">
      <c r="J1125" s="741"/>
      <c r="K1125" s="328" t="s">
        <v>899</v>
      </c>
      <c r="L1125" s="424">
        <v>-35552</v>
      </c>
      <c r="M1125" s="424">
        <v>104685</v>
      </c>
      <c r="N1125" s="360">
        <f t="shared" ref="N1125:V1125" si="370">N376</f>
        <v>284457</v>
      </c>
      <c r="O1125" s="360">
        <f t="shared" si="370"/>
        <v>237647</v>
      </c>
      <c r="P1125" s="347">
        <f t="shared" si="370"/>
        <v>-485456</v>
      </c>
      <c r="Q1125" s="347">
        <f t="shared" si="370"/>
        <v>-161660</v>
      </c>
      <c r="R1125" s="346">
        <f t="shared" si="370"/>
        <v>-380499</v>
      </c>
      <c r="S1125" s="346">
        <f t="shared" si="370"/>
        <v>-236465</v>
      </c>
      <c r="T1125" s="346">
        <f t="shared" si="370"/>
        <v>-253449</v>
      </c>
      <c r="U1125" s="346">
        <f t="shared" si="370"/>
        <v>-125521</v>
      </c>
      <c r="V1125" s="346">
        <f t="shared" si="370"/>
        <v>-79598</v>
      </c>
      <c r="W1125" s="640"/>
    </row>
    <row r="1126" spans="10:23" s="328" customFormat="1" ht="24" customHeight="1">
      <c r="J1126" s="741"/>
      <c r="K1126" s="328" t="s">
        <v>900</v>
      </c>
      <c r="L1126" s="424">
        <v>-45750</v>
      </c>
      <c r="M1126" s="424">
        <v>-47450</v>
      </c>
      <c r="N1126" s="360">
        <f t="shared" ref="N1126:V1126" si="371">N392</f>
        <v>7650</v>
      </c>
      <c r="O1126" s="360">
        <f t="shared" si="371"/>
        <v>7759</v>
      </c>
      <c r="P1126" s="347">
        <f t="shared" si="371"/>
        <v>573374</v>
      </c>
      <c r="Q1126" s="347">
        <f t="shared" si="371"/>
        <v>571615</v>
      </c>
      <c r="R1126" s="346">
        <f t="shared" si="371"/>
        <v>0</v>
      </c>
      <c r="S1126" s="346">
        <f t="shared" si="371"/>
        <v>0</v>
      </c>
      <c r="T1126" s="346">
        <f t="shared" si="371"/>
        <v>0</v>
      </c>
      <c r="U1126" s="346">
        <f t="shared" si="371"/>
        <v>0</v>
      </c>
      <c r="V1126" s="346">
        <f t="shared" si="371"/>
        <v>0</v>
      </c>
      <c r="W1126" s="640"/>
    </row>
    <row r="1127" spans="10:23" s="328" customFormat="1" ht="24" customHeight="1">
      <c r="J1127" s="741"/>
      <c r="K1127" s="328" t="s">
        <v>1157</v>
      </c>
      <c r="L1127" s="424">
        <f>-21414+-311201</f>
        <v>-332615</v>
      </c>
      <c r="M1127" s="424">
        <f>34434+-38287</f>
        <v>-3853</v>
      </c>
      <c r="N1127" s="360">
        <f>(N465+N467+N468+N469+N466+N471+N472+N485+N473+N474+N478+N479+N484+N483+N487+N475+N476+N482-N497-N509)</f>
        <v>-11568</v>
      </c>
      <c r="O1127" s="360">
        <f t="shared" ref="O1127:V1127" si="372">(O465+O467+O468+O469+O466+O471+O472+O485+O473+O474+O478+O479+O484+O483+O487+O475+O476+O482-O497-O509)</f>
        <v>-163036</v>
      </c>
      <c r="P1127" s="361">
        <f t="shared" si="372"/>
        <v>-70937</v>
      </c>
      <c r="Q1127" s="361">
        <f t="shared" si="372"/>
        <v>-34281</v>
      </c>
      <c r="R1127" s="360">
        <f t="shared" si="372"/>
        <v>-94805</v>
      </c>
      <c r="S1127" s="360">
        <f t="shared" si="372"/>
        <v>0</v>
      </c>
      <c r="T1127" s="360">
        <f t="shared" si="372"/>
        <v>0</v>
      </c>
      <c r="U1127" s="360">
        <f t="shared" si="372"/>
        <v>0</v>
      </c>
      <c r="V1127" s="360">
        <f t="shared" si="372"/>
        <v>0</v>
      </c>
      <c r="W1127" s="640"/>
    </row>
    <row r="1128" spans="10:23" s="328" customFormat="1" ht="24" customHeight="1">
      <c r="J1128" s="741"/>
      <c r="K1128" s="328" t="s">
        <v>902</v>
      </c>
      <c r="L1128" s="424">
        <v>-93178</v>
      </c>
      <c r="M1128" s="424">
        <v>74800</v>
      </c>
      <c r="N1128" s="360">
        <f t="shared" ref="N1128:V1128" si="373">N453</f>
        <v>80544</v>
      </c>
      <c r="O1128" s="360">
        <f t="shared" si="373"/>
        <v>247529</v>
      </c>
      <c r="P1128" s="347">
        <f t="shared" si="373"/>
        <v>317616</v>
      </c>
      <c r="Q1128" s="347">
        <f t="shared" si="373"/>
        <v>332677</v>
      </c>
      <c r="R1128" s="346">
        <f t="shared" si="373"/>
        <v>4001568</v>
      </c>
      <c r="S1128" s="346">
        <f t="shared" si="373"/>
        <v>-4028254</v>
      </c>
      <c r="T1128" s="346">
        <f t="shared" si="373"/>
        <v>-586753</v>
      </c>
      <c r="U1128" s="346">
        <f t="shared" si="373"/>
        <v>-47964</v>
      </c>
      <c r="V1128" s="346">
        <f t="shared" si="373"/>
        <v>0</v>
      </c>
      <c r="W1128" s="640"/>
    </row>
    <row r="1129" spans="10:23" s="328" customFormat="1" ht="24" customHeight="1">
      <c r="J1129" s="741"/>
      <c r="K1129" s="328" t="s">
        <v>852</v>
      </c>
      <c r="L1129" s="424">
        <v>237257</v>
      </c>
      <c r="M1129" s="447">
        <v>7628</v>
      </c>
      <c r="N1129" s="346">
        <f t="shared" ref="N1129:V1129" si="374">N564</f>
        <v>78857</v>
      </c>
      <c r="O1129" s="346">
        <f t="shared" si="374"/>
        <v>-75465</v>
      </c>
      <c r="P1129" s="347">
        <f t="shared" si="374"/>
        <v>925</v>
      </c>
      <c r="Q1129" s="347">
        <f t="shared" si="374"/>
        <v>-7664</v>
      </c>
      <c r="R1129" s="346">
        <f t="shared" si="374"/>
        <v>1825</v>
      </c>
      <c r="S1129" s="346">
        <f t="shared" si="374"/>
        <v>-6207</v>
      </c>
      <c r="T1129" s="346">
        <f t="shared" si="374"/>
        <v>0</v>
      </c>
      <c r="U1129" s="346">
        <f t="shared" si="374"/>
        <v>0</v>
      </c>
      <c r="V1129" s="346">
        <f t="shared" si="374"/>
        <v>0</v>
      </c>
      <c r="W1129" s="640"/>
    </row>
    <row r="1130" spans="10:23" s="328" customFormat="1" ht="24" customHeight="1">
      <c r="J1130" s="741"/>
      <c r="K1130" s="328" t="s">
        <v>746</v>
      </c>
      <c r="L1130" s="424">
        <v>-368543</v>
      </c>
      <c r="M1130" s="424">
        <v>-114516</v>
      </c>
      <c r="N1130" s="360">
        <f t="shared" ref="N1130:V1130" si="375">N657</f>
        <v>475577</v>
      </c>
      <c r="O1130" s="360">
        <f t="shared" si="375"/>
        <v>225840</v>
      </c>
      <c r="P1130" s="347">
        <f t="shared" si="375"/>
        <v>-218504</v>
      </c>
      <c r="Q1130" s="347">
        <f t="shared" si="375"/>
        <v>-295362</v>
      </c>
      <c r="R1130" s="346">
        <f t="shared" si="375"/>
        <v>-254555</v>
      </c>
      <c r="S1130" s="346">
        <f t="shared" si="375"/>
        <v>-101112</v>
      </c>
      <c r="T1130" s="346">
        <f t="shared" si="375"/>
        <v>-107334</v>
      </c>
      <c r="U1130" s="346">
        <f t="shared" si="375"/>
        <v>52613</v>
      </c>
      <c r="V1130" s="346">
        <f t="shared" si="375"/>
        <v>200064</v>
      </c>
      <c r="W1130" s="640"/>
    </row>
    <row r="1131" spans="10:23" s="328" customFormat="1" ht="24" customHeight="1">
      <c r="J1131" s="741"/>
      <c r="K1131" s="328" t="s">
        <v>747</v>
      </c>
      <c r="L1131" s="424">
        <v>-1084575</v>
      </c>
      <c r="M1131" s="424">
        <v>177948</v>
      </c>
      <c r="N1131" s="360">
        <f t="shared" ref="N1131:V1131" si="376">N749</f>
        <v>625704</v>
      </c>
      <c r="O1131" s="360">
        <f t="shared" si="376"/>
        <v>-10205</v>
      </c>
      <c r="P1131" s="347">
        <f t="shared" si="376"/>
        <v>-214900</v>
      </c>
      <c r="Q1131" s="347">
        <f t="shared" si="376"/>
        <v>-202038</v>
      </c>
      <c r="R1131" s="346">
        <f t="shared" si="376"/>
        <v>-831754</v>
      </c>
      <c r="S1131" s="346">
        <f t="shared" si="376"/>
        <v>-410347</v>
      </c>
      <c r="T1131" s="346">
        <f t="shared" si="376"/>
        <v>-394191</v>
      </c>
      <c r="U1131" s="346">
        <f t="shared" si="376"/>
        <v>-381310</v>
      </c>
      <c r="V1131" s="346">
        <f t="shared" si="376"/>
        <v>-371145</v>
      </c>
      <c r="W1131" s="640"/>
    </row>
    <row r="1132" spans="10:23" s="328" customFormat="1" ht="24" customHeight="1">
      <c r="J1132" s="741"/>
      <c r="K1132" s="328" t="s">
        <v>748</v>
      </c>
      <c r="L1132" s="424">
        <v>-23024</v>
      </c>
      <c r="M1132" s="424">
        <v>-37910</v>
      </c>
      <c r="N1132" s="360">
        <f t="shared" ref="N1132:V1132" si="377">N784</f>
        <v>93847</v>
      </c>
      <c r="O1132" s="360">
        <f t="shared" si="377"/>
        <v>416198</v>
      </c>
      <c r="P1132" s="347">
        <f t="shared" si="377"/>
        <v>55500</v>
      </c>
      <c r="Q1132" s="347">
        <f t="shared" si="377"/>
        <v>67217</v>
      </c>
      <c r="R1132" s="346">
        <f t="shared" si="377"/>
        <v>-333850</v>
      </c>
      <c r="S1132" s="346">
        <f t="shared" si="377"/>
        <v>-240000</v>
      </c>
      <c r="T1132" s="346">
        <f t="shared" si="377"/>
        <v>410000</v>
      </c>
      <c r="U1132" s="346">
        <f t="shared" si="377"/>
        <v>10000</v>
      </c>
      <c r="V1132" s="346">
        <f t="shared" si="377"/>
        <v>10000</v>
      </c>
      <c r="W1132" s="640"/>
    </row>
    <row r="1133" spans="10:23" s="328" customFormat="1" ht="24" customHeight="1">
      <c r="J1133" s="418"/>
      <c r="K1133" s="328" t="s">
        <v>869</v>
      </c>
      <c r="L1133" s="424">
        <v>102415</v>
      </c>
      <c r="M1133" s="447">
        <v>137709</v>
      </c>
      <c r="N1133" s="346">
        <f t="shared" ref="N1133:U1133" si="378">N1067</f>
        <v>-569791</v>
      </c>
      <c r="O1133" s="360">
        <f>O1067</f>
        <v>0</v>
      </c>
      <c r="P1133" s="347">
        <f t="shared" si="378"/>
        <v>0</v>
      </c>
      <c r="Q1133" s="347">
        <f>Q1067</f>
        <v>0</v>
      </c>
      <c r="R1133" s="346">
        <f t="shared" si="378"/>
        <v>0</v>
      </c>
      <c r="S1133" s="346">
        <f t="shared" si="378"/>
        <v>0</v>
      </c>
      <c r="T1133" s="346">
        <f t="shared" si="378"/>
        <v>0</v>
      </c>
      <c r="U1133" s="346">
        <f t="shared" si="378"/>
        <v>0</v>
      </c>
      <c r="V1133" s="346">
        <f>V1067</f>
        <v>0</v>
      </c>
      <c r="W1133" s="640"/>
    </row>
    <row r="1134" spans="10:23" s="328" customFormat="1" ht="24" customHeight="1">
      <c r="J1134" s="418"/>
      <c r="K1134" s="328" t="s">
        <v>647</v>
      </c>
      <c r="L1134" s="424">
        <v>-110456</v>
      </c>
      <c r="M1134" s="447">
        <v>-294394</v>
      </c>
      <c r="N1134" s="346">
        <f t="shared" ref="N1134:U1134" si="379">N1092</f>
        <v>-300679</v>
      </c>
      <c r="O1134" s="360">
        <f>O1092</f>
        <v>-305538</v>
      </c>
      <c r="P1134" s="347">
        <f t="shared" si="379"/>
        <v>-2103563</v>
      </c>
      <c r="Q1134" s="347">
        <f>Q1092</f>
        <v>-2105007</v>
      </c>
      <c r="R1134" s="346">
        <f t="shared" si="379"/>
        <v>-71398</v>
      </c>
      <c r="S1134" s="346">
        <f t="shared" si="379"/>
        <v>3244</v>
      </c>
      <c r="T1134" s="346">
        <f t="shared" si="379"/>
        <v>-22113</v>
      </c>
      <c r="U1134" s="346">
        <f t="shared" si="379"/>
        <v>-22113</v>
      </c>
      <c r="V1134" s="346">
        <f>V1092</f>
        <v>-22113</v>
      </c>
      <c r="W1134" s="640"/>
    </row>
    <row r="1135" spans="10:23" s="328" customFormat="1" ht="24" customHeight="1">
      <c r="J1135" s="418"/>
      <c r="K1135" s="328" t="s">
        <v>653</v>
      </c>
      <c r="L1135" s="448">
        <v>21203</v>
      </c>
      <c r="M1135" s="448">
        <v>86718</v>
      </c>
      <c r="N1135" s="379">
        <f t="shared" ref="N1135:U1135" si="380">N1115</f>
        <v>48192</v>
      </c>
      <c r="O1135" s="379">
        <f>O1115</f>
        <v>-41017</v>
      </c>
      <c r="P1135" s="382">
        <f t="shared" si="380"/>
        <v>-10000</v>
      </c>
      <c r="Q1135" s="382">
        <f>Q1115</f>
        <v>16036</v>
      </c>
      <c r="R1135" s="383">
        <f t="shared" si="380"/>
        <v>32287</v>
      </c>
      <c r="S1135" s="383">
        <f t="shared" si="380"/>
        <v>-278468</v>
      </c>
      <c r="T1135" s="383">
        <f t="shared" si="380"/>
        <v>37277</v>
      </c>
      <c r="U1135" s="383">
        <f t="shared" si="380"/>
        <v>37267</v>
      </c>
      <c r="V1135" s="383">
        <f>V1115</f>
        <v>42267</v>
      </c>
      <c r="W1135" s="640"/>
    </row>
    <row r="1136" spans="10:23" s="328" customFormat="1" ht="24" customHeight="1">
      <c r="L1136" s="424"/>
      <c r="M1136" s="424"/>
      <c r="N1136" s="360"/>
      <c r="O1136" s="360"/>
      <c r="P1136" s="347"/>
      <c r="Q1136" s="347"/>
      <c r="R1136" s="346"/>
      <c r="S1136" s="346"/>
      <c r="T1136" s="346"/>
      <c r="U1136" s="346"/>
      <c r="V1136" s="346"/>
      <c r="W1136" s="640"/>
    </row>
    <row r="1137" spans="10:24" s="400" customFormat="1" ht="24" customHeight="1">
      <c r="L1137" s="422">
        <f>SUM(L1122:L1136)</f>
        <v>-3479459</v>
      </c>
      <c r="M1137" s="422">
        <f>SUM(M1122:M1136)</f>
        <v>-1598798</v>
      </c>
      <c r="N1137" s="365">
        <f>SUM(N1122:N1136)</f>
        <v>2354706</v>
      </c>
      <c r="O1137" s="365">
        <f>SUM(O1122:O1136)</f>
        <v>3486510</v>
      </c>
      <c r="P1137" s="349">
        <f t="shared" ref="P1137:U1137" si="381">SUM(P1122:P1136)</f>
        <v>-3060217</v>
      </c>
      <c r="Q1137" s="349">
        <f>SUM(Q1122:Q1136)</f>
        <v>-2336166</v>
      </c>
      <c r="R1137" s="348">
        <f>SUM(R1122:R1136)</f>
        <v>2195696</v>
      </c>
      <c r="S1137" s="348">
        <f t="shared" si="381"/>
        <v>-5561013</v>
      </c>
      <c r="T1137" s="348">
        <f t="shared" si="381"/>
        <v>-1454619</v>
      </c>
      <c r="U1137" s="348">
        <f t="shared" si="381"/>
        <v>-1472458</v>
      </c>
      <c r="V1137" s="348">
        <f>SUM(V1122:V1136)</f>
        <v>-1654538</v>
      </c>
      <c r="W1137" s="640"/>
    </row>
    <row r="1138" spans="10:24" s="490" customFormat="1" ht="24" hidden="1" customHeight="1">
      <c r="L1138" s="491">
        <v>0</v>
      </c>
      <c r="M1138" s="491">
        <v>0</v>
      </c>
      <c r="N1138" s="495">
        <f>N304+N322+N339+N376+N392+N453+N564+N657+N749+N784+N1067+N1092+N1115+(N465+N467+N468+N469+N466+N471+N472+N473+N474+N478+N479+N485+N484+N483+N487+N475+N476+N482-N497-N509)</f>
        <v>2354706</v>
      </c>
      <c r="O1138" s="495">
        <f t="shared" ref="O1138:V1138" si="382">O304+O322+O339+O376+O392+O453+O564+O657+O749+O784+O1067+O1092+O1115+(O465+O467+O468+O469+O466+O471+O472+O473+O474+O478+O479+O485+O484+O483+O487+O475+O476+O482-O497-O509)</f>
        <v>3486510</v>
      </c>
      <c r="P1138" s="495">
        <f t="shared" si="382"/>
        <v>-3060217</v>
      </c>
      <c r="Q1138" s="495">
        <f t="shared" si="382"/>
        <v>-2336166</v>
      </c>
      <c r="R1138" s="495">
        <f t="shared" si="382"/>
        <v>2195696</v>
      </c>
      <c r="S1138" s="495">
        <f t="shared" si="382"/>
        <v>-5561013</v>
      </c>
      <c r="T1138" s="495">
        <f t="shared" si="382"/>
        <v>-1454619</v>
      </c>
      <c r="U1138" s="495">
        <f t="shared" si="382"/>
        <v>-1472458</v>
      </c>
      <c r="V1138" s="495">
        <f t="shared" si="382"/>
        <v>-1654538</v>
      </c>
      <c r="W1138" s="494"/>
      <c r="X1138" s="737" t="s">
        <v>1258</v>
      </c>
    </row>
    <row r="1139" spans="10:24" s="490" customFormat="1" ht="24" hidden="1" customHeight="1">
      <c r="L1139" s="493">
        <v>0</v>
      </c>
      <c r="M1139" s="493">
        <v>0</v>
      </c>
      <c r="N1139" s="492">
        <f>N1137-N1138</f>
        <v>0</v>
      </c>
      <c r="O1139" s="492">
        <f t="shared" ref="O1139:V1139" si="383">O1137-O1138</f>
        <v>0</v>
      </c>
      <c r="P1139" s="492">
        <f t="shared" si="383"/>
        <v>0</v>
      </c>
      <c r="Q1139" s="492">
        <f t="shared" si="383"/>
        <v>0</v>
      </c>
      <c r="R1139" s="492">
        <f t="shared" si="383"/>
        <v>0</v>
      </c>
      <c r="S1139" s="492">
        <f t="shared" si="383"/>
        <v>0</v>
      </c>
      <c r="T1139" s="492">
        <f t="shared" si="383"/>
        <v>0</v>
      </c>
      <c r="U1139" s="492">
        <f t="shared" si="383"/>
        <v>0</v>
      </c>
      <c r="V1139" s="492">
        <f t="shared" si="383"/>
        <v>0</v>
      </c>
      <c r="W1139" s="494"/>
      <c r="X1139" s="737"/>
    </row>
    <row r="1140" spans="10:24" s="328" customFormat="1" ht="24" customHeight="1">
      <c r="L1140" s="424"/>
      <c r="M1140" s="435"/>
      <c r="N1140" s="346"/>
      <c r="O1140" s="346"/>
      <c r="P1140" s="347"/>
      <c r="Q1140" s="347"/>
      <c r="R1140" s="346"/>
      <c r="S1140" s="346"/>
      <c r="T1140" s="346"/>
      <c r="U1140" s="346"/>
      <c r="V1140" s="346"/>
      <c r="W1140" s="640"/>
    </row>
    <row r="1141" spans="10:24" s="578" customFormat="1" ht="24" customHeight="1">
      <c r="K1141" s="579" t="s">
        <v>1052</v>
      </c>
      <c r="L1141" s="580"/>
      <c r="M1141" s="581"/>
      <c r="N1141" s="582"/>
      <c r="O1141" s="582"/>
      <c r="P1141" s="583"/>
      <c r="Q1141" s="583"/>
      <c r="R1141" s="582"/>
      <c r="S1141" s="582"/>
      <c r="T1141" s="582"/>
      <c r="U1141" s="582"/>
      <c r="V1141" s="582"/>
      <c r="W1141" s="584"/>
    </row>
    <row r="1142" spans="10:24" s="328" customFormat="1" ht="24" customHeight="1">
      <c r="J1142" s="741" t="s">
        <v>1240</v>
      </c>
      <c r="K1142" s="328" t="s">
        <v>743</v>
      </c>
      <c r="L1142" s="424">
        <v>1218257</v>
      </c>
      <c r="M1142" s="424">
        <v>-492939</v>
      </c>
      <c r="N1142" s="360">
        <f t="shared" ref="N1142:V1142" si="384">N306</f>
        <v>1270623</v>
      </c>
      <c r="O1142" s="360">
        <f t="shared" si="384"/>
        <v>4223820</v>
      </c>
      <c r="P1142" s="347">
        <f t="shared" si="384"/>
        <v>2541653</v>
      </c>
      <c r="Q1142" s="347">
        <f t="shared" si="384"/>
        <v>3717540</v>
      </c>
      <c r="R1142" s="346">
        <f t="shared" si="384"/>
        <v>3874053</v>
      </c>
      <c r="S1142" s="346">
        <f t="shared" si="384"/>
        <v>3640285</v>
      </c>
      <c r="T1142" s="346">
        <f t="shared" si="384"/>
        <v>3091865</v>
      </c>
      <c r="U1142" s="346">
        <f t="shared" si="384"/>
        <v>2086071</v>
      </c>
      <c r="V1142" s="346">
        <f t="shared" si="384"/>
        <v>641694</v>
      </c>
      <c r="W1142" s="640"/>
    </row>
    <row r="1143" spans="10:24" s="328" customFormat="1" ht="24" customHeight="1">
      <c r="J1143" s="741"/>
      <c r="K1143" s="328" t="s">
        <v>744</v>
      </c>
      <c r="L1143" s="424">
        <v>-13660</v>
      </c>
      <c r="M1143" s="424">
        <v>2226</v>
      </c>
      <c r="N1143" s="360">
        <f t="shared" ref="N1143:V1143" si="385">N324</f>
        <v>17071</v>
      </c>
      <c r="O1143" s="360">
        <f t="shared" si="385"/>
        <v>15124</v>
      </c>
      <c r="P1143" s="347">
        <f t="shared" si="385"/>
        <v>11677</v>
      </c>
      <c r="Q1143" s="347">
        <f t="shared" si="385"/>
        <v>11221</v>
      </c>
      <c r="R1143" s="346">
        <f t="shared" si="385"/>
        <v>154</v>
      </c>
      <c r="S1143" s="346">
        <f t="shared" si="385"/>
        <v>-10913</v>
      </c>
      <c r="T1143" s="346">
        <f t="shared" si="385"/>
        <v>-6980</v>
      </c>
      <c r="U1143" s="346">
        <f t="shared" si="385"/>
        <v>-3047</v>
      </c>
      <c r="V1143" s="346">
        <f t="shared" si="385"/>
        <v>886</v>
      </c>
      <c r="W1143" s="640"/>
    </row>
    <row r="1144" spans="10:24" s="328" customFormat="1" ht="24" customHeight="1">
      <c r="J1144" s="741"/>
      <c r="K1144" s="328" t="s">
        <v>745</v>
      </c>
      <c r="L1144" s="424">
        <v>1099</v>
      </c>
      <c r="M1144" s="424">
        <v>6188</v>
      </c>
      <c r="N1144" s="360">
        <f t="shared" ref="N1144:V1144" si="386">N341</f>
        <v>12188</v>
      </c>
      <c r="O1144" s="360">
        <f t="shared" si="386"/>
        <v>7740</v>
      </c>
      <c r="P1144" s="347">
        <f t="shared" si="386"/>
        <v>560</v>
      </c>
      <c r="Q1144" s="347">
        <f t="shared" si="386"/>
        <v>224</v>
      </c>
      <c r="R1144" s="346">
        <f t="shared" si="386"/>
        <v>-18345</v>
      </c>
      <c r="S1144" s="346">
        <f t="shared" si="386"/>
        <v>-36914</v>
      </c>
      <c r="T1144" s="346">
        <f t="shared" si="386"/>
        <v>-30483</v>
      </c>
      <c r="U1144" s="346">
        <f t="shared" si="386"/>
        <v>-24052</v>
      </c>
      <c r="V1144" s="346">
        <f t="shared" si="386"/>
        <v>-17621</v>
      </c>
      <c r="W1144" s="640"/>
    </row>
    <row r="1145" spans="10:24" s="328" customFormat="1" ht="24" customHeight="1">
      <c r="J1145" s="741"/>
      <c r="K1145" s="328" t="s">
        <v>899</v>
      </c>
      <c r="L1145" s="424">
        <v>300934</v>
      </c>
      <c r="M1145" s="424">
        <v>405618</v>
      </c>
      <c r="N1145" s="360">
        <f t="shared" ref="N1145:V1145" si="387">N378</f>
        <v>924857</v>
      </c>
      <c r="O1145" s="360">
        <f t="shared" si="387"/>
        <v>1162506</v>
      </c>
      <c r="P1145" s="347">
        <f t="shared" si="387"/>
        <v>605132</v>
      </c>
      <c r="Q1145" s="347">
        <f t="shared" si="387"/>
        <v>1000846</v>
      </c>
      <c r="R1145" s="346">
        <f t="shared" si="387"/>
        <v>620347</v>
      </c>
      <c r="S1145" s="346">
        <f t="shared" si="387"/>
        <v>383882</v>
      </c>
      <c r="T1145" s="346">
        <f t="shared" si="387"/>
        <v>130433</v>
      </c>
      <c r="U1145" s="346">
        <f t="shared" si="387"/>
        <v>4912</v>
      </c>
      <c r="V1145" s="346">
        <f t="shared" si="387"/>
        <v>-74686</v>
      </c>
      <c r="W1145" s="640"/>
    </row>
    <row r="1146" spans="10:24" s="328" customFormat="1" ht="24" customHeight="1">
      <c r="J1146" s="741"/>
      <c r="K1146" s="328" t="s">
        <v>900</v>
      </c>
      <c r="L1146" s="424">
        <v>-560274</v>
      </c>
      <c r="M1146" s="424">
        <v>-607724</v>
      </c>
      <c r="N1146" s="360">
        <f t="shared" ref="N1146:V1146" si="388">N394</f>
        <v>-579374</v>
      </c>
      <c r="O1146" s="360">
        <f t="shared" si="388"/>
        <v>-571615</v>
      </c>
      <c r="P1146" s="347">
        <f t="shared" si="388"/>
        <v>0</v>
      </c>
      <c r="Q1146" s="347">
        <f t="shared" si="388"/>
        <v>0</v>
      </c>
      <c r="R1146" s="346">
        <f t="shared" si="388"/>
        <v>0</v>
      </c>
      <c r="S1146" s="346">
        <f t="shared" si="388"/>
        <v>0</v>
      </c>
      <c r="T1146" s="346">
        <f t="shared" si="388"/>
        <v>0</v>
      </c>
      <c r="U1146" s="346">
        <f t="shared" si="388"/>
        <v>0</v>
      </c>
      <c r="V1146" s="346">
        <f t="shared" si="388"/>
        <v>0</v>
      </c>
      <c r="W1146" s="640"/>
    </row>
    <row r="1147" spans="10:24" s="328" customFormat="1" ht="24" customHeight="1">
      <c r="J1147" s="741"/>
      <c r="K1147" s="328" t="s">
        <v>1157</v>
      </c>
      <c r="L1147" s="424">
        <f>175851+196095</f>
        <v>371946</v>
      </c>
      <c r="M1147" s="424">
        <f>210284+157807</f>
        <v>368091</v>
      </c>
      <c r="N1147" s="360">
        <f>N528+N530</f>
        <v>292122</v>
      </c>
      <c r="O1147" s="360">
        <f t="shared" ref="O1147:V1147" si="389">O528+O530</f>
        <v>129086</v>
      </c>
      <c r="P1147" s="361">
        <f t="shared" si="389"/>
        <v>42635</v>
      </c>
      <c r="Q1147" s="361">
        <f t="shared" si="389"/>
        <v>94805</v>
      </c>
      <c r="R1147" s="360">
        <f t="shared" si="389"/>
        <v>0</v>
      </c>
      <c r="S1147" s="360">
        <f t="shared" si="389"/>
        <v>0</v>
      </c>
      <c r="T1147" s="360">
        <f t="shared" si="389"/>
        <v>0</v>
      </c>
      <c r="U1147" s="360">
        <f t="shared" si="389"/>
        <v>0</v>
      </c>
      <c r="V1147" s="360">
        <f t="shared" si="389"/>
        <v>0</v>
      </c>
      <c r="W1147" s="640"/>
    </row>
    <row r="1148" spans="10:24" s="328" customFormat="1" ht="24" customHeight="1">
      <c r="J1148" s="741"/>
      <c r="K1148" s="328" t="s">
        <v>902</v>
      </c>
      <c r="L1148" s="424">
        <v>-93178</v>
      </c>
      <c r="M1148" s="424">
        <v>-18378</v>
      </c>
      <c r="N1148" s="360">
        <f t="shared" ref="N1148:V1148" si="390">N459</f>
        <v>81196</v>
      </c>
      <c r="O1148" s="360">
        <f t="shared" si="390"/>
        <v>328726</v>
      </c>
      <c r="P1148" s="347">
        <f t="shared" si="390"/>
        <v>691053</v>
      </c>
      <c r="Q1148" s="347">
        <f t="shared" si="390"/>
        <v>661403</v>
      </c>
      <c r="R1148" s="346">
        <f t="shared" si="390"/>
        <v>4662971</v>
      </c>
      <c r="S1148" s="346">
        <f t="shared" si="390"/>
        <v>634717</v>
      </c>
      <c r="T1148" s="346">
        <f t="shared" si="390"/>
        <v>47964</v>
      </c>
      <c r="U1148" s="346">
        <f t="shared" si="390"/>
        <v>0</v>
      </c>
      <c r="V1148" s="346">
        <f t="shared" si="390"/>
        <v>0</v>
      </c>
      <c r="W1148" s="640"/>
    </row>
    <row r="1149" spans="10:24" s="328" customFormat="1" ht="24" customHeight="1">
      <c r="J1149" s="741"/>
      <c r="K1149" s="328" t="s">
        <v>852</v>
      </c>
      <c r="L1149" s="424">
        <v>0</v>
      </c>
      <c r="M1149" s="447">
        <v>7628</v>
      </c>
      <c r="N1149" s="346">
        <f t="shared" ref="N1149:V1149" si="391">N566</f>
        <v>87510</v>
      </c>
      <c r="O1149" s="346">
        <f t="shared" si="391"/>
        <v>12046</v>
      </c>
      <c r="P1149" s="347">
        <f t="shared" si="391"/>
        <v>11611</v>
      </c>
      <c r="Q1149" s="347">
        <f t="shared" si="391"/>
        <v>4382</v>
      </c>
      <c r="R1149" s="346">
        <f t="shared" si="391"/>
        <v>6207</v>
      </c>
      <c r="S1149" s="346">
        <f t="shared" si="391"/>
        <v>0</v>
      </c>
      <c r="T1149" s="346">
        <f t="shared" si="391"/>
        <v>0</v>
      </c>
      <c r="U1149" s="346">
        <f t="shared" si="391"/>
        <v>0</v>
      </c>
      <c r="V1149" s="346">
        <f t="shared" si="391"/>
        <v>0</v>
      </c>
      <c r="W1149" s="640"/>
    </row>
    <row r="1150" spans="10:24" s="328" customFormat="1" ht="24" customHeight="1">
      <c r="J1150" s="741"/>
      <c r="K1150" s="328" t="s">
        <v>746</v>
      </c>
      <c r="L1150" s="424">
        <v>453875</v>
      </c>
      <c r="M1150" s="424">
        <v>339359</v>
      </c>
      <c r="N1150" s="360">
        <f t="shared" ref="N1150:V1150" si="392">N659</f>
        <v>1300837</v>
      </c>
      <c r="O1150" s="360">
        <f t="shared" si="392"/>
        <v>1526679</v>
      </c>
      <c r="P1150" s="347">
        <f t="shared" si="392"/>
        <v>1160768</v>
      </c>
      <c r="Q1150" s="347">
        <f t="shared" si="392"/>
        <v>1231317</v>
      </c>
      <c r="R1150" s="346">
        <f t="shared" si="392"/>
        <v>976762</v>
      </c>
      <c r="S1150" s="346">
        <f t="shared" si="392"/>
        <v>875650</v>
      </c>
      <c r="T1150" s="346">
        <f t="shared" si="392"/>
        <v>768316</v>
      </c>
      <c r="U1150" s="346">
        <f t="shared" si="392"/>
        <v>820929</v>
      </c>
      <c r="V1150" s="346">
        <f t="shared" si="392"/>
        <v>1020993</v>
      </c>
      <c r="W1150" s="640"/>
    </row>
    <row r="1151" spans="10:24" s="328" customFormat="1" ht="24" customHeight="1">
      <c r="J1151" s="741"/>
      <c r="K1151" s="328" t="s">
        <v>747</v>
      </c>
      <c r="L1151" s="424">
        <v>2557262</v>
      </c>
      <c r="M1151" s="424">
        <v>2735213</v>
      </c>
      <c r="N1151" s="360">
        <f t="shared" ref="N1151:V1151" si="393">N751</f>
        <v>3003537</v>
      </c>
      <c r="O1151" s="360">
        <f t="shared" si="393"/>
        <v>2993332</v>
      </c>
      <c r="P1151" s="347">
        <f t="shared" si="393"/>
        <v>2681077</v>
      </c>
      <c r="Q1151" s="347">
        <f t="shared" si="393"/>
        <v>2791294</v>
      </c>
      <c r="R1151" s="346">
        <f t="shared" si="393"/>
        <v>1959540</v>
      </c>
      <c r="S1151" s="346">
        <f>S751</f>
        <v>1549193</v>
      </c>
      <c r="T1151" s="346">
        <f t="shared" si="393"/>
        <v>1155002</v>
      </c>
      <c r="U1151" s="346">
        <f t="shared" si="393"/>
        <v>773692</v>
      </c>
      <c r="V1151" s="346">
        <f t="shared" si="393"/>
        <v>402547</v>
      </c>
      <c r="W1151" s="640"/>
    </row>
    <row r="1152" spans="10:24" s="328" customFormat="1" ht="24" customHeight="1">
      <c r="J1152" s="741"/>
      <c r="K1152" s="328" t="s">
        <v>748</v>
      </c>
      <c r="L1152" s="424">
        <v>-565517</v>
      </c>
      <c r="M1152" s="424">
        <v>-603425</v>
      </c>
      <c r="N1152" s="360">
        <f t="shared" ref="N1152:V1152" si="394">N786</f>
        <v>-294778</v>
      </c>
      <c r="O1152" s="360">
        <f t="shared" si="394"/>
        <v>121420</v>
      </c>
      <c r="P1152" s="347">
        <f t="shared" si="394"/>
        <v>162581</v>
      </c>
      <c r="Q1152" s="347">
        <f t="shared" si="394"/>
        <v>188637</v>
      </c>
      <c r="R1152" s="346">
        <f t="shared" si="394"/>
        <v>-145213</v>
      </c>
      <c r="S1152" s="346">
        <f t="shared" si="394"/>
        <v>-385213</v>
      </c>
      <c r="T1152" s="346">
        <f t="shared" si="394"/>
        <v>24787</v>
      </c>
      <c r="U1152" s="346">
        <f t="shared" si="394"/>
        <v>34787</v>
      </c>
      <c r="V1152" s="346">
        <f t="shared" si="394"/>
        <v>44787</v>
      </c>
      <c r="W1152" s="640"/>
    </row>
    <row r="1153" spans="1:28" s="328" customFormat="1" ht="24" customHeight="1">
      <c r="J1153" s="418"/>
      <c r="K1153" s="328" t="s">
        <v>869</v>
      </c>
      <c r="L1153" s="424">
        <v>285643</v>
      </c>
      <c r="M1153" s="447">
        <v>423351</v>
      </c>
      <c r="N1153" s="346">
        <f t="shared" ref="N1153:U1153" si="395">N1069</f>
        <v>0</v>
      </c>
      <c r="O1153" s="346">
        <f>O1069</f>
        <v>0</v>
      </c>
      <c r="P1153" s="347">
        <f t="shared" si="395"/>
        <v>0</v>
      </c>
      <c r="Q1153" s="347">
        <f>Q1069</f>
        <v>0</v>
      </c>
      <c r="R1153" s="346">
        <f t="shared" si="395"/>
        <v>0</v>
      </c>
      <c r="S1153" s="346">
        <f t="shared" si="395"/>
        <v>0</v>
      </c>
      <c r="T1153" s="346">
        <f t="shared" si="395"/>
        <v>0</v>
      </c>
      <c r="U1153" s="360">
        <f t="shared" si="395"/>
        <v>0</v>
      </c>
      <c r="V1153" s="360">
        <f>V1069</f>
        <v>0</v>
      </c>
      <c r="W1153" s="640"/>
    </row>
    <row r="1154" spans="1:28" s="328" customFormat="1" ht="24" customHeight="1">
      <c r="J1154" s="418"/>
      <c r="K1154" s="328" t="s">
        <v>647</v>
      </c>
      <c r="L1154" s="424">
        <v>2772153</v>
      </c>
      <c r="M1154" s="447">
        <v>2477758</v>
      </c>
      <c r="N1154" s="346">
        <f t="shared" ref="N1154:U1154" si="396">N1094</f>
        <v>1877872</v>
      </c>
      <c r="O1154" s="360">
        <f>O1094</f>
        <v>1572335</v>
      </c>
      <c r="P1154" s="347">
        <f t="shared" si="396"/>
        <v>-529634</v>
      </c>
      <c r="Q1154" s="347">
        <f>Q1094</f>
        <v>-532672</v>
      </c>
      <c r="R1154" s="346">
        <f t="shared" si="396"/>
        <v>-604070</v>
      </c>
      <c r="S1154" s="346">
        <f t="shared" si="396"/>
        <v>-600826</v>
      </c>
      <c r="T1154" s="346">
        <f t="shared" si="396"/>
        <v>-622939</v>
      </c>
      <c r="U1154" s="346">
        <f t="shared" si="396"/>
        <v>-645052</v>
      </c>
      <c r="V1154" s="346">
        <f>V1094</f>
        <v>-667165</v>
      </c>
      <c r="W1154" s="640"/>
    </row>
    <row r="1155" spans="1:28" s="328" customFormat="1" ht="24" customHeight="1">
      <c r="J1155" s="418"/>
      <c r="K1155" s="328" t="s">
        <v>653</v>
      </c>
      <c r="L1155" s="448">
        <v>49575</v>
      </c>
      <c r="M1155" s="448">
        <v>136294</v>
      </c>
      <c r="N1155" s="379">
        <f t="shared" ref="N1155:U1155" si="397">N1117</f>
        <v>257953</v>
      </c>
      <c r="O1155" s="379">
        <f>O1117</f>
        <v>216937</v>
      </c>
      <c r="P1155" s="382">
        <f t="shared" si="397"/>
        <v>251449</v>
      </c>
      <c r="Q1155" s="382">
        <f>Q1117</f>
        <v>232973</v>
      </c>
      <c r="R1155" s="383">
        <f t="shared" si="397"/>
        <v>265260</v>
      </c>
      <c r="S1155" s="383">
        <f t="shared" si="397"/>
        <v>-13208</v>
      </c>
      <c r="T1155" s="383">
        <f t="shared" si="397"/>
        <v>24069</v>
      </c>
      <c r="U1155" s="383">
        <f t="shared" si="397"/>
        <v>61336</v>
      </c>
      <c r="V1155" s="383">
        <f>V1117</f>
        <v>103603</v>
      </c>
      <c r="W1155" s="640"/>
    </row>
    <row r="1156" spans="1:28" s="328" customFormat="1" ht="24" customHeight="1">
      <c r="L1156" s="424"/>
      <c r="M1156" s="424"/>
      <c r="N1156" s="360"/>
      <c r="O1156" s="360"/>
      <c r="P1156" s="347"/>
      <c r="Q1156" s="347"/>
      <c r="R1156" s="346"/>
      <c r="S1156" s="346"/>
      <c r="T1156" s="346"/>
      <c r="U1156" s="346"/>
      <c r="V1156" s="346"/>
      <c r="W1156" s="640"/>
    </row>
    <row r="1157" spans="1:28" s="328" customFormat="1" ht="24" customHeight="1">
      <c r="L1157" s="422">
        <f t="shared" ref="L1157:V1157" si="398">SUM(L1142:L1156)</f>
        <v>6778115</v>
      </c>
      <c r="M1157" s="422">
        <f t="shared" si="398"/>
        <v>5179260</v>
      </c>
      <c r="N1157" s="365">
        <f t="shared" si="398"/>
        <v>8251614</v>
      </c>
      <c r="O1157" s="365">
        <f t="shared" si="398"/>
        <v>11738136</v>
      </c>
      <c r="P1157" s="349">
        <f t="shared" si="398"/>
        <v>7630562</v>
      </c>
      <c r="Q1157" s="349">
        <f t="shared" si="398"/>
        <v>9401970</v>
      </c>
      <c r="R1157" s="348">
        <f t="shared" si="398"/>
        <v>11597666</v>
      </c>
      <c r="S1157" s="348">
        <f t="shared" si="398"/>
        <v>6036653</v>
      </c>
      <c r="T1157" s="348">
        <f t="shared" si="398"/>
        <v>4582034</v>
      </c>
      <c r="U1157" s="348">
        <f t="shared" si="398"/>
        <v>3109576</v>
      </c>
      <c r="V1157" s="348">
        <f t="shared" si="398"/>
        <v>1455038</v>
      </c>
      <c r="W1157" s="640"/>
      <c r="X1157" s="695"/>
    </row>
    <row r="1158" spans="1:28" s="490" customFormat="1" ht="24" hidden="1" customHeight="1">
      <c r="L1158" s="493">
        <f>7469238-799062-25752+56112+77579</f>
        <v>6778115</v>
      </c>
      <c r="M1158" s="493">
        <f>5714446-571002-66852-25151+127819</f>
        <v>5179260</v>
      </c>
      <c r="N1158" s="492">
        <f t="shared" ref="N1158:V1158" si="399">N306+N324+N341+N378+N394+N459+N566+N659+N751+N786+N1069+N1094+N1117+N528+N530</f>
        <v>8251614</v>
      </c>
      <c r="O1158" s="492">
        <f t="shared" si="399"/>
        <v>11738136</v>
      </c>
      <c r="P1158" s="492">
        <f t="shared" si="399"/>
        <v>7630562</v>
      </c>
      <c r="Q1158" s="492">
        <f t="shared" si="399"/>
        <v>9401970</v>
      </c>
      <c r="R1158" s="492">
        <f t="shared" si="399"/>
        <v>11597666</v>
      </c>
      <c r="S1158" s="492">
        <f t="shared" si="399"/>
        <v>6036653</v>
      </c>
      <c r="T1158" s="492">
        <f t="shared" si="399"/>
        <v>4582034</v>
      </c>
      <c r="U1158" s="492">
        <f t="shared" si="399"/>
        <v>3109576</v>
      </c>
      <c r="V1158" s="492">
        <f t="shared" si="399"/>
        <v>1455038</v>
      </c>
      <c r="W1158" s="494"/>
      <c r="X1158" s="751" t="s">
        <v>1258</v>
      </c>
    </row>
    <row r="1159" spans="1:28" s="490" customFormat="1" ht="24" hidden="1" customHeight="1">
      <c r="L1159" s="493">
        <f>L1157-L1158</f>
        <v>0</v>
      </c>
      <c r="M1159" s="493">
        <f>M1157-M1158</f>
        <v>0</v>
      </c>
      <c r="N1159" s="492">
        <f>N1157-N1158</f>
        <v>0</v>
      </c>
      <c r="O1159" s="492">
        <f t="shared" ref="O1159:V1159" si="400">O1157-O1158</f>
        <v>0</v>
      </c>
      <c r="P1159" s="492">
        <f t="shared" si="400"/>
        <v>0</v>
      </c>
      <c r="Q1159" s="492">
        <f t="shared" si="400"/>
        <v>0</v>
      </c>
      <c r="R1159" s="492">
        <f t="shared" si="400"/>
        <v>0</v>
      </c>
      <c r="S1159" s="492">
        <f t="shared" si="400"/>
        <v>0</v>
      </c>
      <c r="T1159" s="492">
        <f t="shared" si="400"/>
        <v>0</v>
      </c>
      <c r="U1159" s="492">
        <f t="shared" si="400"/>
        <v>0</v>
      </c>
      <c r="V1159" s="492">
        <f t="shared" si="400"/>
        <v>0</v>
      </c>
      <c r="W1159" s="494"/>
      <c r="X1159" s="751"/>
    </row>
    <row r="1160" spans="1:28" s="328" customFormat="1" ht="24" customHeight="1">
      <c r="L1160" s="424"/>
      <c r="M1160" s="447"/>
      <c r="N1160" s="346"/>
      <c r="O1160" s="346"/>
      <c r="P1160" s="347"/>
      <c r="Q1160" s="347"/>
      <c r="R1160" s="346"/>
      <c r="S1160" s="346"/>
      <c r="T1160" s="346"/>
      <c r="U1160" s="346"/>
      <c r="V1160" s="346"/>
      <c r="W1160" s="640"/>
      <c r="X1160" s="695"/>
    </row>
    <row r="1161" spans="1:28" s="213" customFormat="1" ht="24" customHeight="1">
      <c r="A1161" s="417"/>
      <c r="B1161" s="417"/>
      <c r="C1161" s="417"/>
      <c r="D1161" s="417"/>
      <c r="E1161" s="417"/>
      <c r="F1161" s="419"/>
      <c r="G1161" s="419"/>
      <c r="H1161" s="419"/>
      <c r="I1161" s="419"/>
      <c r="J1161" s="419"/>
      <c r="K1161" s="419"/>
      <c r="L1161" s="318"/>
      <c r="M1161" s="318"/>
      <c r="N1161" s="387"/>
      <c r="O1161" s="387"/>
      <c r="P1161" s="386"/>
      <c r="Q1161" s="319"/>
      <c r="R1161" s="320"/>
      <c r="S1161" s="320"/>
      <c r="T1161" s="320"/>
      <c r="U1161" s="320"/>
      <c r="V1161" s="320"/>
      <c r="W1161" s="530"/>
      <c r="X1161" s="323"/>
      <c r="Y1161" s="323"/>
      <c r="Z1161" s="323"/>
      <c r="AA1161" s="323"/>
      <c r="AB1161" s="321"/>
    </row>
    <row r="1162" spans="1:28" s="490" customFormat="1" ht="24" customHeight="1">
      <c r="A1162" s="734" t="s">
        <v>827</v>
      </c>
      <c r="B1162" s="734"/>
      <c r="C1162" s="734"/>
      <c r="D1162" s="734"/>
      <c r="E1162" s="734"/>
      <c r="F1162" s="734"/>
      <c r="G1162" s="734"/>
      <c r="H1162" s="734"/>
      <c r="I1162" s="734"/>
      <c r="J1162" s="734"/>
      <c r="K1162" s="734"/>
      <c r="L1162" s="491"/>
      <c r="N1162" s="492"/>
      <c r="O1162" s="492"/>
      <c r="P1162" s="492"/>
      <c r="Q1162" s="492"/>
      <c r="R1162" s="492"/>
      <c r="S1162" s="492"/>
      <c r="T1162" s="492"/>
      <c r="U1162" s="492"/>
      <c r="V1162" s="492"/>
      <c r="W1162" s="494"/>
    </row>
    <row r="1163" spans="1:28" s="328" customFormat="1" ht="24" customHeight="1">
      <c r="L1163" s="424"/>
      <c r="M1163" s="435"/>
      <c r="N1163" s="346"/>
      <c r="O1163" s="346"/>
      <c r="P1163" s="347"/>
      <c r="Q1163" s="347"/>
      <c r="R1163" s="346"/>
      <c r="S1163" s="346"/>
      <c r="T1163" s="346"/>
      <c r="U1163" s="346"/>
      <c r="V1163" s="346"/>
      <c r="W1163" s="640"/>
    </row>
    <row r="1164" spans="1:28" s="571" customFormat="1" ht="24" customHeight="1">
      <c r="K1164" s="572" t="s">
        <v>742</v>
      </c>
      <c r="L1164" s="573"/>
      <c r="M1164" s="574"/>
      <c r="N1164" s="575"/>
      <c r="O1164" s="575"/>
      <c r="P1164" s="576"/>
      <c r="Q1164" s="576"/>
      <c r="R1164" s="575"/>
      <c r="S1164" s="575"/>
      <c r="T1164" s="575"/>
      <c r="U1164" s="575"/>
      <c r="V1164" s="575"/>
      <c r="W1164" s="577"/>
    </row>
    <row r="1165" spans="1:28" s="328" customFormat="1" ht="24" customHeight="1">
      <c r="K1165" s="328" t="s">
        <v>1157</v>
      </c>
      <c r="L1165" s="424">
        <v>-17623</v>
      </c>
      <c r="M1165" s="449">
        <v>41100</v>
      </c>
      <c r="N1165" s="346">
        <f>N470+N477+N480+N481+N486-N522</f>
        <v>11030</v>
      </c>
      <c r="O1165" s="346">
        <f t="shared" ref="O1165:V1165" si="401">O470+O477+O480+O481+O486-O522</f>
        <v>-15971</v>
      </c>
      <c r="P1165" s="347">
        <f t="shared" si="401"/>
        <v>-16775</v>
      </c>
      <c r="Q1165" s="347">
        <f t="shared" si="401"/>
        <v>-16658</v>
      </c>
      <c r="R1165" s="346">
        <f t="shared" si="401"/>
        <v>-29844</v>
      </c>
      <c r="S1165" s="346">
        <f t="shared" si="401"/>
        <v>0</v>
      </c>
      <c r="T1165" s="346">
        <f t="shared" si="401"/>
        <v>506</v>
      </c>
      <c r="U1165" s="346">
        <f t="shared" si="401"/>
        <v>506</v>
      </c>
      <c r="V1165" s="346">
        <f t="shared" si="401"/>
        <v>506</v>
      </c>
      <c r="W1165" s="640"/>
    </row>
    <row r="1166" spans="1:28" s="328" customFormat="1" ht="24" customHeight="1">
      <c r="K1166" s="328" t="s">
        <v>828</v>
      </c>
      <c r="L1166" s="424">
        <v>-25086</v>
      </c>
      <c r="M1166" s="449">
        <v>81260</v>
      </c>
      <c r="N1166" s="346">
        <f>N875</f>
        <v>48510</v>
      </c>
      <c r="O1166" s="360">
        <f t="shared" ref="O1166:V1166" si="402">O875</f>
        <v>40303</v>
      </c>
      <c r="P1166" s="361">
        <f t="shared" si="402"/>
        <v>29656</v>
      </c>
      <c r="Q1166" s="361">
        <f t="shared" si="402"/>
        <v>111938</v>
      </c>
      <c r="R1166" s="346">
        <f>R875</f>
        <v>-145591</v>
      </c>
      <c r="S1166" s="346">
        <f t="shared" si="402"/>
        <v>-10905</v>
      </c>
      <c r="T1166" s="346">
        <f t="shared" si="402"/>
        <v>6714</v>
      </c>
      <c r="U1166" s="346">
        <f t="shared" si="402"/>
        <v>9818</v>
      </c>
      <c r="V1166" s="346">
        <f t="shared" si="402"/>
        <v>10434</v>
      </c>
      <c r="W1166" s="640"/>
    </row>
    <row r="1167" spans="1:28" s="328" customFormat="1" ht="24" customHeight="1">
      <c r="K1167" s="328" t="s">
        <v>829</v>
      </c>
      <c r="L1167" s="450">
        <v>-77625</v>
      </c>
      <c r="M1167" s="451">
        <v>-50240</v>
      </c>
      <c r="N1167" s="383">
        <f t="shared" ref="N1167:V1167" si="403">N928</f>
        <v>-24913</v>
      </c>
      <c r="O1167" s="379">
        <f t="shared" si="403"/>
        <v>-80418</v>
      </c>
      <c r="P1167" s="380">
        <f t="shared" si="403"/>
        <v>467468</v>
      </c>
      <c r="Q1167" s="380">
        <f t="shared" si="403"/>
        <v>300420</v>
      </c>
      <c r="R1167" s="383">
        <f t="shared" si="403"/>
        <v>0</v>
      </c>
      <c r="S1167" s="383">
        <f t="shared" si="403"/>
        <v>0</v>
      </c>
      <c r="T1167" s="383">
        <f t="shared" si="403"/>
        <v>0</v>
      </c>
      <c r="U1167" s="383">
        <f t="shared" si="403"/>
        <v>0</v>
      </c>
      <c r="V1167" s="383">
        <f t="shared" si="403"/>
        <v>0</v>
      </c>
      <c r="W1167" s="640"/>
    </row>
    <row r="1168" spans="1:28" s="328" customFormat="1" ht="24" customHeight="1">
      <c r="L1168" s="424"/>
      <c r="M1168" s="424"/>
      <c r="N1168" s="360"/>
      <c r="O1168" s="360"/>
      <c r="P1168" s="347"/>
      <c r="Q1168" s="347"/>
      <c r="R1168" s="346"/>
      <c r="S1168" s="346"/>
      <c r="T1168" s="346"/>
      <c r="U1168" s="346"/>
      <c r="V1168" s="346"/>
      <c r="W1168" s="640"/>
      <c r="X1168" s="695"/>
    </row>
    <row r="1169" spans="1:24" s="328" customFormat="1" ht="24" customHeight="1">
      <c r="K1169" s="400"/>
      <c r="L1169" s="422">
        <f>SUM(L1165:L1168)</f>
        <v>-120334</v>
      </c>
      <c r="M1169" s="422">
        <f>SUM(M1165:M1168)</f>
        <v>72120</v>
      </c>
      <c r="N1169" s="365">
        <f t="shared" ref="N1169:U1169" si="404">SUM(N1165:N1168)</f>
        <v>34627</v>
      </c>
      <c r="O1169" s="365">
        <f>SUM(O1165:O1168)</f>
        <v>-56086</v>
      </c>
      <c r="P1169" s="349">
        <f t="shared" si="404"/>
        <v>480349</v>
      </c>
      <c r="Q1169" s="349">
        <f>SUM(Q1165:Q1168)</f>
        <v>395700</v>
      </c>
      <c r="R1169" s="348">
        <f>SUM(R1165:R1168)</f>
        <v>-175435</v>
      </c>
      <c r="S1169" s="348">
        <f>SUM(S1165:S1168)</f>
        <v>-10905</v>
      </c>
      <c r="T1169" s="348">
        <f t="shared" si="404"/>
        <v>7220</v>
      </c>
      <c r="U1169" s="348">
        <f t="shared" si="404"/>
        <v>10324</v>
      </c>
      <c r="V1169" s="348">
        <f>SUM(V1165:V1168)</f>
        <v>10940</v>
      </c>
      <c r="W1169" s="640"/>
      <c r="X1169" s="695"/>
    </row>
    <row r="1170" spans="1:24" s="490" customFormat="1" ht="24" hidden="1" customHeight="1">
      <c r="L1170" s="491">
        <v>0</v>
      </c>
      <c r="M1170" s="491">
        <v>0</v>
      </c>
      <c r="N1170" s="495">
        <f>N875+N928+N470+N481+N477+N480+N486-N522</f>
        <v>34627</v>
      </c>
      <c r="O1170" s="495">
        <f t="shared" ref="O1170:V1170" si="405">O875+O928+O470+O481+O477+O480+O486-O522</f>
        <v>-56086</v>
      </c>
      <c r="P1170" s="495">
        <f t="shared" si="405"/>
        <v>480349</v>
      </c>
      <c r="Q1170" s="495">
        <f t="shared" si="405"/>
        <v>395700</v>
      </c>
      <c r="R1170" s="495">
        <f t="shared" si="405"/>
        <v>-175435</v>
      </c>
      <c r="S1170" s="495">
        <f t="shared" si="405"/>
        <v>-10905</v>
      </c>
      <c r="T1170" s="495">
        <f t="shared" si="405"/>
        <v>7220</v>
      </c>
      <c r="U1170" s="495">
        <f t="shared" si="405"/>
        <v>10324</v>
      </c>
      <c r="V1170" s="495">
        <f t="shared" si="405"/>
        <v>10940</v>
      </c>
      <c r="W1170" s="494"/>
      <c r="X1170" s="751" t="s">
        <v>1258</v>
      </c>
    </row>
    <row r="1171" spans="1:24" s="490" customFormat="1" ht="24" hidden="1" customHeight="1">
      <c r="L1171" s="491">
        <v>0</v>
      </c>
      <c r="M1171" s="493">
        <v>0</v>
      </c>
      <c r="N1171" s="492">
        <f>N1169-N1170</f>
        <v>0</v>
      </c>
      <c r="O1171" s="492">
        <f t="shared" ref="O1171:V1171" si="406">O1169-O1170</f>
        <v>0</v>
      </c>
      <c r="P1171" s="492">
        <f t="shared" si="406"/>
        <v>0</v>
      </c>
      <c r="Q1171" s="492">
        <f t="shared" si="406"/>
        <v>0</v>
      </c>
      <c r="R1171" s="492">
        <f t="shared" si="406"/>
        <v>0</v>
      </c>
      <c r="S1171" s="492">
        <f t="shared" si="406"/>
        <v>0</v>
      </c>
      <c r="T1171" s="492">
        <f t="shared" si="406"/>
        <v>0</v>
      </c>
      <c r="U1171" s="492">
        <f t="shared" si="406"/>
        <v>0</v>
      </c>
      <c r="V1171" s="492">
        <f t="shared" si="406"/>
        <v>0</v>
      </c>
      <c r="W1171" s="494"/>
      <c r="X1171" s="751"/>
    </row>
    <row r="1172" spans="1:24" s="328" customFormat="1" ht="24" customHeight="1">
      <c r="L1172" s="424"/>
      <c r="M1172" s="435"/>
      <c r="N1172" s="346"/>
      <c r="O1172" s="346"/>
      <c r="P1172" s="347"/>
      <c r="Q1172" s="347"/>
      <c r="R1172" s="346"/>
      <c r="S1172" s="346"/>
      <c r="T1172" s="346"/>
      <c r="U1172" s="346"/>
      <c r="V1172" s="346"/>
      <c r="W1172" s="640"/>
      <c r="X1172" s="695"/>
    </row>
    <row r="1173" spans="1:24" s="578" customFormat="1" ht="24" customHeight="1">
      <c r="K1173" s="579" t="s">
        <v>1052</v>
      </c>
      <c r="L1173" s="580"/>
      <c r="M1173" s="581"/>
      <c r="N1173" s="582"/>
      <c r="O1173" s="582"/>
      <c r="P1173" s="583"/>
      <c r="Q1173" s="583"/>
      <c r="R1173" s="582"/>
      <c r="S1173" s="582"/>
      <c r="T1173" s="582"/>
      <c r="U1173" s="582"/>
      <c r="V1173" s="582"/>
      <c r="W1173" s="584"/>
    </row>
    <row r="1174" spans="1:24" s="328" customFormat="1" ht="24" customHeight="1">
      <c r="K1174" s="328" t="s">
        <v>1157</v>
      </c>
      <c r="L1174" s="424">
        <v>25752</v>
      </c>
      <c r="M1174" s="447">
        <v>66852</v>
      </c>
      <c r="N1174" s="346">
        <f>N532</f>
        <v>62473</v>
      </c>
      <c r="O1174" s="346">
        <f t="shared" ref="O1174:V1174" si="407">O532</f>
        <v>46502</v>
      </c>
      <c r="P1174" s="347">
        <f t="shared" si="407"/>
        <v>73923</v>
      </c>
      <c r="Q1174" s="347">
        <f t="shared" si="407"/>
        <v>29844</v>
      </c>
      <c r="R1174" s="346">
        <f t="shared" si="407"/>
        <v>0</v>
      </c>
      <c r="S1174" s="346">
        <f t="shared" si="407"/>
        <v>0</v>
      </c>
      <c r="T1174" s="346">
        <f t="shared" si="407"/>
        <v>506</v>
      </c>
      <c r="U1174" s="346">
        <f t="shared" si="407"/>
        <v>1012</v>
      </c>
      <c r="V1174" s="346">
        <f t="shared" si="407"/>
        <v>1518</v>
      </c>
      <c r="W1174" s="640"/>
      <c r="X1174" s="695"/>
    </row>
    <row r="1175" spans="1:24" s="328" customFormat="1" ht="24" customHeight="1">
      <c r="K1175" s="328" t="s">
        <v>828</v>
      </c>
      <c r="L1175" s="424">
        <v>-56112</v>
      </c>
      <c r="M1175" s="447">
        <v>25151</v>
      </c>
      <c r="N1175" s="346">
        <f t="shared" ref="N1175:V1175" si="408">N877</f>
        <v>280065</v>
      </c>
      <c r="O1175" s="360">
        <f t="shared" si="408"/>
        <v>320370</v>
      </c>
      <c r="P1175" s="361">
        <f t="shared" si="408"/>
        <v>322699</v>
      </c>
      <c r="Q1175" s="361">
        <f t="shared" si="408"/>
        <v>432308</v>
      </c>
      <c r="R1175" s="346">
        <f t="shared" si="408"/>
        <v>286717</v>
      </c>
      <c r="S1175" s="346">
        <f t="shared" si="408"/>
        <v>275812</v>
      </c>
      <c r="T1175" s="346">
        <f t="shared" si="408"/>
        <v>282526</v>
      </c>
      <c r="U1175" s="346">
        <f t="shared" si="408"/>
        <v>292344</v>
      </c>
      <c r="V1175" s="346">
        <f t="shared" si="408"/>
        <v>302778</v>
      </c>
      <c r="W1175" s="640"/>
      <c r="X1175" s="695"/>
    </row>
    <row r="1176" spans="1:24" s="328" customFormat="1" ht="24" customHeight="1">
      <c r="K1176" s="328" t="s">
        <v>829</v>
      </c>
      <c r="L1176" s="448">
        <v>-77579</v>
      </c>
      <c r="M1176" s="451">
        <v>-127819</v>
      </c>
      <c r="N1176" s="383">
        <f t="shared" ref="N1176:V1176" si="409">N930</f>
        <v>-220001</v>
      </c>
      <c r="O1176" s="379">
        <f t="shared" si="409"/>
        <v>-300420</v>
      </c>
      <c r="P1176" s="380">
        <f t="shared" si="409"/>
        <v>0</v>
      </c>
      <c r="Q1176" s="380">
        <f t="shared" si="409"/>
        <v>0</v>
      </c>
      <c r="R1176" s="383">
        <f t="shared" si="409"/>
        <v>0</v>
      </c>
      <c r="S1176" s="383">
        <f t="shared" si="409"/>
        <v>0</v>
      </c>
      <c r="T1176" s="383">
        <f t="shared" si="409"/>
        <v>0</v>
      </c>
      <c r="U1176" s="383">
        <f t="shared" si="409"/>
        <v>0</v>
      </c>
      <c r="V1176" s="383">
        <f t="shared" si="409"/>
        <v>0</v>
      </c>
      <c r="W1176" s="640"/>
      <c r="X1176" s="695"/>
    </row>
    <row r="1177" spans="1:24" s="328" customFormat="1" ht="24" customHeight="1">
      <c r="L1177" s="424"/>
      <c r="M1177" s="424"/>
      <c r="N1177" s="360"/>
      <c r="O1177" s="360"/>
      <c r="P1177" s="347"/>
      <c r="Q1177" s="347"/>
      <c r="R1177" s="346"/>
      <c r="S1177" s="346"/>
      <c r="T1177" s="346"/>
      <c r="U1177" s="346"/>
      <c r="V1177" s="346"/>
      <c r="W1177" s="640"/>
      <c r="X1177" s="695"/>
    </row>
    <row r="1178" spans="1:24" s="328" customFormat="1" ht="24" customHeight="1">
      <c r="L1178" s="422">
        <f>SUM(L1174:L1177)</f>
        <v>-107939</v>
      </c>
      <c r="M1178" s="422">
        <f>SUM(M1174:M1177)</f>
        <v>-35816</v>
      </c>
      <c r="N1178" s="365">
        <f t="shared" ref="N1178:U1178" si="410">SUM(N1174:N1177)</f>
        <v>122537</v>
      </c>
      <c r="O1178" s="365">
        <f>SUM(O1174:O1177)</f>
        <v>66452</v>
      </c>
      <c r="P1178" s="349">
        <f t="shared" si="410"/>
        <v>396622</v>
      </c>
      <c r="Q1178" s="349">
        <f>SUM(Q1174:Q1177)</f>
        <v>462152</v>
      </c>
      <c r="R1178" s="348">
        <f t="shared" si="410"/>
        <v>286717</v>
      </c>
      <c r="S1178" s="348">
        <f>SUM(S1174:S1177)</f>
        <v>275812</v>
      </c>
      <c r="T1178" s="348">
        <f t="shared" si="410"/>
        <v>283032</v>
      </c>
      <c r="U1178" s="348">
        <f t="shared" si="410"/>
        <v>293356</v>
      </c>
      <c r="V1178" s="348">
        <f>SUM(V1174:V1177)</f>
        <v>304296</v>
      </c>
      <c r="W1178" s="640"/>
      <c r="X1178" s="695"/>
    </row>
    <row r="1179" spans="1:24" s="490" customFormat="1" ht="24" hidden="1" customHeight="1">
      <c r="L1179" s="491">
        <v>0</v>
      </c>
      <c r="M1179" s="493">
        <v>0</v>
      </c>
      <c r="N1179" s="492">
        <f t="shared" ref="N1179:V1179" si="411">N877+N930+N532</f>
        <v>122537</v>
      </c>
      <c r="O1179" s="492">
        <f t="shared" si="411"/>
        <v>66452</v>
      </c>
      <c r="P1179" s="492">
        <f t="shared" si="411"/>
        <v>396622</v>
      </c>
      <c r="Q1179" s="492">
        <f t="shared" si="411"/>
        <v>462152</v>
      </c>
      <c r="R1179" s="492">
        <f t="shared" si="411"/>
        <v>286717</v>
      </c>
      <c r="S1179" s="492">
        <f t="shared" si="411"/>
        <v>275812</v>
      </c>
      <c r="T1179" s="492">
        <f t="shared" si="411"/>
        <v>283032</v>
      </c>
      <c r="U1179" s="492">
        <f t="shared" si="411"/>
        <v>293356</v>
      </c>
      <c r="V1179" s="492">
        <f t="shared" si="411"/>
        <v>304296</v>
      </c>
      <c r="W1179" s="494"/>
      <c r="X1179" s="737" t="s">
        <v>1258</v>
      </c>
    </row>
    <row r="1180" spans="1:24" s="490" customFormat="1" ht="24" hidden="1" customHeight="1">
      <c r="L1180" s="491">
        <v>0</v>
      </c>
      <c r="M1180" s="493">
        <v>0</v>
      </c>
      <c r="N1180" s="492">
        <f>N1178-N1179</f>
        <v>0</v>
      </c>
      <c r="O1180" s="492">
        <f t="shared" ref="O1180:V1180" si="412">O1178-O1179</f>
        <v>0</v>
      </c>
      <c r="P1180" s="492">
        <f t="shared" si="412"/>
        <v>0</v>
      </c>
      <c r="Q1180" s="492">
        <f t="shared" si="412"/>
        <v>0</v>
      </c>
      <c r="R1180" s="492">
        <f t="shared" si="412"/>
        <v>0</v>
      </c>
      <c r="S1180" s="492">
        <f t="shared" si="412"/>
        <v>0</v>
      </c>
      <c r="T1180" s="492">
        <f t="shared" si="412"/>
        <v>0</v>
      </c>
      <c r="U1180" s="492">
        <f t="shared" si="412"/>
        <v>0</v>
      </c>
      <c r="V1180" s="492">
        <f t="shared" si="412"/>
        <v>0</v>
      </c>
      <c r="W1180" s="494"/>
      <c r="X1180" s="737"/>
    </row>
    <row r="1181" spans="1:24" s="328" customFormat="1" ht="24" customHeight="1">
      <c r="L1181" s="424"/>
      <c r="M1181" s="447"/>
      <c r="N1181" s="346"/>
      <c r="O1181" s="346"/>
      <c r="P1181" s="347"/>
      <c r="Q1181" s="347"/>
      <c r="R1181" s="346"/>
      <c r="S1181" s="346"/>
      <c r="T1181" s="346"/>
      <c r="U1181" s="346"/>
      <c r="V1181" s="346"/>
      <c r="W1181" s="640"/>
    </row>
    <row r="1182" spans="1:24" s="328" customFormat="1" ht="24" customHeight="1">
      <c r="L1182" s="424"/>
      <c r="M1182" s="435"/>
      <c r="N1182" s="346"/>
      <c r="O1182" s="346"/>
      <c r="P1182" s="347"/>
      <c r="Q1182" s="347"/>
      <c r="R1182" s="346"/>
      <c r="S1182" s="346"/>
      <c r="T1182" s="346"/>
      <c r="U1182" s="346"/>
      <c r="V1182" s="346"/>
      <c r="W1182" s="640"/>
    </row>
    <row r="1183" spans="1:24" s="490" customFormat="1" ht="24" customHeight="1">
      <c r="A1183" s="734" t="s">
        <v>830</v>
      </c>
      <c r="B1183" s="734"/>
      <c r="C1183" s="734"/>
      <c r="D1183" s="734"/>
      <c r="E1183" s="734"/>
      <c r="F1183" s="734"/>
      <c r="G1183" s="734"/>
      <c r="H1183" s="734"/>
      <c r="I1183" s="734"/>
      <c r="J1183" s="734"/>
      <c r="K1183" s="734"/>
      <c r="L1183" s="491"/>
      <c r="N1183" s="492"/>
      <c r="O1183" s="492"/>
      <c r="P1183" s="492"/>
      <c r="Q1183" s="492"/>
      <c r="R1183" s="492"/>
      <c r="S1183" s="492"/>
      <c r="T1183" s="492"/>
      <c r="U1183" s="492"/>
      <c r="V1183" s="492"/>
      <c r="W1183" s="494"/>
    </row>
    <row r="1184" spans="1:24" s="328" customFormat="1" ht="24" customHeight="1">
      <c r="L1184" s="424"/>
      <c r="M1184" s="435"/>
      <c r="N1184" s="346"/>
      <c r="O1184" s="346"/>
      <c r="P1184" s="347"/>
      <c r="Q1184" s="347"/>
      <c r="R1184" s="346"/>
      <c r="S1184" s="346"/>
      <c r="T1184" s="346"/>
      <c r="U1184" s="346"/>
      <c r="V1184" s="346"/>
      <c r="W1184" s="640"/>
    </row>
    <row r="1185" spans="11:24" s="571" customFormat="1" ht="24" customHeight="1">
      <c r="K1185" s="572" t="s">
        <v>742</v>
      </c>
      <c r="L1185" s="573"/>
      <c r="M1185" s="574"/>
      <c r="N1185" s="575"/>
      <c r="O1185" s="575"/>
      <c r="P1185" s="576"/>
      <c r="Q1185" s="576"/>
      <c r="R1185" s="575"/>
      <c r="S1185" s="575"/>
      <c r="T1185" s="575"/>
      <c r="U1185" s="575"/>
      <c r="V1185" s="575"/>
      <c r="W1185" s="577"/>
    </row>
    <row r="1186" spans="11:24" s="328" customFormat="1" ht="24" customHeight="1">
      <c r="K1186" s="328" t="s">
        <v>831</v>
      </c>
      <c r="L1186" s="424">
        <v>-85647</v>
      </c>
      <c r="M1186" s="449">
        <v>-228058</v>
      </c>
      <c r="N1186" s="346">
        <f t="shared" ref="N1186:V1186" si="413">N998</f>
        <v>71495</v>
      </c>
      <c r="O1186" s="360">
        <f t="shared" si="413"/>
        <v>57305</v>
      </c>
      <c r="P1186" s="361">
        <f t="shared" si="413"/>
        <v>7276</v>
      </c>
      <c r="Q1186" s="361">
        <f t="shared" si="413"/>
        <v>-40585</v>
      </c>
      <c r="R1186" s="346">
        <f t="shared" si="413"/>
        <v>-50768</v>
      </c>
      <c r="S1186" s="346">
        <f t="shared" si="413"/>
        <v>-73100</v>
      </c>
      <c r="T1186" s="346">
        <f t="shared" si="413"/>
        <v>-95078</v>
      </c>
      <c r="U1186" s="346">
        <f t="shared" si="413"/>
        <v>-117931</v>
      </c>
      <c r="V1186" s="346">
        <f t="shared" si="413"/>
        <v>-131771</v>
      </c>
      <c r="W1186" s="640"/>
    </row>
    <row r="1187" spans="11:24" s="328" customFormat="1" ht="24" customHeight="1">
      <c r="K1187" s="328" t="s">
        <v>639</v>
      </c>
      <c r="L1187" s="424">
        <v>0</v>
      </c>
      <c r="M1187" s="449">
        <v>0</v>
      </c>
      <c r="N1187" s="346">
        <f t="shared" ref="N1187:V1187" si="414">N1023</f>
        <v>-1821</v>
      </c>
      <c r="O1187" s="360">
        <f t="shared" si="414"/>
        <v>1821</v>
      </c>
      <c r="P1187" s="361">
        <f t="shared" si="414"/>
        <v>2325</v>
      </c>
      <c r="Q1187" s="361">
        <f t="shared" si="414"/>
        <v>0</v>
      </c>
      <c r="R1187" s="346">
        <f t="shared" si="414"/>
        <v>30</v>
      </c>
      <c r="S1187" s="346">
        <f t="shared" si="414"/>
        <v>30</v>
      </c>
      <c r="T1187" s="346">
        <f t="shared" si="414"/>
        <v>30</v>
      </c>
      <c r="U1187" s="346">
        <f t="shared" si="414"/>
        <v>30</v>
      </c>
      <c r="V1187" s="346">
        <f t="shared" si="414"/>
        <v>30</v>
      </c>
      <c r="W1187" s="640"/>
    </row>
    <row r="1188" spans="11:24" s="328" customFormat="1" ht="24" customHeight="1">
      <c r="K1188" s="328" t="s">
        <v>995</v>
      </c>
      <c r="L1188" s="448">
        <v>0</v>
      </c>
      <c r="M1188" s="451">
        <v>0</v>
      </c>
      <c r="N1188" s="383">
        <f t="shared" ref="N1188:U1188" si="415">N1046</f>
        <v>6794</v>
      </c>
      <c r="O1188" s="379">
        <f>O1046</f>
        <v>8896</v>
      </c>
      <c r="P1188" s="380">
        <f t="shared" si="415"/>
        <v>-18830</v>
      </c>
      <c r="Q1188" s="380">
        <f>Q1046</f>
        <v>19306</v>
      </c>
      <c r="R1188" s="383">
        <f t="shared" si="415"/>
        <v>-34995</v>
      </c>
      <c r="S1188" s="383">
        <f t="shared" si="415"/>
        <v>0</v>
      </c>
      <c r="T1188" s="383">
        <f t="shared" si="415"/>
        <v>0</v>
      </c>
      <c r="U1188" s="383">
        <f t="shared" si="415"/>
        <v>0</v>
      </c>
      <c r="V1188" s="383">
        <f>V1046</f>
        <v>0</v>
      </c>
      <c r="W1188" s="640"/>
    </row>
    <row r="1189" spans="11:24" s="328" customFormat="1" ht="24" customHeight="1">
      <c r="L1189" s="424"/>
      <c r="M1189" s="424"/>
      <c r="N1189" s="360"/>
      <c r="O1189" s="360"/>
      <c r="P1189" s="347"/>
      <c r="Q1189" s="347"/>
      <c r="R1189" s="346"/>
      <c r="S1189" s="346"/>
      <c r="T1189" s="346"/>
      <c r="U1189" s="346"/>
      <c r="V1189" s="346"/>
      <c r="W1189" s="640"/>
      <c r="X1189" s="695"/>
    </row>
    <row r="1190" spans="11:24" s="328" customFormat="1" ht="24" customHeight="1">
      <c r="K1190" s="400"/>
      <c r="L1190" s="422">
        <f>SUM(L1186:L1189)</f>
        <v>-85647</v>
      </c>
      <c r="M1190" s="422">
        <f>SUM(M1186:M1189)</f>
        <v>-228058</v>
      </c>
      <c r="N1190" s="365">
        <f t="shared" ref="N1190:U1190" si="416">SUM(N1186:N1189)</f>
        <v>76468</v>
      </c>
      <c r="O1190" s="365">
        <f>SUM(O1186:O1189)</f>
        <v>68022</v>
      </c>
      <c r="P1190" s="349">
        <f t="shared" si="416"/>
        <v>-9229</v>
      </c>
      <c r="Q1190" s="349">
        <f>SUM(Q1186:Q1189)</f>
        <v>-21279</v>
      </c>
      <c r="R1190" s="348">
        <f t="shared" si="416"/>
        <v>-85733</v>
      </c>
      <c r="S1190" s="348">
        <f t="shared" si="416"/>
        <v>-73070</v>
      </c>
      <c r="T1190" s="348">
        <f t="shared" si="416"/>
        <v>-95048</v>
      </c>
      <c r="U1190" s="348">
        <f t="shared" si="416"/>
        <v>-117901</v>
      </c>
      <c r="V1190" s="348">
        <f>SUM(V1186:V1189)</f>
        <v>-131741</v>
      </c>
      <c r="W1190" s="640"/>
      <c r="X1190" s="695"/>
    </row>
    <row r="1191" spans="11:24" s="490" customFormat="1" ht="24" hidden="1" customHeight="1">
      <c r="L1191" s="491">
        <v>0</v>
      </c>
      <c r="M1191" s="491">
        <v>0</v>
      </c>
      <c r="N1191" s="495">
        <f t="shared" ref="N1191:V1191" si="417">N998+N1023+N1046</f>
        <v>76468</v>
      </c>
      <c r="O1191" s="495">
        <f t="shared" si="417"/>
        <v>68022</v>
      </c>
      <c r="P1191" s="495">
        <f t="shared" si="417"/>
        <v>-9229</v>
      </c>
      <c r="Q1191" s="495">
        <f t="shared" si="417"/>
        <v>-21279</v>
      </c>
      <c r="R1191" s="495">
        <f t="shared" si="417"/>
        <v>-85733</v>
      </c>
      <c r="S1191" s="495">
        <f t="shared" si="417"/>
        <v>-73070</v>
      </c>
      <c r="T1191" s="495">
        <f t="shared" si="417"/>
        <v>-95048</v>
      </c>
      <c r="U1191" s="495">
        <f t="shared" si="417"/>
        <v>-117901</v>
      </c>
      <c r="V1191" s="495">
        <f t="shared" si="417"/>
        <v>-131741</v>
      </c>
      <c r="W1191" s="494"/>
      <c r="X1191" s="751" t="s">
        <v>1258</v>
      </c>
    </row>
    <row r="1192" spans="11:24" s="490" customFormat="1" ht="24" hidden="1" customHeight="1">
      <c r="L1192" s="493">
        <v>0</v>
      </c>
      <c r="M1192" s="493">
        <v>0</v>
      </c>
      <c r="N1192" s="492">
        <f>N1190-N1191</f>
        <v>0</v>
      </c>
      <c r="O1192" s="492">
        <f t="shared" ref="O1192:V1192" si="418">O1190-O1191</f>
        <v>0</v>
      </c>
      <c r="P1192" s="492">
        <f t="shared" si="418"/>
        <v>0</v>
      </c>
      <c r="Q1192" s="492">
        <f t="shared" si="418"/>
        <v>0</v>
      </c>
      <c r="R1192" s="492">
        <f t="shared" si="418"/>
        <v>0</v>
      </c>
      <c r="S1192" s="492">
        <f t="shared" si="418"/>
        <v>0</v>
      </c>
      <c r="T1192" s="492">
        <f t="shared" si="418"/>
        <v>0</v>
      </c>
      <c r="U1192" s="492">
        <f t="shared" si="418"/>
        <v>0</v>
      </c>
      <c r="V1192" s="492">
        <f t="shared" si="418"/>
        <v>0</v>
      </c>
      <c r="W1192" s="494"/>
      <c r="X1192" s="751"/>
    </row>
    <row r="1193" spans="11:24" s="328" customFormat="1" ht="24" customHeight="1">
      <c r="L1193" s="424"/>
      <c r="M1193" s="435"/>
      <c r="N1193" s="346"/>
      <c r="O1193" s="346"/>
      <c r="P1193" s="347"/>
      <c r="Q1193" s="347"/>
      <c r="R1193" s="346"/>
      <c r="S1193" s="346"/>
      <c r="T1193" s="346"/>
      <c r="U1193" s="346"/>
      <c r="V1193" s="346"/>
      <c r="W1193" s="640"/>
      <c r="X1193" s="695"/>
    </row>
    <row r="1194" spans="11:24" s="578" customFormat="1" ht="24" customHeight="1">
      <c r="K1194" s="579" t="s">
        <v>1052</v>
      </c>
      <c r="L1194" s="580"/>
      <c r="M1194" s="581"/>
      <c r="N1194" s="582"/>
      <c r="O1194" s="582"/>
      <c r="P1194" s="583"/>
      <c r="Q1194" s="583"/>
      <c r="R1194" s="582"/>
      <c r="S1194" s="582"/>
      <c r="T1194" s="582"/>
      <c r="U1194" s="582"/>
      <c r="V1194" s="582"/>
      <c r="W1194" s="584"/>
    </row>
    <row r="1195" spans="11:24" s="328" customFormat="1" ht="24" customHeight="1">
      <c r="K1195" s="328" t="s">
        <v>831</v>
      </c>
      <c r="L1195" s="424">
        <v>799062</v>
      </c>
      <c r="M1195" s="447">
        <v>571002</v>
      </c>
      <c r="N1195" s="346">
        <f t="shared" ref="N1195:V1195" si="419">N1000</f>
        <v>388831</v>
      </c>
      <c r="O1195" s="360">
        <f t="shared" si="419"/>
        <v>446136</v>
      </c>
      <c r="P1195" s="361">
        <f t="shared" si="419"/>
        <v>407430</v>
      </c>
      <c r="Q1195" s="361">
        <f t="shared" si="419"/>
        <v>405551</v>
      </c>
      <c r="R1195" s="346">
        <f t="shared" si="419"/>
        <v>354783</v>
      </c>
      <c r="S1195" s="346">
        <f t="shared" si="419"/>
        <v>281683</v>
      </c>
      <c r="T1195" s="346">
        <f t="shared" si="419"/>
        <v>186605</v>
      </c>
      <c r="U1195" s="346">
        <f t="shared" si="419"/>
        <v>68674</v>
      </c>
      <c r="V1195" s="346">
        <f t="shared" si="419"/>
        <v>-63097</v>
      </c>
      <c r="W1195" s="640"/>
      <c r="X1195" s="695"/>
    </row>
    <row r="1196" spans="11:24" s="328" customFormat="1" ht="24" customHeight="1">
      <c r="K1196" s="328" t="s">
        <v>639</v>
      </c>
      <c r="L1196" s="424">
        <v>0</v>
      </c>
      <c r="M1196" s="447">
        <v>0</v>
      </c>
      <c r="N1196" s="346">
        <f t="shared" ref="N1196:V1196" si="420">N1025</f>
        <v>-1821</v>
      </c>
      <c r="O1196" s="360">
        <f t="shared" si="420"/>
        <v>0</v>
      </c>
      <c r="P1196" s="361">
        <f t="shared" si="420"/>
        <v>2325</v>
      </c>
      <c r="Q1196" s="361">
        <f t="shared" si="420"/>
        <v>0</v>
      </c>
      <c r="R1196" s="346">
        <f t="shared" si="420"/>
        <v>30</v>
      </c>
      <c r="S1196" s="346">
        <f t="shared" si="420"/>
        <v>60</v>
      </c>
      <c r="T1196" s="346">
        <f t="shared" si="420"/>
        <v>90</v>
      </c>
      <c r="U1196" s="346">
        <f t="shared" si="420"/>
        <v>120</v>
      </c>
      <c r="V1196" s="346">
        <f t="shared" si="420"/>
        <v>150</v>
      </c>
      <c r="W1196" s="640"/>
      <c r="X1196" s="695"/>
    </row>
    <row r="1197" spans="11:24" s="328" customFormat="1" ht="24" customHeight="1">
      <c r="K1197" s="328" t="s">
        <v>995</v>
      </c>
      <c r="L1197" s="448">
        <v>0</v>
      </c>
      <c r="M1197" s="451">
        <v>0</v>
      </c>
      <c r="N1197" s="383">
        <f t="shared" ref="N1197:U1197" si="421">N1048</f>
        <v>6794</v>
      </c>
      <c r="O1197" s="379">
        <f>O1048</f>
        <v>15689</v>
      </c>
      <c r="P1197" s="380">
        <f t="shared" si="421"/>
        <v>0</v>
      </c>
      <c r="Q1197" s="380">
        <f>Q1048</f>
        <v>34995</v>
      </c>
      <c r="R1197" s="383">
        <f t="shared" si="421"/>
        <v>0</v>
      </c>
      <c r="S1197" s="383">
        <f t="shared" si="421"/>
        <v>0</v>
      </c>
      <c r="T1197" s="383">
        <f t="shared" si="421"/>
        <v>0</v>
      </c>
      <c r="U1197" s="383">
        <f t="shared" si="421"/>
        <v>0</v>
      </c>
      <c r="V1197" s="383">
        <f>V1048</f>
        <v>0</v>
      </c>
      <c r="W1197" s="640"/>
      <c r="X1197" s="695"/>
    </row>
    <row r="1198" spans="11:24" s="328" customFormat="1" ht="24" customHeight="1">
      <c r="L1198" s="424"/>
      <c r="M1198" s="424"/>
      <c r="N1198" s="360"/>
      <c r="O1198" s="360"/>
      <c r="P1198" s="347"/>
      <c r="Q1198" s="347"/>
      <c r="R1198" s="346"/>
      <c r="S1198" s="346"/>
      <c r="T1198" s="346"/>
      <c r="U1198" s="346"/>
      <c r="V1198" s="346"/>
      <c r="W1198" s="640"/>
      <c r="X1198" s="695"/>
    </row>
    <row r="1199" spans="11:24" s="328" customFormat="1" ht="24" customHeight="1">
      <c r="L1199" s="422">
        <f>SUM(L1195:L1198)</f>
        <v>799062</v>
      </c>
      <c r="M1199" s="422">
        <f>SUM(M1195:M1198)</f>
        <v>571002</v>
      </c>
      <c r="N1199" s="365">
        <f t="shared" ref="N1199:U1199" si="422">SUM(N1195:N1198)</f>
        <v>393804</v>
      </c>
      <c r="O1199" s="365">
        <f>SUM(O1195:O1198)</f>
        <v>461825</v>
      </c>
      <c r="P1199" s="349">
        <f t="shared" si="422"/>
        <v>409755</v>
      </c>
      <c r="Q1199" s="349">
        <f>SUM(Q1195:Q1198)</f>
        <v>440546</v>
      </c>
      <c r="R1199" s="348">
        <f t="shared" si="422"/>
        <v>354813</v>
      </c>
      <c r="S1199" s="348">
        <f t="shared" si="422"/>
        <v>281743</v>
      </c>
      <c r="T1199" s="348">
        <f t="shared" si="422"/>
        <v>186695</v>
      </c>
      <c r="U1199" s="348">
        <f t="shared" si="422"/>
        <v>68794</v>
      </c>
      <c r="V1199" s="348">
        <f>SUM(V1195:V1198)</f>
        <v>-62947</v>
      </c>
      <c r="W1199" s="640"/>
      <c r="X1199" s="695"/>
    </row>
    <row r="1200" spans="11:24" s="490" customFormat="1" ht="24" hidden="1" customHeight="1">
      <c r="L1200" s="491">
        <v>0</v>
      </c>
      <c r="M1200" s="493">
        <v>0</v>
      </c>
      <c r="N1200" s="492">
        <f t="shared" ref="N1200:V1200" si="423">N1000+N1025+N1048</f>
        <v>393804</v>
      </c>
      <c r="O1200" s="492">
        <f t="shared" si="423"/>
        <v>461825</v>
      </c>
      <c r="P1200" s="492">
        <f t="shared" si="423"/>
        <v>409755</v>
      </c>
      <c r="Q1200" s="492">
        <f t="shared" si="423"/>
        <v>440546</v>
      </c>
      <c r="R1200" s="492">
        <f t="shared" si="423"/>
        <v>354813</v>
      </c>
      <c r="S1200" s="492">
        <f t="shared" si="423"/>
        <v>281743</v>
      </c>
      <c r="T1200" s="492">
        <f t="shared" si="423"/>
        <v>186695</v>
      </c>
      <c r="U1200" s="492">
        <f t="shared" si="423"/>
        <v>68794</v>
      </c>
      <c r="V1200" s="492">
        <f t="shared" si="423"/>
        <v>-62947</v>
      </c>
      <c r="W1200" s="494"/>
      <c r="X1200" s="751" t="s">
        <v>1258</v>
      </c>
    </row>
    <row r="1201" spans="1:24" s="490" customFormat="1" ht="24" hidden="1" customHeight="1">
      <c r="L1201" s="491">
        <v>0</v>
      </c>
      <c r="M1201" s="493">
        <v>0</v>
      </c>
      <c r="N1201" s="492">
        <f>N1199-N1200</f>
        <v>0</v>
      </c>
      <c r="O1201" s="492">
        <f t="shared" ref="O1201:V1201" si="424">O1199-O1200</f>
        <v>0</v>
      </c>
      <c r="P1201" s="492">
        <f t="shared" si="424"/>
        <v>0</v>
      </c>
      <c r="Q1201" s="492">
        <f t="shared" si="424"/>
        <v>0</v>
      </c>
      <c r="R1201" s="492">
        <f t="shared" si="424"/>
        <v>0</v>
      </c>
      <c r="S1201" s="492">
        <f t="shared" si="424"/>
        <v>0</v>
      </c>
      <c r="T1201" s="492">
        <f t="shared" si="424"/>
        <v>0</v>
      </c>
      <c r="U1201" s="492">
        <f t="shared" si="424"/>
        <v>0</v>
      </c>
      <c r="V1201" s="492">
        <f t="shared" si="424"/>
        <v>0</v>
      </c>
      <c r="W1201" s="494"/>
      <c r="X1201" s="751"/>
    </row>
    <row r="1202" spans="1:24" s="328" customFormat="1" ht="24" customHeight="1">
      <c r="L1202" s="424"/>
      <c r="M1202" s="447"/>
      <c r="N1202" s="346"/>
      <c r="O1202" s="346"/>
      <c r="P1202" s="347"/>
      <c r="Q1202" s="347"/>
      <c r="R1202" s="346"/>
      <c r="S1202" s="346"/>
      <c r="T1202" s="346"/>
      <c r="U1202" s="346"/>
      <c r="V1202" s="346"/>
      <c r="W1202" s="640"/>
      <c r="X1202" s="695"/>
    </row>
    <row r="1203" spans="1:24" s="328" customFormat="1" ht="24" customHeight="1">
      <c r="L1203" s="424"/>
      <c r="M1203" s="447"/>
      <c r="N1203" s="346"/>
      <c r="O1203" s="346"/>
      <c r="P1203" s="347"/>
      <c r="Q1203" s="347"/>
      <c r="R1203" s="346"/>
      <c r="S1203" s="346"/>
      <c r="T1203" s="346"/>
      <c r="U1203" s="346"/>
      <c r="V1203" s="346"/>
      <c r="W1203" s="640"/>
    </row>
    <row r="1204" spans="1:24" s="490" customFormat="1" ht="24" customHeight="1">
      <c r="A1204" s="734" t="s">
        <v>1508</v>
      </c>
      <c r="B1204" s="734"/>
      <c r="C1204" s="734"/>
      <c r="D1204" s="734"/>
      <c r="E1204" s="734"/>
      <c r="F1204" s="734"/>
      <c r="G1204" s="734"/>
      <c r="H1204" s="734"/>
      <c r="I1204" s="734"/>
      <c r="J1204" s="734"/>
      <c r="K1204" s="734"/>
      <c r="L1204" s="491"/>
      <c r="M1204" s="493"/>
      <c r="N1204" s="492"/>
      <c r="O1204" s="492"/>
      <c r="P1204" s="492"/>
      <c r="Q1204" s="492"/>
      <c r="R1204" s="492"/>
      <c r="S1204" s="492"/>
      <c r="T1204" s="492"/>
      <c r="U1204" s="492"/>
      <c r="V1204" s="492"/>
      <c r="W1204" s="494"/>
    </row>
    <row r="1205" spans="1:24" s="328" customFormat="1" ht="24" customHeight="1">
      <c r="K1205" s="328" t="s">
        <v>846</v>
      </c>
      <c r="L1205" s="424"/>
      <c r="M1205" s="447"/>
      <c r="N1205" s="346">
        <f t="shared" ref="N1205:V1205" si="425">N269+N599+N694+N965</f>
        <v>308490</v>
      </c>
      <c r="O1205" s="360">
        <f t="shared" si="425"/>
        <v>273501</v>
      </c>
      <c r="P1205" s="361">
        <f t="shared" si="425"/>
        <v>330000</v>
      </c>
      <c r="Q1205" s="361">
        <f t="shared" si="425"/>
        <v>318698</v>
      </c>
      <c r="R1205" s="346">
        <f t="shared" si="425"/>
        <v>337820</v>
      </c>
      <c r="S1205" s="346">
        <f t="shared" si="425"/>
        <v>358090</v>
      </c>
      <c r="T1205" s="346">
        <f t="shared" si="425"/>
        <v>379575</v>
      </c>
      <c r="U1205" s="346">
        <f t="shared" si="425"/>
        <v>402350</v>
      </c>
      <c r="V1205" s="346">
        <f t="shared" si="425"/>
        <v>424356</v>
      </c>
      <c r="W1205" s="640"/>
      <c r="X1205" s="695"/>
    </row>
    <row r="1206" spans="1:24" s="490" customFormat="1" ht="24" hidden="1" customHeight="1">
      <c r="L1206" s="491"/>
      <c r="M1206" s="493"/>
      <c r="N1206" s="492">
        <f t="shared" ref="N1206:V1206" si="426">N1205-N269-N599-N694-N965</f>
        <v>0</v>
      </c>
      <c r="O1206" s="492">
        <f t="shared" si="426"/>
        <v>0</v>
      </c>
      <c r="P1206" s="492">
        <f t="shared" si="426"/>
        <v>0</v>
      </c>
      <c r="Q1206" s="492">
        <f t="shared" si="426"/>
        <v>0</v>
      </c>
      <c r="R1206" s="492">
        <f t="shared" si="426"/>
        <v>0</v>
      </c>
      <c r="S1206" s="492">
        <f t="shared" si="426"/>
        <v>0</v>
      </c>
      <c r="T1206" s="492">
        <f t="shared" si="426"/>
        <v>0</v>
      </c>
      <c r="U1206" s="492">
        <f t="shared" si="426"/>
        <v>0</v>
      </c>
      <c r="V1206" s="492">
        <f t="shared" si="426"/>
        <v>0</v>
      </c>
      <c r="W1206" s="494"/>
      <c r="X1206" s="752" t="s">
        <v>1490</v>
      </c>
    </row>
    <row r="1207" spans="1:24" s="328" customFormat="1" ht="24" customHeight="1">
      <c r="L1207" s="424"/>
      <c r="M1207" s="435"/>
      <c r="N1207" s="346"/>
      <c r="O1207" s="346"/>
      <c r="P1207" s="347"/>
      <c r="Q1207" s="347"/>
      <c r="R1207" s="346"/>
      <c r="S1207" s="346"/>
      <c r="T1207" s="346"/>
      <c r="U1207" s="346"/>
      <c r="V1207" s="346"/>
      <c r="W1207" s="640"/>
      <c r="X1207" s="695"/>
    </row>
    <row r="1208" spans="1:24" s="328" customFormat="1" ht="24" customHeight="1">
      <c r="K1208" s="328" t="s">
        <v>847</v>
      </c>
      <c r="L1208" s="424"/>
      <c r="M1208" s="447"/>
      <c r="N1208" s="346">
        <f t="shared" ref="N1208:V1208" si="427">N268+N598+N693+N964</f>
        <v>91200</v>
      </c>
      <c r="O1208" s="360">
        <f t="shared" si="427"/>
        <v>11036</v>
      </c>
      <c r="P1208" s="361">
        <f t="shared" si="427"/>
        <v>54000</v>
      </c>
      <c r="Q1208" s="361">
        <f t="shared" si="427"/>
        <v>37500</v>
      </c>
      <c r="R1208" s="346">
        <f t="shared" si="427"/>
        <v>37500</v>
      </c>
      <c r="S1208" s="346">
        <f t="shared" si="427"/>
        <v>37500</v>
      </c>
      <c r="T1208" s="346">
        <f t="shared" si="427"/>
        <v>37500</v>
      </c>
      <c r="U1208" s="346">
        <f t="shared" si="427"/>
        <v>37500</v>
      </c>
      <c r="V1208" s="346">
        <f t="shared" si="427"/>
        <v>37500</v>
      </c>
      <c r="W1208" s="640"/>
      <c r="X1208" s="695"/>
    </row>
    <row r="1209" spans="1:24" s="490" customFormat="1" ht="24" hidden="1" customHeight="1">
      <c r="L1209" s="491"/>
      <c r="M1209" s="493"/>
      <c r="N1209" s="492">
        <f t="shared" ref="N1209:V1209" si="428">N1208-N268-N598-N693-N964</f>
        <v>0</v>
      </c>
      <c r="O1209" s="492">
        <f t="shared" si="428"/>
        <v>0</v>
      </c>
      <c r="P1209" s="492">
        <f t="shared" si="428"/>
        <v>0</v>
      </c>
      <c r="Q1209" s="492">
        <f t="shared" si="428"/>
        <v>0</v>
      </c>
      <c r="R1209" s="492">
        <f t="shared" si="428"/>
        <v>0</v>
      </c>
      <c r="S1209" s="492">
        <f t="shared" si="428"/>
        <v>0</v>
      </c>
      <c r="T1209" s="492">
        <f t="shared" si="428"/>
        <v>0</v>
      </c>
      <c r="U1209" s="492">
        <f t="shared" si="428"/>
        <v>0</v>
      </c>
      <c r="V1209" s="492">
        <f t="shared" si="428"/>
        <v>0</v>
      </c>
      <c r="W1209" s="494"/>
      <c r="X1209" s="752" t="s">
        <v>1490</v>
      </c>
    </row>
    <row r="1210" spans="1:24" s="328" customFormat="1" ht="24" customHeight="1">
      <c r="L1210" s="424"/>
      <c r="M1210" s="447"/>
      <c r="N1210" s="346"/>
      <c r="O1210" s="360"/>
      <c r="P1210" s="361"/>
      <c r="Q1210" s="361"/>
      <c r="R1210" s="346"/>
      <c r="S1210" s="346"/>
      <c r="T1210" s="346"/>
      <c r="U1210" s="346"/>
      <c r="V1210" s="346"/>
      <c r="W1210" s="640"/>
      <c r="X1210" s="695"/>
    </row>
    <row r="1211" spans="1:24" s="328" customFormat="1" ht="24" customHeight="1">
      <c r="E1211" s="336"/>
      <c r="F1211" s="336"/>
      <c r="G1211" s="336"/>
      <c r="H1211" s="336"/>
      <c r="I1211" s="728" t="s">
        <v>903</v>
      </c>
      <c r="J1211" s="728"/>
      <c r="K1211" s="336" t="s">
        <v>848</v>
      </c>
      <c r="L1211" s="422"/>
      <c r="M1211" s="441"/>
      <c r="N1211" s="346">
        <f t="shared" ref="N1211:V1211" si="429">N79+N83+N111+N159+N197+N227+N264+N594+N689+N813+N843+N905+N270+N134</f>
        <v>1207844</v>
      </c>
      <c r="O1211" s="346">
        <f t="shared" si="429"/>
        <v>1107690</v>
      </c>
      <c r="P1211" s="347">
        <f t="shared" si="429"/>
        <v>1273076</v>
      </c>
      <c r="Q1211" s="347">
        <f t="shared" si="429"/>
        <v>1215233</v>
      </c>
      <c r="R1211" s="346">
        <f t="shared" si="429"/>
        <v>1415113</v>
      </c>
      <c r="S1211" s="346">
        <f t="shared" si="429"/>
        <v>1572805</v>
      </c>
      <c r="T1211" s="346">
        <f t="shared" si="429"/>
        <v>1698630</v>
      </c>
      <c r="U1211" s="346">
        <f t="shared" si="429"/>
        <v>1834521</v>
      </c>
      <c r="V1211" s="346">
        <f t="shared" si="429"/>
        <v>1981281</v>
      </c>
      <c r="W1211" s="640"/>
      <c r="X1211" s="695"/>
    </row>
    <row r="1212" spans="1:24" s="328" customFormat="1" ht="24" customHeight="1">
      <c r="K1212" s="328" t="s">
        <v>906</v>
      </c>
      <c r="L1212" s="422"/>
      <c r="M1212" s="447"/>
      <c r="N1212" s="667">
        <f>-N51</f>
        <v>-23220</v>
      </c>
      <c r="O1212" s="667">
        <f t="shared" ref="O1212:V1212" si="430">-O51</f>
        <v>0</v>
      </c>
      <c r="P1212" s="675">
        <f t="shared" si="430"/>
        <v>0</v>
      </c>
      <c r="Q1212" s="675">
        <f t="shared" si="430"/>
        <v>0</v>
      </c>
      <c r="R1212" s="667">
        <f t="shared" si="430"/>
        <v>0</v>
      </c>
      <c r="S1212" s="667">
        <f t="shared" si="430"/>
        <v>0</v>
      </c>
      <c r="T1212" s="667">
        <f t="shared" si="430"/>
        <v>0</v>
      </c>
      <c r="U1212" s="667">
        <f t="shared" si="430"/>
        <v>0</v>
      </c>
      <c r="V1212" s="667">
        <f t="shared" si="430"/>
        <v>0</v>
      </c>
      <c r="W1212" s="640"/>
      <c r="X1212" s="695"/>
    </row>
    <row r="1213" spans="1:24" s="328" customFormat="1" ht="24" customHeight="1">
      <c r="K1213" s="328" t="s">
        <v>907</v>
      </c>
      <c r="L1213" s="422"/>
      <c r="M1213" s="447"/>
      <c r="N1213" s="667">
        <f>-N52</f>
        <v>-48447</v>
      </c>
      <c r="O1213" s="667">
        <f t="shared" ref="O1213:V1213" si="431">-O52</f>
        <v>-57824</v>
      </c>
      <c r="P1213" s="675">
        <f t="shared" si="431"/>
        <v>0</v>
      </c>
      <c r="Q1213" s="675">
        <f t="shared" si="431"/>
        <v>0</v>
      </c>
      <c r="R1213" s="667">
        <f t="shared" si="431"/>
        <v>0</v>
      </c>
      <c r="S1213" s="667">
        <f t="shared" si="431"/>
        <v>0</v>
      </c>
      <c r="T1213" s="667">
        <f t="shared" si="431"/>
        <v>0</v>
      </c>
      <c r="U1213" s="667">
        <f t="shared" si="431"/>
        <v>0</v>
      </c>
      <c r="V1213" s="667">
        <f t="shared" si="431"/>
        <v>0</v>
      </c>
      <c r="W1213" s="640"/>
      <c r="X1213" s="695"/>
    </row>
    <row r="1214" spans="1:24" s="328" customFormat="1" ht="24" customHeight="1">
      <c r="K1214" s="328" t="s">
        <v>904</v>
      </c>
      <c r="L1214" s="422"/>
      <c r="M1214" s="451"/>
      <c r="N1214" s="668">
        <f t="shared" ref="N1214:V1214" si="432">-N53+-N579+-N676+-N796</f>
        <v>-91536</v>
      </c>
      <c r="O1214" s="668">
        <f t="shared" si="432"/>
        <v>-92221</v>
      </c>
      <c r="P1214" s="676">
        <f t="shared" si="432"/>
        <v>0</v>
      </c>
      <c r="Q1214" s="676">
        <f t="shared" si="432"/>
        <v>0</v>
      </c>
      <c r="R1214" s="668">
        <f t="shared" si="432"/>
        <v>0</v>
      </c>
      <c r="S1214" s="668">
        <f t="shared" si="432"/>
        <v>0</v>
      </c>
      <c r="T1214" s="668">
        <f t="shared" si="432"/>
        <v>0</v>
      </c>
      <c r="U1214" s="668">
        <f t="shared" si="432"/>
        <v>0</v>
      </c>
      <c r="V1214" s="668">
        <f t="shared" si="432"/>
        <v>0</v>
      </c>
      <c r="W1214" s="640"/>
      <c r="X1214" s="695"/>
    </row>
    <row r="1215" spans="1:24" s="328" customFormat="1" ht="24" customHeight="1">
      <c r="E1215" s="336"/>
      <c r="F1215" s="336"/>
      <c r="G1215" s="336"/>
      <c r="H1215" s="336"/>
      <c r="I1215" s="728" t="s">
        <v>903</v>
      </c>
      <c r="J1215" s="728"/>
      <c r="K1215" s="400" t="s">
        <v>905</v>
      </c>
      <c r="L1215" s="422"/>
      <c r="M1215" s="441"/>
      <c r="N1215" s="348">
        <f>SUM(N1211:N1214)</f>
        <v>1044641</v>
      </c>
      <c r="O1215" s="348">
        <f t="shared" ref="O1215:V1215" si="433">SUM(O1211:O1214)</f>
        <v>957645</v>
      </c>
      <c r="P1215" s="349">
        <f t="shared" si="433"/>
        <v>1273076</v>
      </c>
      <c r="Q1215" s="349">
        <f t="shared" si="433"/>
        <v>1215233</v>
      </c>
      <c r="R1215" s="348">
        <f t="shared" si="433"/>
        <v>1415113</v>
      </c>
      <c r="S1215" s="348">
        <f t="shared" si="433"/>
        <v>1572805</v>
      </c>
      <c r="T1215" s="348">
        <f t="shared" si="433"/>
        <v>1698630</v>
      </c>
      <c r="U1215" s="348">
        <f t="shared" si="433"/>
        <v>1834521</v>
      </c>
      <c r="V1215" s="348">
        <f t="shared" si="433"/>
        <v>1981281</v>
      </c>
      <c r="W1215" s="640"/>
      <c r="X1215" s="695"/>
    </row>
    <row r="1216" spans="1:24" s="328" customFormat="1" ht="24" customHeight="1">
      <c r="J1216" s="420"/>
      <c r="L1216" s="424"/>
      <c r="M1216" s="447"/>
      <c r="N1216" s="346"/>
      <c r="O1216" s="360"/>
      <c r="P1216" s="347"/>
      <c r="Q1216" s="347"/>
      <c r="R1216" s="346"/>
      <c r="S1216" s="346"/>
      <c r="T1216" s="346"/>
      <c r="U1216" s="346"/>
      <c r="V1216" s="346"/>
      <c r="W1216" s="640"/>
      <c r="X1216" s="695"/>
    </row>
    <row r="1217" spans="1:24" s="328" customFormat="1" ht="24" customHeight="1">
      <c r="E1217" s="336"/>
      <c r="F1217" s="336"/>
      <c r="G1217" s="336"/>
      <c r="H1217" s="336"/>
      <c r="I1217" s="728" t="s">
        <v>903</v>
      </c>
      <c r="J1217" s="728"/>
      <c r="K1217" s="400" t="s">
        <v>849</v>
      </c>
      <c r="L1217" s="422"/>
      <c r="M1217" s="423"/>
      <c r="N1217" s="348">
        <f t="shared" ref="N1217:V1217" si="434">N81+N113+N161+N199+N229+N596+N691+N815+N845+N266+N85+N271+N136</f>
        <v>87225</v>
      </c>
      <c r="O1217" s="348">
        <f t="shared" si="434"/>
        <v>84511</v>
      </c>
      <c r="P1217" s="349">
        <f t="shared" si="434"/>
        <v>89925</v>
      </c>
      <c r="Q1217" s="349">
        <f t="shared" si="434"/>
        <v>78410</v>
      </c>
      <c r="R1217" s="348">
        <f t="shared" si="434"/>
        <v>83555</v>
      </c>
      <c r="S1217" s="348">
        <f t="shared" si="434"/>
        <v>87284</v>
      </c>
      <c r="T1217" s="348">
        <f t="shared" si="434"/>
        <v>91648</v>
      </c>
      <c r="U1217" s="348">
        <f t="shared" si="434"/>
        <v>96684</v>
      </c>
      <c r="V1217" s="348">
        <f t="shared" si="434"/>
        <v>101442</v>
      </c>
      <c r="W1217" s="640"/>
      <c r="X1217" s="695"/>
    </row>
    <row r="1218" spans="1:24" s="328" customFormat="1" ht="24" customHeight="1">
      <c r="J1218" s="420"/>
      <c r="L1218" s="424"/>
      <c r="M1218" s="435"/>
      <c r="N1218" s="346"/>
      <c r="O1218" s="360"/>
      <c r="P1218" s="347"/>
      <c r="Q1218" s="347"/>
      <c r="R1218" s="346"/>
      <c r="S1218" s="346"/>
      <c r="T1218" s="346"/>
      <c r="U1218" s="346"/>
      <c r="V1218" s="346"/>
      <c r="W1218" s="640"/>
      <c r="X1218" s="695"/>
    </row>
    <row r="1219" spans="1:24" s="328" customFormat="1" ht="24" customHeight="1">
      <c r="E1219" s="336"/>
      <c r="F1219" s="336"/>
      <c r="G1219" s="336"/>
      <c r="H1219" s="336"/>
      <c r="I1219" s="728" t="s">
        <v>903</v>
      </c>
      <c r="J1219" s="728"/>
      <c r="K1219" s="400" t="s">
        <v>850</v>
      </c>
      <c r="L1219" s="422"/>
      <c r="M1219" s="423"/>
      <c r="N1219" s="348">
        <f t="shared" ref="N1219:V1219" si="435">N82+N114+N162+N200+N230+N267+N597+N692+N816+N846+N86+N137+N272</f>
        <v>10188</v>
      </c>
      <c r="O1219" s="348">
        <f t="shared" si="435"/>
        <v>9276</v>
      </c>
      <c r="P1219" s="349">
        <f t="shared" si="435"/>
        <v>9436</v>
      </c>
      <c r="Q1219" s="349">
        <f t="shared" si="435"/>
        <v>9309</v>
      </c>
      <c r="R1219" s="348">
        <f t="shared" si="435"/>
        <v>10342</v>
      </c>
      <c r="S1219" s="348">
        <f t="shared" si="435"/>
        <v>10603</v>
      </c>
      <c r="T1219" s="348">
        <f t="shared" si="435"/>
        <v>10946</v>
      </c>
      <c r="U1219" s="348">
        <f t="shared" si="435"/>
        <v>11270</v>
      </c>
      <c r="V1219" s="348">
        <f t="shared" si="435"/>
        <v>11603</v>
      </c>
      <c r="W1219" s="640"/>
      <c r="X1219" s="695"/>
    </row>
    <row r="1220" spans="1:24" s="328" customFormat="1" ht="24" customHeight="1">
      <c r="I1220" s="420"/>
      <c r="J1220" s="420"/>
      <c r="L1220" s="424"/>
      <c r="M1220" s="447"/>
      <c r="N1220" s="346"/>
      <c r="O1220" s="378"/>
      <c r="P1220" s="377"/>
      <c r="Q1220" s="377"/>
      <c r="R1220" s="378"/>
      <c r="S1220" s="378"/>
      <c r="T1220" s="378"/>
      <c r="U1220" s="378"/>
      <c r="V1220" s="378"/>
      <c r="W1220" s="640"/>
      <c r="X1220" s="695"/>
    </row>
    <row r="1221" spans="1:24" s="490" customFormat="1" ht="24" hidden="1" customHeight="1">
      <c r="I1221" s="494"/>
      <c r="J1221" s="494"/>
      <c r="L1221" s="491"/>
      <c r="M1221" s="493"/>
      <c r="N1221" s="492">
        <f t="shared" ref="N1221:V1221" si="436">(N1215+N1217+N1219)+N51+N52+N53-N79-N81-N82-N83-N85-N86-N111-N113-N114-N134-N136-N137-N159-N161-N162-N197-N199-N200-N227-N229-N230-N264-N266-N267-N270-N271-N272+N579-N594-N596-N597+N676-N689-N691-N692+N796-N813-N815-N816-N843-N845-N846-N905</f>
        <v>0</v>
      </c>
      <c r="O1221" s="492">
        <f t="shared" si="436"/>
        <v>0</v>
      </c>
      <c r="P1221" s="492">
        <f t="shared" si="436"/>
        <v>0</v>
      </c>
      <c r="Q1221" s="492">
        <f t="shared" si="436"/>
        <v>0</v>
      </c>
      <c r="R1221" s="492">
        <f t="shared" si="436"/>
        <v>0</v>
      </c>
      <c r="S1221" s="492">
        <f t="shared" si="436"/>
        <v>0</v>
      </c>
      <c r="T1221" s="492">
        <f t="shared" si="436"/>
        <v>0</v>
      </c>
      <c r="U1221" s="492">
        <f t="shared" si="436"/>
        <v>0</v>
      </c>
      <c r="V1221" s="492">
        <f t="shared" si="436"/>
        <v>0</v>
      </c>
      <c r="W1221" s="494"/>
      <c r="X1221" s="666" t="s">
        <v>1490</v>
      </c>
    </row>
    <row r="1222" spans="1:24" s="328" customFormat="1" ht="24" customHeight="1">
      <c r="I1222" s="421"/>
      <c r="J1222" s="421"/>
      <c r="K1222" s="421"/>
      <c r="L1222" s="424"/>
      <c r="M1222" s="447"/>
      <c r="N1222" s="346"/>
      <c r="O1222" s="360"/>
      <c r="P1222" s="361"/>
      <c r="Q1222" s="361"/>
      <c r="R1222" s="346"/>
      <c r="S1222" s="346"/>
      <c r="T1222" s="346"/>
      <c r="U1222" s="346"/>
      <c r="V1222" s="346"/>
      <c r="W1222" s="640"/>
    </row>
    <row r="1223" spans="1:24" s="328" customFormat="1" ht="24" customHeight="1">
      <c r="I1223" s="729" t="s">
        <v>830</v>
      </c>
      <c r="J1223" s="729"/>
      <c r="K1223" s="336" t="s">
        <v>848</v>
      </c>
      <c r="L1223" s="422"/>
      <c r="M1223" s="441"/>
      <c r="N1223" s="346">
        <f t="shared" ref="N1223:V1223" si="437">N960</f>
        <v>86334</v>
      </c>
      <c r="O1223" s="360">
        <f t="shared" si="437"/>
        <v>85076</v>
      </c>
      <c r="P1223" s="347">
        <f t="shared" si="437"/>
        <v>94116</v>
      </c>
      <c r="Q1223" s="347">
        <f t="shared" si="437"/>
        <v>94116</v>
      </c>
      <c r="R1223" s="346">
        <f t="shared" si="437"/>
        <v>101904</v>
      </c>
      <c r="S1223" s="346">
        <f t="shared" si="437"/>
        <v>110056</v>
      </c>
      <c r="T1223" s="346">
        <f t="shared" si="437"/>
        <v>118860</v>
      </c>
      <c r="U1223" s="346">
        <f t="shared" si="437"/>
        <v>128369</v>
      </c>
      <c r="V1223" s="346">
        <f t="shared" si="437"/>
        <v>138639</v>
      </c>
      <c r="W1223" s="640"/>
    </row>
    <row r="1224" spans="1:24" s="328" customFormat="1" ht="24" customHeight="1">
      <c r="I1224" s="732" t="s">
        <v>908</v>
      </c>
      <c r="J1224" s="732"/>
      <c r="K1224" s="328" t="s">
        <v>904</v>
      </c>
      <c r="L1224" s="424"/>
      <c r="M1224" s="451"/>
      <c r="N1224" s="383">
        <f t="shared" ref="N1224:V1224" si="438">N945</f>
        <v>0</v>
      </c>
      <c r="O1224" s="383">
        <f t="shared" si="438"/>
        <v>8685</v>
      </c>
      <c r="P1224" s="382">
        <f t="shared" si="438"/>
        <v>0</v>
      </c>
      <c r="Q1224" s="382">
        <f t="shared" si="438"/>
        <v>0</v>
      </c>
      <c r="R1224" s="383">
        <f t="shared" si="438"/>
        <v>0</v>
      </c>
      <c r="S1224" s="383">
        <f t="shared" si="438"/>
        <v>0</v>
      </c>
      <c r="T1224" s="383">
        <f t="shared" si="438"/>
        <v>0</v>
      </c>
      <c r="U1224" s="383">
        <f t="shared" si="438"/>
        <v>0</v>
      </c>
      <c r="V1224" s="383">
        <f t="shared" si="438"/>
        <v>0</v>
      </c>
      <c r="W1224" s="640"/>
    </row>
    <row r="1225" spans="1:24" s="400" customFormat="1" ht="24" customHeight="1">
      <c r="I1225" s="730" t="s">
        <v>908</v>
      </c>
      <c r="J1225" s="730"/>
      <c r="K1225" s="400" t="s">
        <v>905</v>
      </c>
      <c r="L1225" s="422"/>
      <c r="M1225" s="441"/>
      <c r="N1225" s="348">
        <f t="shared" ref="N1225:U1225" si="439">N1223-N1224</f>
        <v>86334</v>
      </c>
      <c r="O1225" s="348">
        <f>O1223-O1224</f>
        <v>76391</v>
      </c>
      <c r="P1225" s="349">
        <f t="shared" si="439"/>
        <v>94116</v>
      </c>
      <c r="Q1225" s="349">
        <f>Q1223-Q1224</f>
        <v>94116</v>
      </c>
      <c r="R1225" s="348">
        <f t="shared" si="439"/>
        <v>101904</v>
      </c>
      <c r="S1225" s="348">
        <f t="shared" si="439"/>
        <v>110056</v>
      </c>
      <c r="T1225" s="348">
        <f t="shared" si="439"/>
        <v>118860</v>
      </c>
      <c r="U1225" s="348">
        <f t="shared" si="439"/>
        <v>128369</v>
      </c>
      <c r="V1225" s="348">
        <f>V1223-V1224</f>
        <v>138639</v>
      </c>
      <c r="W1225" s="639"/>
    </row>
    <row r="1226" spans="1:24" s="400" customFormat="1" ht="24" customHeight="1">
      <c r="I1226" s="508"/>
      <c r="J1226" s="508"/>
      <c r="L1226" s="422"/>
      <c r="M1226" s="441"/>
      <c r="N1226" s="348"/>
      <c r="O1226" s="348"/>
      <c r="P1226" s="349"/>
      <c r="Q1226" s="349"/>
      <c r="R1226" s="348"/>
      <c r="S1226" s="348"/>
      <c r="T1226" s="348"/>
      <c r="U1226" s="348"/>
      <c r="V1226" s="348"/>
      <c r="W1226" s="639"/>
    </row>
    <row r="1227" spans="1:24" s="400" customFormat="1" ht="24" customHeight="1">
      <c r="I1227" s="508"/>
      <c r="J1227" s="508"/>
      <c r="K1227" s="400" t="s">
        <v>849</v>
      </c>
      <c r="L1227" s="422"/>
      <c r="M1227" s="441"/>
      <c r="N1227" s="348">
        <f>N962</f>
        <v>6061</v>
      </c>
      <c r="O1227" s="348">
        <f t="shared" ref="O1227:V1227" si="440">O962</f>
        <v>5950</v>
      </c>
      <c r="P1227" s="349">
        <f t="shared" si="440"/>
        <v>5926</v>
      </c>
      <c r="Q1227" s="349">
        <f t="shared" si="440"/>
        <v>5926</v>
      </c>
      <c r="R1227" s="348">
        <f t="shared" si="440"/>
        <v>5347</v>
      </c>
      <c r="S1227" s="348">
        <f t="shared" si="440"/>
        <v>5614</v>
      </c>
      <c r="T1227" s="348">
        <f t="shared" si="440"/>
        <v>5895</v>
      </c>
      <c r="U1227" s="348">
        <f t="shared" si="440"/>
        <v>6190</v>
      </c>
      <c r="V1227" s="348">
        <f t="shared" si="440"/>
        <v>6500</v>
      </c>
      <c r="W1227" s="523"/>
    </row>
    <row r="1228" spans="1:24" s="400" customFormat="1" ht="24" customHeight="1">
      <c r="I1228" s="508"/>
      <c r="J1228" s="508"/>
      <c r="L1228" s="422"/>
      <c r="M1228" s="441"/>
      <c r="N1228" s="348"/>
      <c r="O1228" s="348"/>
      <c r="P1228" s="349"/>
      <c r="Q1228" s="349"/>
      <c r="R1228" s="348"/>
      <c r="S1228" s="348"/>
      <c r="T1228" s="348"/>
      <c r="U1228" s="348"/>
      <c r="V1228" s="348"/>
      <c r="W1228" s="639"/>
    </row>
    <row r="1229" spans="1:24" s="400" customFormat="1" ht="24" customHeight="1">
      <c r="I1229" s="508"/>
      <c r="J1229" s="508"/>
      <c r="K1229" s="400" t="s">
        <v>850</v>
      </c>
      <c r="L1229" s="422"/>
      <c r="M1229" s="441"/>
      <c r="N1229" s="348">
        <f>N963</f>
        <v>686</v>
      </c>
      <c r="O1229" s="348">
        <f t="shared" ref="O1229:V1229" si="441">O963</f>
        <v>643</v>
      </c>
      <c r="P1229" s="349">
        <f t="shared" si="441"/>
        <v>643</v>
      </c>
      <c r="Q1229" s="349">
        <f t="shared" si="441"/>
        <v>643</v>
      </c>
      <c r="R1229" s="348">
        <f t="shared" si="441"/>
        <v>662</v>
      </c>
      <c r="S1229" s="348">
        <f t="shared" si="441"/>
        <v>682</v>
      </c>
      <c r="T1229" s="348">
        <f t="shared" si="441"/>
        <v>702</v>
      </c>
      <c r="U1229" s="348">
        <f t="shared" si="441"/>
        <v>723</v>
      </c>
      <c r="V1229" s="348">
        <f t="shared" si="441"/>
        <v>745</v>
      </c>
      <c r="W1229" s="639"/>
    </row>
    <row r="1230" spans="1:24" s="490" customFormat="1" ht="24" hidden="1" customHeight="1">
      <c r="I1230" s="494"/>
      <c r="J1230" s="494"/>
      <c r="L1230" s="491"/>
      <c r="M1230" s="493"/>
      <c r="N1230" s="492">
        <f t="shared" ref="N1230:V1230" si="442">(N1225+N1227+N1229)+N945-N960-N962-N963</f>
        <v>0</v>
      </c>
      <c r="O1230" s="492">
        <f t="shared" si="442"/>
        <v>0</v>
      </c>
      <c r="P1230" s="492">
        <f t="shared" si="442"/>
        <v>0</v>
      </c>
      <c r="Q1230" s="492">
        <f t="shared" si="442"/>
        <v>0</v>
      </c>
      <c r="R1230" s="492">
        <f t="shared" si="442"/>
        <v>0</v>
      </c>
      <c r="S1230" s="492">
        <f t="shared" si="442"/>
        <v>0</v>
      </c>
      <c r="T1230" s="492">
        <f t="shared" si="442"/>
        <v>0</v>
      </c>
      <c r="U1230" s="492">
        <f t="shared" si="442"/>
        <v>0</v>
      </c>
      <c r="V1230" s="492">
        <f t="shared" si="442"/>
        <v>0</v>
      </c>
      <c r="W1230" s="494"/>
      <c r="X1230" s="666" t="s">
        <v>1490</v>
      </c>
    </row>
    <row r="1231" spans="1:24" s="328" customFormat="1" ht="24" customHeight="1">
      <c r="I1231" s="420"/>
      <c r="J1231" s="420"/>
      <c r="L1231" s="424"/>
      <c r="M1231" s="447"/>
      <c r="N1231" s="346"/>
      <c r="O1231" s="360"/>
      <c r="P1231" s="347"/>
      <c r="Q1231" s="347"/>
      <c r="R1231" s="346"/>
      <c r="S1231" s="346"/>
      <c r="T1231" s="346"/>
      <c r="U1231" s="346"/>
      <c r="V1231" s="346"/>
      <c r="W1231" s="640"/>
    </row>
    <row r="1232" spans="1:24" s="490" customFormat="1" ht="24" customHeight="1">
      <c r="A1232" s="734" t="s">
        <v>1308</v>
      </c>
      <c r="B1232" s="734"/>
      <c r="C1232" s="734"/>
      <c r="D1232" s="734"/>
      <c r="E1232" s="734"/>
      <c r="F1232" s="734"/>
      <c r="G1232" s="734"/>
      <c r="H1232" s="734"/>
      <c r="I1232" s="734"/>
      <c r="J1232" s="734"/>
      <c r="K1232" s="734"/>
      <c r="L1232" s="491"/>
      <c r="M1232" s="493"/>
      <c r="N1232" s="492"/>
      <c r="O1232" s="495"/>
      <c r="P1232" s="492"/>
      <c r="Q1232" s="492"/>
      <c r="R1232" s="492"/>
      <c r="S1232" s="492"/>
      <c r="T1232" s="492"/>
      <c r="U1232" s="492"/>
      <c r="V1232" s="492"/>
      <c r="W1232" s="494"/>
    </row>
    <row r="1233" spans="1:24" s="328" customFormat="1" ht="24" customHeight="1">
      <c r="I1233" s="420"/>
      <c r="J1233" s="420"/>
      <c r="K1233" s="328" t="s">
        <v>1309</v>
      </c>
      <c r="L1233" s="424">
        <f t="shared" ref="L1233:V1233" si="443">L9</f>
        <v>1804657</v>
      </c>
      <c r="M1233" s="424">
        <f t="shared" si="443"/>
        <v>2084192</v>
      </c>
      <c r="N1233" s="360">
        <f t="shared" si="443"/>
        <v>2282246</v>
      </c>
      <c r="O1233" s="360">
        <f t="shared" si="443"/>
        <v>2276807</v>
      </c>
      <c r="P1233" s="361">
        <f t="shared" si="443"/>
        <v>2288154</v>
      </c>
      <c r="Q1233" s="361">
        <f t="shared" si="443"/>
        <v>2201759</v>
      </c>
      <c r="R1233" s="360">
        <f t="shared" si="443"/>
        <v>2334190</v>
      </c>
      <c r="S1233" s="360">
        <f t="shared" si="443"/>
        <v>2357532</v>
      </c>
      <c r="T1233" s="360">
        <f t="shared" si="443"/>
        <v>2381107</v>
      </c>
      <c r="U1233" s="360">
        <f t="shared" si="443"/>
        <v>2404918</v>
      </c>
      <c r="V1233" s="360">
        <f t="shared" si="443"/>
        <v>2428967</v>
      </c>
      <c r="W1233" s="640"/>
    </row>
    <row r="1234" spans="1:24" s="328" customFormat="1" ht="24" customHeight="1">
      <c r="I1234" s="420"/>
      <c r="J1234" s="420"/>
      <c r="K1234" s="328" t="s">
        <v>1310</v>
      </c>
      <c r="L1234" s="448">
        <f t="shared" ref="L1234:V1234" si="444">L10</f>
        <v>297327</v>
      </c>
      <c r="M1234" s="448">
        <f t="shared" si="444"/>
        <v>323291</v>
      </c>
      <c r="N1234" s="379">
        <f t="shared" si="444"/>
        <v>360356</v>
      </c>
      <c r="O1234" s="379">
        <f t="shared" si="444"/>
        <v>438711</v>
      </c>
      <c r="P1234" s="380">
        <f t="shared" si="444"/>
        <v>562000</v>
      </c>
      <c r="Q1234" s="380">
        <f t="shared" si="444"/>
        <v>524120</v>
      </c>
      <c r="R1234" s="379">
        <f t="shared" si="444"/>
        <v>614005</v>
      </c>
      <c r="S1234" s="379">
        <f t="shared" si="444"/>
        <v>639005</v>
      </c>
      <c r="T1234" s="379">
        <f t="shared" si="444"/>
        <v>664005</v>
      </c>
      <c r="U1234" s="379">
        <f t="shared" si="444"/>
        <v>689005</v>
      </c>
      <c r="V1234" s="379">
        <f t="shared" si="444"/>
        <v>714005</v>
      </c>
      <c r="W1234" s="521"/>
    </row>
    <row r="1235" spans="1:24" s="328" customFormat="1" ht="24" customHeight="1">
      <c r="I1235" s="420"/>
      <c r="J1235" s="420"/>
      <c r="L1235" s="424"/>
      <c r="M1235" s="424"/>
      <c r="N1235" s="360"/>
      <c r="O1235" s="360"/>
      <c r="P1235" s="361"/>
      <c r="Q1235" s="361"/>
      <c r="R1235" s="360"/>
      <c r="S1235" s="360"/>
      <c r="T1235" s="360"/>
      <c r="U1235" s="360"/>
      <c r="V1235" s="360"/>
      <c r="W1235" s="521"/>
    </row>
    <row r="1236" spans="1:24" s="417" customFormat="1" ht="24" customHeight="1">
      <c r="I1236" s="419"/>
      <c r="J1236" s="419"/>
      <c r="K1236" s="417" t="s">
        <v>1312</v>
      </c>
      <c r="L1236" s="446">
        <f>SUM(L1233:L1235)</f>
        <v>2101984</v>
      </c>
      <c r="M1236" s="446">
        <f t="shared" ref="M1236:V1236" si="445">SUM(M1233:M1235)</f>
        <v>2407483</v>
      </c>
      <c r="N1236" s="388">
        <f t="shared" si="445"/>
        <v>2642602</v>
      </c>
      <c r="O1236" s="388">
        <f t="shared" si="445"/>
        <v>2715518</v>
      </c>
      <c r="P1236" s="389">
        <f t="shared" si="445"/>
        <v>2850154</v>
      </c>
      <c r="Q1236" s="389">
        <f t="shared" si="445"/>
        <v>2725879</v>
      </c>
      <c r="R1236" s="388">
        <f t="shared" si="445"/>
        <v>2948195</v>
      </c>
      <c r="S1236" s="388">
        <f t="shared" si="445"/>
        <v>2996537</v>
      </c>
      <c r="T1236" s="388">
        <f t="shared" si="445"/>
        <v>3045112</v>
      </c>
      <c r="U1236" s="388">
        <f t="shared" si="445"/>
        <v>3093923</v>
      </c>
      <c r="V1236" s="388">
        <f t="shared" si="445"/>
        <v>3142972</v>
      </c>
      <c r="W1236" s="531"/>
    </row>
    <row r="1237" spans="1:24" s="417" customFormat="1" ht="24" customHeight="1">
      <c r="I1237" s="489"/>
      <c r="J1237" s="489"/>
      <c r="L1237" s="446"/>
      <c r="M1237" s="446"/>
      <c r="N1237" s="388"/>
      <c r="O1237" s="388"/>
      <c r="P1237" s="389"/>
      <c r="Q1237" s="389"/>
      <c r="R1237" s="388"/>
      <c r="S1237" s="388"/>
      <c r="T1237" s="388"/>
      <c r="U1237" s="388"/>
      <c r="V1237" s="388"/>
      <c r="W1237" s="531"/>
    </row>
    <row r="1238" spans="1:24" s="328" customFormat="1" ht="24" customHeight="1">
      <c r="F1238" s="731" t="s">
        <v>868</v>
      </c>
      <c r="G1238" s="731"/>
      <c r="H1238" s="731"/>
      <c r="I1238" s="731"/>
      <c r="J1238" s="731"/>
      <c r="K1238" s="731"/>
      <c r="L1238" s="452">
        <v>0</v>
      </c>
      <c r="M1238" s="453">
        <v>0</v>
      </c>
      <c r="N1238" s="383">
        <f t="shared" ref="N1238:V1238" si="446">N541+N570+N664+N665+N666</f>
        <v>2207080</v>
      </c>
      <c r="O1238" s="383">
        <f t="shared" si="446"/>
        <v>720098</v>
      </c>
      <c r="P1238" s="382">
        <f t="shared" si="446"/>
        <v>486146</v>
      </c>
      <c r="Q1238" s="382">
        <f t="shared" si="446"/>
        <v>467794</v>
      </c>
      <c r="R1238" s="383">
        <f t="shared" si="446"/>
        <v>334814</v>
      </c>
      <c r="S1238" s="383">
        <f t="shared" si="446"/>
        <v>231000</v>
      </c>
      <c r="T1238" s="383">
        <f t="shared" si="446"/>
        <v>142500</v>
      </c>
      <c r="U1238" s="383">
        <f t="shared" si="446"/>
        <v>49500</v>
      </c>
      <c r="V1238" s="383">
        <f t="shared" si="446"/>
        <v>0</v>
      </c>
      <c r="W1238" s="640"/>
    </row>
    <row r="1239" spans="1:24" s="328" customFormat="1" ht="24" customHeight="1">
      <c r="F1239" s="401"/>
      <c r="G1239" s="401"/>
      <c r="H1239" s="401"/>
      <c r="I1239" s="401"/>
      <c r="J1239" s="401"/>
      <c r="K1239" s="401"/>
      <c r="L1239" s="432"/>
      <c r="M1239" s="423"/>
      <c r="N1239" s="348"/>
      <c r="O1239" s="348"/>
      <c r="P1239" s="349"/>
      <c r="Q1239" s="349"/>
      <c r="R1239" s="348"/>
      <c r="S1239" s="348"/>
      <c r="T1239" s="348"/>
      <c r="U1239" s="348"/>
      <c r="V1239" s="348"/>
      <c r="W1239" s="640"/>
    </row>
    <row r="1240" spans="1:24" s="328" customFormat="1" ht="24" customHeight="1">
      <c r="F1240" s="401"/>
      <c r="G1240" s="401"/>
      <c r="H1240" s="401"/>
      <c r="I1240" s="401"/>
      <c r="J1240" s="401"/>
      <c r="K1240" s="401" t="s">
        <v>1311</v>
      </c>
      <c r="L1240" s="432">
        <f t="shared" ref="L1240:V1240" si="447">L1236+L1238</f>
        <v>2101984</v>
      </c>
      <c r="M1240" s="432">
        <f t="shared" si="447"/>
        <v>2407483</v>
      </c>
      <c r="N1240" s="384">
        <f t="shared" si="447"/>
        <v>4849682</v>
      </c>
      <c r="O1240" s="384">
        <f t="shared" si="447"/>
        <v>3435616</v>
      </c>
      <c r="P1240" s="385">
        <f t="shared" si="447"/>
        <v>3336300</v>
      </c>
      <c r="Q1240" s="385">
        <f t="shared" si="447"/>
        <v>3193673</v>
      </c>
      <c r="R1240" s="384">
        <f t="shared" si="447"/>
        <v>3283009</v>
      </c>
      <c r="S1240" s="384">
        <f t="shared" si="447"/>
        <v>3227537</v>
      </c>
      <c r="T1240" s="384">
        <f t="shared" si="447"/>
        <v>3187612</v>
      </c>
      <c r="U1240" s="384">
        <f t="shared" si="447"/>
        <v>3143423</v>
      </c>
      <c r="V1240" s="384">
        <f t="shared" si="447"/>
        <v>3142972</v>
      </c>
      <c r="W1240" s="640"/>
    </row>
    <row r="1241" spans="1:24" s="328" customFormat="1" ht="24" customHeight="1">
      <c r="F1241" s="401"/>
      <c r="G1241" s="401"/>
      <c r="H1241" s="401"/>
      <c r="I1241" s="401"/>
      <c r="J1241" s="401"/>
      <c r="K1241" s="401"/>
      <c r="L1241" s="454"/>
      <c r="M1241" s="455"/>
      <c r="N1241" s="378"/>
      <c r="O1241" s="368">
        <f>(O1240-N1240)/N1240</f>
        <v>-0.29157911797103397</v>
      </c>
      <c r="P1241" s="377"/>
      <c r="Q1241" s="368">
        <f>(Q1240-O1240)/O1240</f>
        <v>-7.0422014567402172E-2</v>
      </c>
      <c r="R1241" s="367">
        <f>(R1240-Q1240)/Q1240</f>
        <v>2.7972807485299841E-2</v>
      </c>
      <c r="S1241" s="367">
        <f>(S1240-R1240)/R1240</f>
        <v>-1.6896694465351754E-2</v>
      </c>
      <c r="T1241" s="367">
        <f>(T1240-S1240)/S1240</f>
        <v>-1.2370113805047007E-2</v>
      </c>
      <c r="U1241" s="367">
        <f>(U1240-T1240)/T1240</f>
        <v>-1.3862728588046476E-2</v>
      </c>
      <c r="V1241" s="367">
        <f>(V1240-U1240)/U1240</f>
        <v>-1.4347416812818384E-4</v>
      </c>
      <c r="W1241" s="532"/>
    </row>
    <row r="1242" spans="1:24" s="328" customFormat="1" ht="24" customHeight="1">
      <c r="L1242" s="424"/>
      <c r="M1242" s="435"/>
      <c r="N1242" s="346"/>
      <c r="O1242" s="346"/>
      <c r="P1242" s="347"/>
      <c r="Q1242" s="347"/>
      <c r="R1242" s="346"/>
      <c r="S1242" s="346"/>
      <c r="T1242" s="346"/>
      <c r="U1242" s="346"/>
      <c r="V1242" s="346"/>
      <c r="W1242" s="640"/>
    </row>
    <row r="1243" spans="1:24" s="396" customFormat="1" ht="24" customHeight="1">
      <c r="G1243" s="402" t="s">
        <v>1313</v>
      </c>
      <c r="H1243" s="658"/>
      <c r="I1243" s="658"/>
      <c r="J1243" s="658"/>
      <c r="L1243" s="659">
        <v>0</v>
      </c>
      <c r="M1243" s="426">
        <v>0</v>
      </c>
      <c r="N1243" s="426">
        <f t="shared" ref="N1243:V1243" si="448">N36+N402</f>
        <v>153393</v>
      </c>
      <c r="O1243" s="426">
        <f t="shared" si="448"/>
        <v>137260</v>
      </c>
      <c r="P1243" s="351">
        <f t="shared" si="448"/>
        <v>150000</v>
      </c>
      <c r="Q1243" s="351">
        <f t="shared" si="448"/>
        <v>130000</v>
      </c>
      <c r="R1243" s="426">
        <f t="shared" si="448"/>
        <v>150000</v>
      </c>
      <c r="S1243" s="426">
        <f t="shared" si="448"/>
        <v>150000</v>
      </c>
      <c r="T1243" s="426">
        <f t="shared" si="448"/>
        <v>200000</v>
      </c>
      <c r="U1243" s="426">
        <f t="shared" si="448"/>
        <v>200000</v>
      </c>
      <c r="V1243" s="426">
        <f t="shared" si="448"/>
        <v>200000</v>
      </c>
      <c r="W1243" s="660"/>
    </row>
    <row r="1244" spans="1:24" s="490" customFormat="1" ht="24" hidden="1" customHeight="1">
      <c r="G1244" s="496"/>
      <c r="H1244" s="669"/>
      <c r="I1244" s="669"/>
      <c r="J1244" s="669"/>
      <c r="L1244" s="497"/>
      <c r="M1244" s="498"/>
      <c r="N1244" s="498">
        <f t="shared" ref="N1244:V1244" si="449">N1240+N1243-N9-N10-N36-N402-N541-N570-N664-N665-N666</f>
        <v>0</v>
      </c>
      <c r="O1244" s="498">
        <f t="shared" si="449"/>
        <v>0</v>
      </c>
      <c r="P1244" s="498">
        <f t="shared" si="449"/>
        <v>0</v>
      </c>
      <c r="Q1244" s="498">
        <f t="shared" si="449"/>
        <v>0</v>
      </c>
      <c r="R1244" s="498">
        <f t="shared" si="449"/>
        <v>0</v>
      </c>
      <c r="S1244" s="498">
        <f t="shared" si="449"/>
        <v>0</v>
      </c>
      <c r="T1244" s="498">
        <f t="shared" si="449"/>
        <v>0</v>
      </c>
      <c r="U1244" s="498">
        <f t="shared" si="449"/>
        <v>0</v>
      </c>
      <c r="V1244" s="498">
        <f t="shared" si="449"/>
        <v>0</v>
      </c>
      <c r="W1244" s="533"/>
      <c r="X1244" s="666" t="s">
        <v>1490</v>
      </c>
    </row>
    <row r="1245" spans="1:24" s="500" customFormat="1" ht="24" customHeight="1">
      <c r="G1245" s="501"/>
      <c r="H1245" s="502"/>
      <c r="I1245" s="502"/>
      <c r="J1245" s="502"/>
      <c r="L1245" s="503"/>
      <c r="M1245" s="504"/>
      <c r="N1245" s="504"/>
      <c r="O1245" s="504"/>
      <c r="P1245" s="674"/>
      <c r="Q1245" s="674"/>
      <c r="R1245" s="504"/>
      <c r="S1245" s="504"/>
      <c r="T1245" s="504"/>
      <c r="U1245" s="504"/>
      <c r="V1245" s="504"/>
      <c r="W1245" s="534"/>
    </row>
    <row r="1246" spans="1:24" s="490" customFormat="1" ht="24" customHeight="1">
      <c r="A1246" s="734" t="s">
        <v>1509</v>
      </c>
      <c r="B1246" s="734"/>
      <c r="C1246" s="734"/>
      <c r="D1246" s="734"/>
      <c r="E1246" s="734"/>
      <c r="F1246" s="734"/>
      <c r="G1246" s="734"/>
      <c r="H1246" s="734"/>
      <c r="I1246" s="734"/>
      <c r="J1246" s="734"/>
      <c r="K1246" s="734"/>
      <c r="L1246" s="491"/>
      <c r="N1246" s="492"/>
      <c r="O1246" s="499"/>
      <c r="P1246" s="492"/>
      <c r="Q1246" s="492"/>
      <c r="R1246" s="492"/>
      <c r="S1246" s="492"/>
      <c r="T1246" s="492"/>
      <c r="U1246" s="492"/>
      <c r="V1246" s="492"/>
      <c r="W1246" s="494"/>
    </row>
    <row r="1247" spans="1:24" s="328" customFormat="1" ht="24" customHeight="1">
      <c r="I1247" s="728" t="s">
        <v>903</v>
      </c>
      <c r="J1247" s="728"/>
      <c r="K1247" s="400" t="s">
        <v>929</v>
      </c>
      <c r="L1247" s="422"/>
      <c r="M1247" s="435"/>
      <c r="N1247" s="346"/>
      <c r="O1247" s="346"/>
      <c r="P1247" s="347"/>
      <c r="Q1247" s="347"/>
      <c r="R1247" s="346"/>
      <c r="S1247" s="346"/>
      <c r="T1247" s="346"/>
      <c r="U1247" s="346"/>
      <c r="V1247" s="346"/>
      <c r="W1247" s="640"/>
    </row>
    <row r="1248" spans="1:24" s="328" customFormat="1" ht="24" customHeight="1">
      <c r="K1248" s="328" t="s">
        <v>1041</v>
      </c>
      <c r="L1248" s="424"/>
      <c r="M1248" s="449"/>
      <c r="N1248" s="346">
        <f t="shared" ref="N1248:V1248" si="450">N74+N108+N131+N149+N150+N151+N152+N193+N222+N589+N684+N808+N835+N899</f>
        <v>3917584</v>
      </c>
      <c r="O1248" s="346">
        <f t="shared" si="450"/>
        <v>4052877</v>
      </c>
      <c r="P1248" s="347">
        <f t="shared" si="450"/>
        <v>4397232</v>
      </c>
      <c r="Q1248" s="347">
        <f t="shared" si="450"/>
        <v>4397232</v>
      </c>
      <c r="R1248" s="346">
        <f t="shared" si="450"/>
        <v>4886629</v>
      </c>
      <c r="S1248" s="346">
        <f t="shared" si="450"/>
        <v>5142151</v>
      </c>
      <c r="T1248" s="346">
        <f t="shared" si="450"/>
        <v>5322126</v>
      </c>
      <c r="U1248" s="346">
        <f t="shared" si="450"/>
        <v>5508400</v>
      </c>
      <c r="V1248" s="346">
        <f t="shared" si="450"/>
        <v>5701194</v>
      </c>
      <c r="W1248" s="640"/>
    </row>
    <row r="1249" spans="9:24" s="328" customFormat="1" ht="24" customHeight="1">
      <c r="K1249" s="328" t="s">
        <v>1042</v>
      </c>
      <c r="L1249" s="424"/>
      <c r="M1249" s="449"/>
      <c r="N1249" s="346">
        <f t="shared" ref="N1249:V1249" si="451">N76+N155+N224+N591+N686+N810+N837+N263</f>
        <v>106125</v>
      </c>
      <c r="O1249" s="346">
        <f t="shared" si="451"/>
        <v>113276</v>
      </c>
      <c r="P1249" s="347">
        <f t="shared" si="451"/>
        <v>144300</v>
      </c>
      <c r="Q1249" s="347">
        <f t="shared" si="451"/>
        <v>144300</v>
      </c>
      <c r="R1249" s="346">
        <f t="shared" si="451"/>
        <v>144300</v>
      </c>
      <c r="S1249" s="346">
        <f t="shared" si="451"/>
        <v>144300</v>
      </c>
      <c r="T1249" s="346">
        <f t="shared" si="451"/>
        <v>144300</v>
      </c>
      <c r="U1249" s="346">
        <f t="shared" si="451"/>
        <v>144300</v>
      </c>
      <c r="V1249" s="346">
        <f t="shared" si="451"/>
        <v>144300</v>
      </c>
      <c r="W1249" s="640"/>
    </row>
    <row r="1250" spans="9:24" s="328" customFormat="1" ht="24" customHeight="1">
      <c r="K1250" s="328" t="s">
        <v>1043</v>
      </c>
      <c r="L1250" s="424"/>
      <c r="M1250" s="453"/>
      <c r="N1250" s="383">
        <f t="shared" ref="N1250:V1250" si="452">N69+N70+N71+N72+N73+N153+N154+N194+N809+N838+N839+N840+N900+N901+N902+N75+N590+N685+N836</f>
        <v>390346</v>
      </c>
      <c r="O1250" s="383">
        <f t="shared" si="452"/>
        <v>373065</v>
      </c>
      <c r="P1250" s="382">
        <f t="shared" si="452"/>
        <v>325500</v>
      </c>
      <c r="Q1250" s="382">
        <f t="shared" si="452"/>
        <v>318775</v>
      </c>
      <c r="R1250" s="383">
        <f t="shared" si="452"/>
        <v>318300</v>
      </c>
      <c r="S1250" s="383">
        <f t="shared" si="452"/>
        <v>312500</v>
      </c>
      <c r="T1250" s="383">
        <f t="shared" si="452"/>
        <v>312500</v>
      </c>
      <c r="U1250" s="383">
        <f t="shared" si="452"/>
        <v>312500</v>
      </c>
      <c r="V1250" s="383">
        <f t="shared" si="452"/>
        <v>312500</v>
      </c>
      <c r="W1250" s="640"/>
    </row>
    <row r="1251" spans="9:24" s="400" customFormat="1" ht="24" customHeight="1">
      <c r="K1251" s="400" t="s">
        <v>1019</v>
      </c>
      <c r="L1251" s="422"/>
      <c r="M1251" s="423"/>
      <c r="N1251" s="348">
        <f t="shared" ref="N1251:U1251" si="453">SUM(N1248:N1250)</f>
        <v>4414055</v>
      </c>
      <c r="O1251" s="348">
        <f>SUM(O1248:O1250)</f>
        <v>4539218</v>
      </c>
      <c r="P1251" s="349">
        <f t="shared" si="453"/>
        <v>4867032</v>
      </c>
      <c r="Q1251" s="349">
        <f>SUM(Q1248:Q1250)</f>
        <v>4860307</v>
      </c>
      <c r="R1251" s="348">
        <f t="shared" si="453"/>
        <v>5349229</v>
      </c>
      <c r="S1251" s="348">
        <f t="shared" si="453"/>
        <v>5598951</v>
      </c>
      <c r="T1251" s="348">
        <f t="shared" si="453"/>
        <v>5778926</v>
      </c>
      <c r="U1251" s="348">
        <f t="shared" si="453"/>
        <v>5965200</v>
      </c>
      <c r="V1251" s="348">
        <f>SUM(V1248:V1250)</f>
        <v>6157994</v>
      </c>
      <c r="W1251" s="639"/>
    </row>
    <row r="1252" spans="9:24" s="328" customFormat="1" ht="24" customHeight="1">
      <c r="L1252" s="424"/>
      <c r="M1252" s="435"/>
      <c r="N1252" s="346"/>
      <c r="O1252" s="346"/>
      <c r="P1252" s="347"/>
      <c r="Q1252" s="347"/>
      <c r="R1252" s="346"/>
      <c r="S1252" s="346"/>
      <c r="T1252" s="346"/>
      <c r="U1252" s="346"/>
      <c r="V1252" s="346"/>
      <c r="W1252" s="640"/>
    </row>
    <row r="1253" spans="9:24" s="328" customFormat="1" ht="24" customHeight="1">
      <c r="I1253" s="730" t="s">
        <v>908</v>
      </c>
      <c r="J1253" s="730"/>
      <c r="K1253" s="400" t="s">
        <v>929</v>
      </c>
      <c r="L1253" s="422"/>
      <c r="M1253" s="435"/>
      <c r="N1253" s="346"/>
      <c r="O1253" s="346"/>
      <c r="P1253" s="347"/>
      <c r="Q1253" s="347"/>
      <c r="R1253" s="346"/>
      <c r="S1253" s="346"/>
      <c r="T1253" s="346"/>
      <c r="U1253" s="346"/>
      <c r="V1253" s="346"/>
      <c r="W1253" s="640"/>
    </row>
    <row r="1254" spans="9:24" s="328" customFormat="1" ht="24" customHeight="1">
      <c r="K1254" s="328" t="s">
        <v>1041</v>
      </c>
      <c r="L1254" s="424"/>
      <c r="M1254" s="447"/>
      <c r="N1254" s="346">
        <f t="shared" ref="N1254:V1254" si="454">N956</f>
        <v>244695</v>
      </c>
      <c r="O1254" s="346">
        <f t="shared" si="454"/>
        <v>244847</v>
      </c>
      <c r="P1254" s="347">
        <f t="shared" si="454"/>
        <v>252540</v>
      </c>
      <c r="Q1254" s="347">
        <f t="shared" si="454"/>
        <v>252540</v>
      </c>
      <c r="R1254" s="346">
        <f t="shared" si="454"/>
        <v>252540</v>
      </c>
      <c r="S1254" s="346">
        <f t="shared" si="454"/>
        <v>252540</v>
      </c>
      <c r="T1254" s="346">
        <f t="shared" si="454"/>
        <v>252540</v>
      </c>
      <c r="U1254" s="346">
        <f t="shared" si="454"/>
        <v>252540</v>
      </c>
      <c r="V1254" s="346">
        <f t="shared" si="454"/>
        <v>252540</v>
      </c>
      <c r="W1254" s="640"/>
    </row>
    <row r="1255" spans="9:24" s="328" customFormat="1" ht="24" customHeight="1">
      <c r="K1255" s="328" t="s">
        <v>1043</v>
      </c>
      <c r="L1255" s="424"/>
      <c r="M1255" s="456"/>
      <c r="N1255" s="390">
        <f t="shared" ref="N1255:V1255" si="455">N957</f>
        <v>187313</v>
      </c>
      <c r="O1255" s="383">
        <f t="shared" si="455"/>
        <v>175436</v>
      </c>
      <c r="P1255" s="391">
        <f t="shared" si="455"/>
        <v>195000</v>
      </c>
      <c r="Q1255" s="391">
        <f t="shared" si="455"/>
        <v>195000</v>
      </c>
      <c r="R1255" s="390">
        <f t="shared" si="455"/>
        <v>195000</v>
      </c>
      <c r="S1255" s="390">
        <f t="shared" si="455"/>
        <v>195000</v>
      </c>
      <c r="T1255" s="390">
        <f t="shared" si="455"/>
        <v>195000</v>
      </c>
      <c r="U1255" s="390">
        <f t="shared" si="455"/>
        <v>195000</v>
      </c>
      <c r="V1255" s="390">
        <f t="shared" si="455"/>
        <v>195000</v>
      </c>
      <c r="W1255" s="640"/>
    </row>
    <row r="1256" spans="9:24" s="400" customFormat="1" ht="24" customHeight="1">
      <c r="K1256" s="400" t="s">
        <v>1019</v>
      </c>
      <c r="L1256" s="422"/>
      <c r="M1256" s="441"/>
      <c r="N1256" s="348">
        <f t="shared" ref="N1256:U1256" si="456">SUM(N1254:N1255)</f>
        <v>432008</v>
      </c>
      <c r="O1256" s="348">
        <f>SUM(O1254:O1255)</f>
        <v>420283</v>
      </c>
      <c r="P1256" s="349">
        <f t="shared" si="456"/>
        <v>447540</v>
      </c>
      <c r="Q1256" s="349">
        <f>SUM(Q1254:Q1255)</f>
        <v>447540</v>
      </c>
      <c r="R1256" s="348">
        <f t="shared" si="456"/>
        <v>447540</v>
      </c>
      <c r="S1256" s="348">
        <f t="shared" si="456"/>
        <v>447540</v>
      </c>
      <c r="T1256" s="348">
        <f t="shared" si="456"/>
        <v>447540</v>
      </c>
      <c r="U1256" s="348">
        <f t="shared" si="456"/>
        <v>447540</v>
      </c>
      <c r="V1256" s="348">
        <f>SUM(V1254:V1255)</f>
        <v>447540</v>
      </c>
      <c r="W1256" s="639"/>
    </row>
    <row r="1257" spans="9:24" s="328" customFormat="1" ht="24" customHeight="1">
      <c r="L1257" s="424"/>
      <c r="M1257" s="435"/>
      <c r="N1257" s="346"/>
      <c r="O1257" s="346"/>
      <c r="P1257" s="347"/>
      <c r="Q1257" s="347"/>
      <c r="R1257" s="346"/>
      <c r="S1257" s="346"/>
      <c r="T1257" s="346"/>
      <c r="U1257" s="346"/>
      <c r="V1257" s="346"/>
      <c r="W1257" s="640"/>
    </row>
    <row r="1258" spans="9:24" s="328" customFormat="1" ht="24" customHeight="1">
      <c r="I1258" s="730" t="s">
        <v>1019</v>
      </c>
      <c r="J1258" s="730"/>
      <c r="K1258" s="400" t="s">
        <v>929</v>
      </c>
      <c r="L1258" s="422"/>
      <c r="M1258" s="435"/>
      <c r="N1258" s="346"/>
      <c r="O1258" s="346"/>
      <c r="P1258" s="347"/>
      <c r="Q1258" s="347"/>
      <c r="R1258" s="346"/>
      <c r="S1258" s="346"/>
      <c r="T1258" s="346"/>
      <c r="U1258" s="346"/>
      <c r="V1258" s="346"/>
      <c r="W1258" s="640"/>
    </row>
    <row r="1259" spans="9:24" s="328" customFormat="1" ht="24" customHeight="1">
      <c r="K1259" s="328" t="s">
        <v>1041</v>
      </c>
      <c r="L1259" s="424"/>
      <c r="M1259" s="449"/>
      <c r="N1259" s="346">
        <f>N1248+N1254</f>
        <v>4162279</v>
      </c>
      <c r="O1259" s="346">
        <f>O1248+O1254</f>
        <v>4297724</v>
      </c>
      <c r="P1259" s="347">
        <f t="shared" ref="P1259:U1259" si="457">P1248+P1254</f>
        <v>4649772</v>
      </c>
      <c r="Q1259" s="347">
        <f>Q1248+Q1254</f>
        <v>4649772</v>
      </c>
      <c r="R1259" s="346">
        <f t="shared" si="457"/>
        <v>5139169</v>
      </c>
      <c r="S1259" s="346">
        <f t="shared" si="457"/>
        <v>5394691</v>
      </c>
      <c r="T1259" s="346">
        <f t="shared" si="457"/>
        <v>5574666</v>
      </c>
      <c r="U1259" s="346">
        <f t="shared" si="457"/>
        <v>5760940</v>
      </c>
      <c r="V1259" s="346">
        <f>V1248+V1254</f>
        <v>5953734</v>
      </c>
      <c r="W1259" s="640"/>
    </row>
    <row r="1260" spans="9:24" s="328" customFormat="1" ht="24" customHeight="1">
      <c r="K1260" s="328" t="s">
        <v>1042</v>
      </c>
      <c r="L1260" s="424"/>
      <c r="M1260" s="449"/>
      <c r="N1260" s="346">
        <f t="shared" ref="N1260:U1260" si="458">N1249</f>
        <v>106125</v>
      </c>
      <c r="O1260" s="346">
        <f>O1249</f>
        <v>113276</v>
      </c>
      <c r="P1260" s="347">
        <f t="shared" si="458"/>
        <v>144300</v>
      </c>
      <c r="Q1260" s="347">
        <f>Q1249</f>
        <v>144300</v>
      </c>
      <c r="R1260" s="346">
        <f t="shared" si="458"/>
        <v>144300</v>
      </c>
      <c r="S1260" s="346">
        <f t="shared" si="458"/>
        <v>144300</v>
      </c>
      <c r="T1260" s="346">
        <f t="shared" si="458"/>
        <v>144300</v>
      </c>
      <c r="U1260" s="346">
        <f t="shared" si="458"/>
        <v>144300</v>
      </c>
      <c r="V1260" s="346">
        <f>V1249</f>
        <v>144300</v>
      </c>
      <c r="W1260" s="640"/>
    </row>
    <row r="1261" spans="9:24" s="328" customFormat="1" ht="24" customHeight="1">
      <c r="K1261" s="328" t="s">
        <v>1043</v>
      </c>
      <c r="L1261" s="424"/>
      <c r="M1261" s="453"/>
      <c r="N1261" s="383">
        <f t="shared" ref="N1261:U1261" si="459">N1250+N1255</f>
        <v>577659</v>
      </c>
      <c r="O1261" s="383">
        <f>O1250+O1255</f>
        <v>548501</v>
      </c>
      <c r="P1261" s="382">
        <f t="shared" si="459"/>
        <v>520500</v>
      </c>
      <c r="Q1261" s="382">
        <f>Q1250+Q1255</f>
        <v>513775</v>
      </c>
      <c r="R1261" s="383">
        <f t="shared" si="459"/>
        <v>513300</v>
      </c>
      <c r="S1261" s="383">
        <f t="shared" si="459"/>
        <v>507500</v>
      </c>
      <c r="T1261" s="383">
        <f t="shared" si="459"/>
        <v>507500</v>
      </c>
      <c r="U1261" s="383">
        <f t="shared" si="459"/>
        <v>507500</v>
      </c>
      <c r="V1261" s="383">
        <f>V1250+V1255</f>
        <v>507500</v>
      </c>
      <c r="W1261" s="640"/>
    </row>
    <row r="1262" spans="9:24" s="400" customFormat="1" ht="24" customHeight="1">
      <c r="K1262" s="400" t="s">
        <v>1019</v>
      </c>
      <c r="L1262" s="422"/>
      <c r="M1262" s="423"/>
      <c r="N1262" s="348">
        <f t="shared" ref="N1262:U1262" si="460">SUM(N1259:N1261)</f>
        <v>4846063</v>
      </c>
      <c r="O1262" s="348">
        <f>SUM(O1259:O1261)</f>
        <v>4959501</v>
      </c>
      <c r="P1262" s="349">
        <f t="shared" si="460"/>
        <v>5314572</v>
      </c>
      <c r="Q1262" s="349">
        <f>SUM(Q1259:Q1261)</f>
        <v>5307847</v>
      </c>
      <c r="R1262" s="348">
        <f t="shared" si="460"/>
        <v>5796769</v>
      </c>
      <c r="S1262" s="348">
        <f t="shared" si="460"/>
        <v>6046491</v>
      </c>
      <c r="T1262" s="348">
        <f t="shared" si="460"/>
        <v>6226466</v>
      </c>
      <c r="U1262" s="348">
        <f t="shared" si="460"/>
        <v>6412740</v>
      </c>
      <c r="V1262" s="348">
        <f>SUM(V1259:V1261)</f>
        <v>6605534</v>
      </c>
      <c r="W1262" s="639"/>
    </row>
    <row r="1263" spans="9:24" s="490" customFormat="1" ht="24" hidden="1" customHeight="1">
      <c r="L1263" s="491"/>
      <c r="N1263" s="492">
        <f t="shared" ref="N1263:V1263" si="461">N1262-N69-N70-N71-N72-N73-N74-N75-N76-N108-N131-N149-N150-N151-N152-N153-N154-N155-N193-N194-N222-N224-N263-N589-N590-N591-N684-N685-N686-N808-N809-N810-N835-N836-N837-N838-N839-N840-N899-N900-N901-N902-N956-N957</f>
        <v>0</v>
      </c>
      <c r="O1263" s="492">
        <f t="shared" si="461"/>
        <v>0</v>
      </c>
      <c r="P1263" s="492">
        <f t="shared" si="461"/>
        <v>0</v>
      </c>
      <c r="Q1263" s="492">
        <f t="shared" si="461"/>
        <v>0</v>
      </c>
      <c r="R1263" s="492">
        <f t="shared" si="461"/>
        <v>0</v>
      </c>
      <c r="S1263" s="492">
        <f t="shared" si="461"/>
        <v>0</v>
      </c>
      <c r="T1263" s="492">
        <f t="shared" si="461"/>
        <v>0</v>
      </c>
      <c r="U1263" s="492">
        <f t="shared" si="461"/>
        <v>0</v>
      </c>
      <c r="V1263" s="492">
        <f t="shared" si="461"/>
        <v>0</v>
      </c>
      <c r="W1263" s="494"/>
      <c r="X1263" s="666" t="s">
        <v>1490</v>
      </c>
    </row>
    <row r="1264" spans="9:24" s="328" customFormat="1" ht="24" customHeight="1">
      <c r="L1264" s="424"/>
      <c r="M1264" s="435"/>
      <c r="N1264" s="346"/>
      <c r="O1264" s="346"/>
      <c r="P1264" s="347"/>
      <c r="Q1264" s="347"/>
      <c r="R1264" s="346"/>
      <c r="S1264" s="346"/>
      <c r="T1264" s="346"/>
      <c r="U1264" s="346"/>
      <c r="V1264" s="346"/>
      <c r="W1264" s="640"/>
    </row>
    <row r="1265" spans="1:24" s="490" customFormat="1" ht="24" customHeight="1">
      <c r="A1265" s="734" t="s">
        <v>1475</v>
      </c>
      <c r="B1265" s="734"/>
      <c r="C1265" s="734"/>
      <c r="D1265" s="734"/>
      <c r="E1265" s="734"/>
      <c r="F1265" s="734"/>
      <c r="G1265" s="734"/>
      <c r="H1265" s="734"/>
      <c r="I1265" s="734"/>
      <c r="J1265" s="734"/>
      <c r="K1265" s="734"/>
      <c r="L1265" s="505"/>
      <c r="N1265" s="492"/>
      <c r="O1265" s="492"/>
      <c r="P1265" s="492"/>
      <c r="Q1265" s="492"/>
      <c r="R1265" s="492"/>
      <c r="S1265" s="492"/>
      <c r="T1265" s="492"/>
      <c r="U1265" s="492"/>
      <c r="V1265" s="492"/>
      <c r="W1265" s="494"/>
    </row>
    <row r="1266" spans="1:24" s="400" customFormat="1" ht="24" customHeight="1">
      <c r="G1266" s="727" t="s">
        <v>1068</v>
      </c>
      <c r="H1266" s="727"/>
      <c r="I1266" s="727"/>
      <c r="J1266" s="727"/>
      <c r="K1266" s="727"/>
      <c r="L1266" s="457"/>
      <c r="M1266" s="458"/>
      <c r="N1266" s="392">
        <f t="shared" ref="N1266:U1266" si="462">SUM(N1267:N1270)</f>
        <v>50108</v>
      </c>
      <c r="O1266" s="392">
        <f>SUM(O1267:O1270)</f>
        <v>202575</v>
      </c>
      <c r="P1266" s="393">
        <f t="shared" si="462"/>
        <v>337767</v>
      </c>
      <c r="Q1266" s="393">
        <f>SUM(Q1267:Q1270)</f>
        <v>337767</v>
      </c>
      <c r="R1266" s="392">
        <f>SUM(R1267:R1270)</f>
        <v>335866</v>
      </c>
      <c r="S1266" s="392">
        <f t="shared" si="462"/>
        <v>335866</v>
      </c>
      <c r="T1266" s="392">
        <f t="shared" si="462"/>
        <v>335866</v>
      </c>
      <c r="U1266" s="392">
        <f t="shared" si="462"/>
        <v>335866</v>
      </c>
      <c r="V1266" s="392">
        <f>SUM(V1267:V1270)</f>
        <v>335866</v>
      </c>
      <c r="W1266" s="640"/>
      <c r="X1266" s="348">
        <f>SUM(R1266:V1266)</f>
        <v>1679330</v>
      </c>
    </row>
    <row r="1267" spans="1:24" s="328" customFormat="1" ht="24" customHeight="1">
      <c r="K1267" s="328" t="s">
        <v>1085</v>
      </c>
      <c r="L1267" s="424"/>
      <c r="M1267" s="424"/>
      <c r="N1267" s="360">
        <f t="shared" ref="N1267:V1267" si="463">N371</f>
        <v>0</v>
      </c>
      <c r="O1267" s="360">
        <f t="shared" si="463"/>
        <v>76652</v>
      </c>
      <c r="P1267" s="361">
        <f t="shared" si="463"/>
        <v>121900</v>
      </c>
      <c r="Q1267" s="361">
        <f t="shared" si="463"/>
        <v>121900</v>
      </c>
      <c r="R1267" s="360">
        <f t="shared" si="463"/>
        <v>73787</v>
      </c>
      <c r="S1267" s="360">
        <f t="shared" si="463"/>
        <v>73787</v>
      </c>
      <c r="T1267" s="360">
        <f t="shared" si="463"/>
        <v>73787</v>
      </c>
      <c r="U1267" s="360">
        <f t="shared" si="463"/>
        <v>73787</v>
      </c>
      <c r="V1267" s="360">
        <f t="shared" si="463"/>
        <v>73787</v>
      </c>
      <c r="W1267" s="640"/>
    </row>
    <row r="1268" spans="1:24" s="328" customFormat="1" ht="24" customHeight="1">
      <c r="K1268" s="328" t="s">
        <v>746</v>
      </c>
      <c r="L1268" s="424"/>
      <c r="M1268" s="424"/>
      <c r="N1268" s="360">
        <f t="shared" ref="N1268:V1268" si="464">N635</f>
        <v>25054</v>
      </c>
      <c r="O1268" s="360">
        <f t="shared" si="464"/>
        <v>75305</v>
      </c>
      <c r="P1268" s="361">
        <f t="shared" si="464"/>
        <v>129094</v>
      </c>
      <c r="Q1268" s="361">
        <f t="shared" si="464"/>
        <v>129094</v>
      </c>
      <c r="R1268" s="360">
        <f t="shared" si="464"/>
        <v>195548</v>
      </c>
      <c r="S1268" s="360">
        <f t="shared" si="464"/>
        <v>195548</v>
      </c>
      <c r="T1268" s="360">
        <f t="shared" si="464"/>
        <v>195548</v>
      </c>
      <c r="U1268" s="360">
        <f t="shared" si="464"/>
        <v>195548</v>
      </c>
      <c r="V1268" s="360">
        <f t="shared" si="464"/>
        <v>195548</v>
      </c>
      <c r="W1268" s="640"/>
    </row>
    <row r="1269" spans="1:24" s="328" customFormat="1" ht="24" customHeight="1">
      <c r="K1269" s="328" t="s">
        <v>747</v>
      </c>
      <c r="L1269" s="424"/>
      <c r="M1269" s="424"/>
      <c r="N1269" s="360">
        <f t="shared" ref="N1269:V1269" si="465">N720</f>
        <v>25054</v>
      </c>
      <c r="O1269" s="360">
        <f t="shared" si="465"/>
        <v>38951</v>
      </c>
      <c r="P1269" s="361">
        <f t="shared" si="465"/>
        <v>66773</v>
      </c>
      <c r="Q1269" s="361">
        <f t="shared" si="465"/>
        <v>66773</v>
      </c>
      <c r="R1269" s="360">
        <f t="shared" si="465"/>
        <v>59098</v>
      </c>
      <c r="S1269" s="360">
        <f t="shared" si="465"/>
        <v>59098</v>
      </c>
      <c r="T1269" s="360">
        <f t="shared" si="465"/>
        <v>59098</v>
      </c>
      <c r="U1269" s="360">
        <f t="shared" si="465"/>
        <v>59098</v>
      </c>
      <c r="V1269" s="360">
        <f t="shared" si="465"/>
        <v>59098</v>
      </c>
      <c r="W1269" s="640"/>
    </row>
    <row r="1270" spans="1:24" s="328" customFormat="1" ht="24" customHeight="1">
      <c r="K1270" s="328" t="s">
        <v>653</v>
      </c>
      <c r="L1270" s="424"/>
      <c r="M1270" s="424"/>
      <c r="N1270" s="360">
        <f t="shared" ref="N1270:V1270" si="466">N1111</f>
        <v>0</v>
      </c>
      <c r="O1270" s="360">
        <f t="shared" si="466"/>
        <v>11667</v>
      </c>
      <c r="P1270" s="361">
        <f t="shared" si="466"/>
        <v>20000</v>
      </c>
      <c r="Q1270" s="361">
        <f t="shared" si="466"/>
        <v>20000</v>
      </c>
      <c r="R1270" s="360">
        <f t="shared" si="466"/>
        <v>7433</v>
      </c>
      <c r="S1270" s="360">
        <f t="shared" si="466"/>
        <v>7433</v>
      </c>
      <c r="T1270" s="360">
        <f t="shared" si="466"/>
        <v>7433</v>
      </c>
      <c r="U1270" s="360">
        <f t="shared" si="466"/>
        <v>7433</v>
      </c>
      <c r="V1270" s="360">
        <f t="shared" si="466"/>
        <v>7433</v>
      </c>
      <c r="W1270" s="640"/>
    </row>
    <row r="1271" spans="1:24" s="644" customFormat="1" ht="24" customHeight="1">
      <c r="L1271" s="424"/>
      <c r="M1271" s="424"/>
      <c r="N1271" s="360"/>
      <c r="O1271" s="360"/>
      <c r="P1271" s="361"/>
      <c r="Q1271" s="361"/>
      <c r="R1271" s="360"/>
      <c r="S1271" s="360"/>
      <c r="T1271" s="360"/>
      <c r="U1271" s="360"/>
      <c r="V1271" s="360"/>
      <c r="W1271" s="643"/>
    </row>
    <row r="1272" spans="1:24" s="644" customFormat="1" ht="24" customHeight="1">
      <c r="G1272" s="733" t="s">
        <v>1491</v>
      </c>
      <c r="H1272" s="733"/>
      <c r="I1272" s="733"/>
      <c r="J1272" s="733"/>
      <c r="K1272" s="733"/>
      <c r="L1272" s="424"/>
      <c r="M1272" s="424"/>
      <c r="N1272" s="392">
        <f>SUM(N1273:N1275)</f>
        <v>0</v>
      </c>
      <c r="O1272" s="392">
        <f t="shared" ref="O1272:V1272" si="467">SUM(O1273:O1275)</f>
        <v>0</v>
      </c>
      <c r="P1272" s="393">
        <f t="shared" si="467"/>
        <v>0</v>
      </c>
      <c r="Q1272" s="393">
        <f t="shared" si="467"/>
        <v>0</v>
      </c>
      <c r="R1272" s="392">
        <f t="shared" si="467"/>
        <v>8000</v>
      </c>
      <c r="S1272" s="392">
        <f t="shared" si="467"/>
        <v>318750</v>
      </c>
      <c r="T1272" s="392">
        <f t="shared" si="467"/>
        <v>0</v>
      </c>
      <c r="U1272" s="392">
        <f t="shared" si="467"/>
        <v>0</v>
      </c>
      <c r="V1272" s="392">
        <f t="shared" si="467"/>
        <v>0</v>
      </c>
      <c r="W1272" s="643"/>
      <c r="X1272" s="348">
        <f>SUM(R1272:V1272)</f>
        <v>326750</v>
      </c>
    </row>
    <row r="1273" spans="1:24" s="644" customFormat="1" ht="24" customHeight="1">
      <c r="K1273" s="644" t="s">
        <v>1466</v>
      </c>
      <c r="L1273" s="424"/>
      <c r="M1273" s="424"/>
      <c r="N1273" s="360">
        <f>N434</f>
        <v>0</v>
      </c>
      <c r="O1273" s="360">
        <f t="shared" ref="O1273:V1273" si="468">O434</f>
        <v>0</v>
      </c>
      <c r="P1273" s="361">
        <f t="shared" si="468"/>
        <v>0</v>
      </c>
      <c r="Q1273" s="361">
        <f t="shared" si="468"/>
        <v>0</v>
      </c>
      <c r="R1273" s="360">
        <f t="shared" si="468"/>
        <v>40000</v>
      </c>
      <c r="S1273" s="360">
        <f t="shared" si="468"/>
        <v>40000</v>
      </c>
      <c r="T1273" s="360">
        <f t="shared" si="468"/>
        <v>0</v>
      </c>
      <c r="U1273" s="360">
        <f t="shared" si="468"/>
        <v>0</v>
      </c>
      <c r="V1273" s="360">
        <f t="shared" si="468"/>
        <v>0</v>
      </c>
      <c r="W1273" s="643"/>
    </row>
    <row r="1274" spans="1:24" s="644" customFormat="1" ht="24" customHeight="1">
      <c r="K1274" s="645" t="s">
        <v>1467</v>
      </c>
      <c r="L1274" s="424"/>
      <c r="M1274" s="424"/>
      <c r="N1274" s="646">
        <f>-N398</f>
        <v>0</v>
      </c>
      <c r="O1274" s="646">
        <f t="shared" ref="O1274:V1274" si="469">-O398</f>
        <v>0</v>
      </c>
      <c r="P1274" s="673">
        <f t="shared" si="469"/>
        <v>0</v>
      </c>
      <c r="Q1274" s="673">
        <f t="shared" si="469"/>
        <v>0</v>
      </c>
      <c r="R1274" s="646">
        <f t="shared" si="469"/>
        <v>-32000</v>
      </c>
      <c r="S1274" s="646">
        <f t="shared" si="469"/>
        <v>-32000</v>
      </c>
      <c r="T1274" s="646">
        <f t="shared" si="469"/>
        <v>0</v>
      </c>
      <c r="U1274" s="646">
        <f t="shared" si="469"/>
        <v>0</v>
      </c>
      <c r="V1274" s="646">
        <f t="shared" si="469"/>
        <v>0</v>
      </c>
      <c r="W1274" s="643"/>
    </row>
    <row r="1275" spans="1:24" s="644" customFormat="1" ht="24" customHeight="1">
      <c r="K1275" s="644" t="s">
        <v>653</v>
      </c>
      <c r="L1275" s="424"/>
      <c r="M1275" s="424"/>
      <c r="N1275" s="360">
        <f>N1110</f>
        <v>0</v>
      </c>
      <c r="O1275" s="360">
        <f t="shared" ref="O1275:V1275" si="470">O1110</f>
        <v>0</v>
      </c>
      <c r="P1275" s="361">
        <f t="shared" si="470"/>
        <v>0</v>
      </c>
      <c r="Q1275" s="361">
        <f t="shared" si="470"/>
        <v>0</v>
      </c>
      <c r="R1275" s="360">
        <f t="shared" si="470"/>
        <v>0</v>
      </c>
      <c r="S1275" s="360">
        <f t="shared" si="470"/>
        <v>310750</v>
      </c>
      <c r="T1275" s="360">
        <f t="shared" si="470"/>
        <v>0</v>
      </c>
      <c r="U1275" s="360">
        <f t="shared" si="470"/>
        <v>0</v>
      </c>
      <c r="V1275" s="360">
        <f t="shared" si="470"/>
        <v>0</v>
      </c>
      <c r="W1275" s="643"/>
    </row>
    <row r="1276" spans="1:24" s="644" customFormat="1" ht="24" customHeight="1">
      <c r="L1276" s="424"/>
      <c r="M1276" s="424"/>
      <c r="N1276" s="360"/>
      <c r="O1276" s="360"/>
      <c r="P1276" s="361"/>
      <c r="Q1276" s="361"/>
      <c r="R1276" s="360"/>
      <c r="S1276" s="360"/>
      <c r="T1276" s="360"/>
      <c r="U1276" s="360"/>
      <c r="V1276" s="360"/>
      <c r="W1276" s="643"/>
    </row>
    <row r="1277" spans="1:24" s="644" customFormat="1" ht="24" customHeight="1">
      <c r="G1277" s="727" t="s">
        <v>1474</v>
      </c>
      <c r="H1277" s="727"/>
      <c r="I1277" s="727"/>
      <c r="J1277" s="727"/>
      <c r="K1277" s="727"/>
      <c r="L1277" s="457"/>
      <c r="M1277" s="458"/>
      <c r="N1277" s="392">
        <f>SUM(N1278:N1281)</f>
        <v>0</v>
      </c>
      <c r="O1277" s="392">
        <f>SUM(O1278:O1281)</f>
        <v>0</v>
      </c>
      <c r="P1277" s="393">
        <f t="shared" ref="P1277" si="471">SUM(P1278:P1281)</f>
        <v>1042203</v>
      </c>
      <c r="Q1277" s="393">
        <f>SUM(Q1278:Q1281)</f>
        <v>1042203</v>
      </c>
      <c r="R1277" s="392">
        <f>SUM(R1278:R1281)</f>
        <v>1218000</v>
      </c>
      <c r="S1277" s="392">
        <f t="shared" ref="S1277:U1277" si="472">SUM(S1278:S1281)</f>
        <v>1100000</v>
      </c>
      <c r="T1277" s="392">
        <f t="shared" si="472"/>
        <v>1100000</v>
      </c>
      <c r="U1277" s="392">
        <f t="shared" si="472"/>
        <v>754000</v>
      </c>
      <c r="V1277" s="392">
        <f>SUM(V1278:V1281)</f>
        <v>704000</v>
      </c>
      <c r="W1277" s="651"/>
      <c r="X1277" s="348">
        <f>SUM(R1277:V1277)</f>
        <v>4876000</v>
      </c>
    </row>
    <row r="1278" spans="1:24" s="644" customFormat="1" ht="24" customHeight="1">
      <c r="G1278" s="650"/>
      <c r="H1278" s="650"/>
      <c r="I1278" s="650"/>
      <c r="J1278" s="650"/>
      <c r="K1278" s="650" t="s">
        <v>1085</v>
      </c>
      <c r="L1278" s="424"/>
      <c r="M1278" s="424"/>
      <c r="N1278" s="360">
        <f>N367</f>
        <v>0</v>
      </c>
      <c r="O1278" s="360">
        <f t="shared" ref="O1278:V1278" si="473">O367</f>
        <v>0</v>
      </c>
      <c r="P1278" s="361">
        <f t="shared" si="473"/>
        <v>250000</v>
      </c>
      <c r="Q1278" s="361">
        <f t="shared" si="473"/>
        <v>250000</v>
      </c>
      <c r="R1278" s="360">
        <f t="shared" si="473"/>
        <v>275000</v>
      </c>
      <c r="S1278" s="360">
        <f t="shared" si="473"/>
        <v>300000</v>
      </c>
      <c r="T1278" s="360">
        <f t="shared" si="473"/>
        <v>300000</v>
      </c>
      <c r="U1278" s="360">
        <f t="shared" si="473"/>
        <v>154000</v>
      </c>
      <c r="V1278" s="360">
        <f t="shared" si="473"/>
        <v>104000</v>
      </c>
      <c r="W1278" s="651"/>
      <c r="X1278" s="650"/>
    </row>
    <row r="1279" spans="1:24" s="644" customFormat="1" ht="24" customHeight="1">
      <c r="G1279" s="650"/>
      <c r="H1279" s="650"/>
      <c r="I1279" s="650"/>
      <c r="J1279" s="650"/>
      <c r="K1279" s="650" t="s">
        <v>992</v>
      </c>
      <c r="L1279" s="424"/>
      <c r="M1279" s="424"/>
      <c r="N1279" s="360">
        <f>N432</f>
        <v>0</v>
      </c>
      <c r="O1279" s="360">
        <f t="shared" ref="O1279:V1279" si="474">O432</f>
        <v>0</v>
      </c>
      <c r="P1279" s="361">
        <f t="shared" si="474"/>
        <v>585863</v>
      </c>
      <c r="Q1279" s="361">
        <f t="shared" si="474"/>
        <v>585863</v>
      </c>
      <c r="R1279" s="360">
        <f t="shared" si="474"/>
        <v>390000</v>
      </c>
      <c r="S1279" s="360">
        <f t="shared" si="474"/>
        <v>300000</v>
      </c>
      <c r="T1279" s="360">
        <f t="shared" si="474"/>
        <v>300000</v>
      </c>
      <c r="U1279" s="360">
        <f t="shared" si="474"/>
        <v>300000</v>
      </c>
      <c r="V1279" s="360">
        <f t="shared" si="474"/>
        <v>300000</v>
      </c>
      <c r="W1279" s="651"/>
      <c r="X1279" s="650"/>
    </row>
    <row r="1280" spans="1:24" s="644" customFormat="1" ht="24" customHeight="1">
      <c r="G1280" s="650"/>
      <c r="H1280" s="650"/>
      <c r="I1280" s="650"/>
      <c r="J1280" s="650"/>
      <c r="K1280" s="650" t="s">
        <v>746</v>
      </c>
      <c r="L1280" s="424"/>
      <c r="M1280" s="424"/>
      <c r="N1280" s="360">
        <f>N631</f>
        <v>0</v>
      </c>
      <c r="O1280" s="360">
        <f t="shared" ref="O1280:V1280" si="475">O631</f>
        <v>0</v>
      </c>
      <c r="P1280" s="361">
        <f t="shared" si="475"/>
        <v>206340</v>
      </c>
      <c r="Q1280" s="361">
        <f t="shared" si="475"/>
        <v>206340</v>
      </c>
      <c r="R1280" s="360">
        <f t="shared" si="475"/>
        <v>353000</v>
      </c>
      <c r="S1280" s="360">
        <f t="shared" si="475"/>
        <v>300000</v>
      </c>
      <c r="T1280" s="360">
        <f t="shared" si="475"/>
        <v>300000</v>
      </c>
      <c r="U1280" s="360">
        <f t="shared" si="475"/>
        <v>100000</v>
      </c>
      <c r="V1280" s="360">
        <f t="shared" si="475"/>
        <v>100000</v>
      </c>
      <c r="W1280" s="651"/>
      <c r="X1280" s="650"/>
    </row>
    <row r="1281" spans="7:24" s="644" customFormat="1" ht="24" customHeight="1">
      <c r="G1281" s="650"/>
      <c r="H1281" s="650"/>
      <c r="I1281" s="650"/>
      <c r="J1281" s="650"/>
      <c r="K1281" s="650" t="s">
        <v>747</v>
      </c>
      <c r="L1281" s="424"/>
      <c r="M1281" s="424"/>
      <c r="N1281" s="360">
        <f>N718</f>
        <v>0</v>
      </c>
      <c r="O1281" s="360">
        <f t="shared" ref="O1281:V1281" si="476">O718</f>
        <v>0</v>
      </c>
      <c r="P1281" s="361">
        <f t="shared" si="476"/>
        <v>0</v>
      </c>
      <c r="Q1281" s="361">
        <f t="shared" si="476"/>
        <v>0</v>
      </c>
      <c r="R1281" s="360">
        <f t="shared" si="476"/>
        <v>200000</v>
      </c>
      <c r="S1281" s="360">
        <f t="shared" si="476"/>
        <v>200000</v>
      </c>
      <c r="T1281" s="360">
        <f t="shared" si="476"/>
        <v>200000</v>
      </c>
      <c r="U1281" s="360">
        <f t="shared" si="476"/>
        <v>200000</v>
      </c>
      <c r="V1281" s="360">
        <f t="shared" si="476"/>
        <v>200000</v>
      </c>
      <c r="W1281" s="651"/>
      <c r="X1281" s="650"/>
    </row>
    <row r="1282" spans="7:24" s="654" customFormat="1" ht="24" customHeight="1">
      <c r="L1282" s="424"/>
      <c r="M1282" s="424"/>
      <c r="N1282" s="360"/>
      <c r="O1282" s="360"/>
      <c r="P1282" s="361"/>
      <c r="Q1282" s="361"/>
      <c r="R1282" s="360"/>
      <c r="S1282" s="360"/>
      <c r="T1282" s="360"/>
      <c r="U1282" s="360"/>
      <c r="V1282" s="360"/>
      <c r="W1282" s="653"/>
    </row>
    <row r="1283" spans="7:24" s="654" customFormat="1" ht="24" customHeight="1">
      <c r="G1283" s="727" t="s">
        <v>1470</v>
      </c>
      <c r="H1283" s="727"/>
      <c r="I1283" s="727"/>
      <c r="J1283" s="727"/>
      <c r="K1283" s="727"/>
      <c r="L1283" s="424"/>
      <c r="M1283" s="424"/>
      <c r="N1283" s="392">
        <f>SUM(N1284:N1286)</f>
        <v>0</v>
      </c>
      <c r="O1283" s="392">
        <f t="shared" ref="O1283:V1283" si="477">SUM(O1284:O1286)</f>
        <v>0</v>
      </c>
      <c r="P1283" s="393">
        <f t="shared" si="477"/>
        <v>-114541</v>
      </c>
      <c r="Q1283" s="393">
        <f t="shared" si="477"/>
        <v>0</v>
      </c>
      <c r="R1283" s="392">
        <f t="shared" si="477"/>
        <v>0</v>
      </c>
      <c r="S1283" s="392">
        <f t="shared" si="477"/>
        <v>0</v>
      </c>
      <c r="T1283" s="392">
        <f t="shared" si="477"/>
        <v>0</v>
      </c>
      <c r="U1283" s="392">
        <f t="shared" si="477"/>
        <v>0</v>
      </c>
      <c r="V1283" s="392">
        <f t="shared" si="477"/>
        <v>0</v>
      </c>
      <c r="W1283" s="653"/>
      <c r="X1283" s="348">
        <f>SUM(R1283:V1283)</f>
        <v>0</v>
      </c>
    </row>
    <row r="1284" spans="7:24" s="654" customFormat="1" ht="24" customHeight="1">
      <c r="K1284" s="654" t="s">
        <v>1466</v>
      </c>
      <c r="L1284" s="424"/>
      <c r="M1284" s="424"/>
      <c r="N1284" s="360">
        <f>N440</f>
        <v>0</v>
      </c>
      <c r="O1284" s="360">
        <f t="shared" ref="O1284:V1284" si="478">O440</f>
        <v>20007</v>
      </c>
      <c r="P1284" s="361">
        <f t="shared" si="478"/>
        <v>59500</v>
      </c>
      <c r="Q1284" s="361">
        <f t="shared" si="478"/>
        <v>59500</v>
      </c>
      <c r="R1284" s="360">
        <f t="shared" si="478"/>
        <v>97700</v>
      </c>
      <c r="S1284" s="360">
        <f t="shared" si="478"/>
        <v>14000</v>
      </c>
      <c r="T1284" s="360">
        <f t="shared" si="478"/>
        <v>408900</v>
      </c>
      <c r="U1284" s="360">
        <f t="shared" si="478"/>
        <v>45500</v>
      </c>
      <c r="V1284" s="360">
        <f t="shared" si="478"/>
        <v>0</v>
      </c>
      <c r="W1284" s="653"/>
    </row>
    <row r="1285" spans="7:24" s="654" customFormat="1" ht="24" customHeight="1">
      <c r="K1285" s="645" t="s">
        <v>1467</v>
      </c>
      <c r="L1285" s="424"/>
      <c r="M1285" s="424"/>
      <c r="N1285" s="646">
        <f>-N401</f>
        <v>0</v>
      </c>
      <c r="O1285" s="646">
        <f t="shared" ref="O1285:V1285" si="479">-O401</f>
        <v>0</v>
      </c>
      <c r="P1285" s="673">
        <f t="shared" si="479"/>
        <v>-47600</v>
      </c>
      <c r="Q1285" s="673">
        <f t="shared" si="479"/>
        <v>-47600</v>
      </c>
      <c r="R1285" s="646">
        <f t="shared" si="479"/>
        <v>-73960</v>
      </c>
      <c r="S1285" s="646">
        <f t="shared" si="479"/>
        <v>-7000</v>
      </c>
      <c r="T1285" s="646">
        <f t="shared" si="479"/>
        <v>-114160</v>
      </c>
      <c r="U1285" s="646">
        <f t="shared" si="479"/>
        <v>-12720</v>
      </c>
      <c r="V1285" s="646">
        <f t="shared" si="479"/>
        <v>0</v>
      </c>
      <c r="W1285" s="653"/>
    </row>
    <row r="1286" spans="7:24" s="654" customFormat="1" ht="24" customHeight="1">
      <c r="K1286" s="645" t="s">
        <v>1471</v>
      </c>
      <c r="L1286" s="424"/>
      <c r="M1286" s="424"/>
      <c r="N1286" s="646">
        <f>-N411</f>
        <v>0</v>
      </c>
      <c r="O1286" s="646">
        <f t="shared" ref="O1286:V1286" si="480">-O411</f>
        <v>-20007</v>
      </c>
      <c r="P1286" s="673">
        <f t="shared" si="480"/>
        <v>-126441</v>
      </c>
      <c r="Q1286" s="673">
        <f t="shared" si="480"/>
        <v>-11900</v>
      </c>
      <c r="R1286" s="646">
        <f t="shared" si="480"/>
        <v>-23740</v>
      </c>
      <c r="S1286" s="646">
        <f t="shared" si="480"/>
        <v>-7000</v>
      </c>
      <c r="T1286" s="646">
        <f t="shared" si="480"/>
        <v>-294740</v>
      </c>
      <c r="U1286" s="646">
        <f t="shared" si="480"/>
        <v>-32780</v>
      </c>
      <c r="V1286" s="646">
        <f t="shared" si="480"/>
        <v>0</v>
      </c>
      <c r="W1286" s="653"/>
    </row>
    <row r="1287" spans="7:24" s="654" customFormat="1" ht="24" customHeight="1">
      <c r="K1287" s="645"/>
      <c r="L1287" s="424"/>
      <c r="M1287" s="424"/>
      <c r="N1287" s="646"/>
      <c r="O1287" s="646"/>
      <c r="P1287" s="673"/>
      <c r="Q1287" s="673"/>
      <c r="R1287" s="646"/>
      <c r="S1287" s="646"/>
      <c r="T1287" s="646"/>
      <c r="U1287" s="646"/>
      <c r="V1287" s="646"/>
      <c r="W1287" s="653"/>
    </row>
    <row r="1288" spans="7:24" s="654" customFormat="1" ht="24" customHeight="1">
      <c r="G1288" s="727" t="s">
        <v>1472</v>
      </c>
      <c r="H1288" s="727"/>
      <c r="I1288" s="727"/>
      <c r="J1288" s="727"/>
      <c r="K1288" s="727"/>
      <c r="L1288" s="424"/>
      <c r="M1288" s="424"/>
      <c r="N1288" s="392">
        <f t="shared" ref="N1288:V1288" si="481">SUM(N1289:N1290)</f>
        <v>0</v>
      </c>
      <c r="O1288" s="392">
        <f t="shared" si="481"/>
        <v>0</v>
      </c>
      <c r="P1288" s="393">
        <f t="shared" si="481"/>
        <v>0</v>
      </c>
      <c r="Q1288" s="393">
        <f t="shared" si="481"/>
        <v>0</v>
      </c>
      <c r="R1288" s="392">
        <f t="shared" si="481"/>
        <v>277732</v>
      </c>
      <c r="S1288" s="392">
        <f t="shared" si="481"/>
        <v>0</v>
      </c>
      <c r="T1288" s="392">
        <f t="shared" si="481"/>
        <v>0</v>
      </c>
      <c r="U1288" s="392">
        <f t="shared" si="481"/>
        <v>0</v>
      </c>
      <c r="V1288" s="392">
        <f t="shared" si="481"/>
        <v>0</v>
      </c>
      <c r="W1288" s="653"/>
      <c r="X1288" s="348">
        <f>SUM(R1288:V1288)</f>
        <v>277732</v>
      </c>
    </row>
    <row r="1289" spans="7:24" s="654" customFormat="1" ht="24" customHeight="1">
      <c r="K1289" s="654" t="s">
        <v>1466</v>
      </c>
      <c r="L1289" s="424"/>
      <c r="M1289" s="424"/>
      <c r="N1289" s="360">
        <f>N431</f>
        <v>0</v>
      </c>
      <c r="O1289" s="360">
        <f t="shared" ref="O1289:V1289" si="482">O431</f>
        <v>0</v>
      </c>
      <c r="P1289" s="361">
        <f t="shared" si="482"/>
        <v>201110</v>
      </c>
      <c r="Q1289" s="361">
        <f t="shared" si="482"/>
        <v>201110</v>
      </c>
      <c r="R1289" s="360">
        <f t="shared" si="482"/>
        <v>1139622</v>
      </c>
      <c r="S1289" s="360">
        <f t="shared" si="482"/>
        <v>0</v>
      </c>
      <c r="T1289" s="360">
        <f t="shared" si="482"/>
        <v>0</v>
      </c>
      <c r="U1289" s="360">
        <f t="shared" si="482"/>
        <v>0</v>
      </c>
      <c r="V1289" s="360">
        <f t="shared" si="482"/>
        <v>0</v>
      </c>
      <c r="W1289" s="653"/>
    </row>
    <row r="1290" spans="7:24" s="654" customFormat="1" ht="24" customHeight="1">
      <c r="K1290" s="645" t="s">
        <v>1473</v>
      </c>
      <c r="L1290" s="424"/>
      <c r="M1290" s="424"/>
      <c r="N1290" s="646">
        <f>-N410</f>
        <v>0</v>
      </c>
      <c r="O1290" s="646">
        <f t="shared" ref="O1290:V1290" si="483">-O410</f>
        <v>0</v>
      </c>
      <c r="P1290" s="673">
        <f t="shared" si="483"/>
        <v>-201110</v>
      </c>
      <c r="Q1290" s="673">
        <f t="shared" si="483"/>
        <v>-201110</v>
      </c>
      <c r="R1290" s="646">
        <f t="shared" si="483"/>
        <v>-861890</v>
      </c>
      <c r="S1290" s="646">
        <f t="shared" si="483"/>
        <v>0</v>
      </c>
      <c r="T1290" s="646">
        <f t="shared" si="483"/>
        <v>0</v>
      </c>
      <c r="U1290" s="646">
        <f t="shared" si="483"/>
        <v>0</v>
      </c>
      <c r="V1290" s="646">
        <f t="shared" si="483"/>
        <v>0</v>
      </c>
      <c r="W1290" s="653"/>
    </row>
    <row r="1291" spans="7:24" s="665" customFormat="1" ht="24" customHeight="1">
      <c r="K1291" s="645"/>
      <c r="L1291" s="424"/>
      <c r="M1291" s="424"/>
      <c r="N1291" s="646"/>
      <c r="O1291" s="646"/>
      <c r="P1291" s="673"/>
      <c r="Q1291" s="673"/>
      <c r="R1291" s="646"/>
      <c r="S1291" s="646"/>
      <c r="T1291" s="646"/>
      <c r="U1291" s="646"/>
      <c r="V1291" s="646"/>
      <c r="W1291" s="662"/>
    </row>
    <row r="1292" spans="7:24" s="665" customFormat="1" ht="24" customHeight="1">
      <c r="G1292" s="727" t="s">
        <v>1494</v>
      </c>
      <c r="H1292" s="727"/>
      <c r="I1292" s="727"/>
      <c r="J1292" s="727"/>
      <c r="K1292" s="727"/>
      <c r="L1292" s="424"/>
      <c r="M1292" s="424"/>
      <c r="N1292" s="392">
        <f>SUM(N1293:N1295)</f>
        <v>37793</v>
      </c>
      <c r="O1292" s="392">
        <f t="shared" ref="O1292:V1292" si="484">SUM(O1293:O1295)</f>
        <v>30000</v>
      </c>
      <c r="P1292" s="393">
        <f t="shared" si="484"/>
        <v>232500</v>
      </c>
      <c r="Q1292" s="393">
        <f t="shared" si="484"/>
        <v>126250</v>
      </c>
      <c r="R1292" s="392">
        <f t="shared" si="484"/>
        <v>258000</v>
      </c>
      <c r="S1292" s="392">
        <f t="shared" si="484"/>
        <v>3827800</v>
      </c>
      <c r="T1292" s="392">
        <f t="shared" si="484"/>
        <v>500688</v>
      </c>
      <c r="U1292" s="392">
        <f t="shared" si="484"/>
        <v>0</v>
      </c>
      <c r="V1292" s="392">
        <f t="shared" si="484"/>
        <v>0</v>
      </c>
      <c r="W1292" s="662"/>
      <c r="X1292" s="348">
        <f>SUM(R1292:V1292)</f>
        <v>4586488</v>
      </c>
    </row>
    <row r="1293" spans="7:24" s="665" customFormat="1" ht="24" customHeight="1">
      <c r="G1293" s="663"/>
      <c r="H1293" s="663"/>
      <c r="I1293" s="663"/>
      <c r="J1293" s="663"/>
      <c r="K1293" s="665" t="s">
        <v>1085</v>
      </c>
      <c r="L1293" s="424"/>
      <c r="M1293" s="424"/>
      <c r="N1293" s="360">
        <f>N369</f>
        <v>68086</v>
      </c>
      <c r="O1293" s="360">
        <f t="shared" ref="O1293:V1293" si="485">O369</f>
        <v>30000</v>
      </c>
      <c r="P1293" s="361">
        <f t="shared" si="485"/>
        <v>212500</v>
      </c>
      <c r="Q1293" s="361">
        <f t="shared" si="485"/>
        <v>212500</v>
      </c>
      <c r="R1293" s="360">
        <f t="shared" si="485"/>
        <v>0</v>
      </c>
      <c r="S1293" s="360">
        <f t="shared" si="485"/>
        <v>0</v>
      </c>
      <c r="T1293" s="360">
        <f t="shared" si="485"/>
        <v>0</v>
      </c>
      <c r="U1293" s="360">
        <f t="shared" si="485"/>
        <v>0</v>
      </c>
      <c r="V1293" s="360">
        <f t="shared" si="485"/>
        <v>0</v>
      </c>
      <c r="W1293" s="662"/>
      <c r="X1293" s="348"/>
    </row>
    <row r="1294" spans="7:24" s="665" customFormat="1" ht="24" customHeight="1">
      <c r="G1294" s="663"/>
      <c r="H1294" s="663"/>
      <c r="I1294" s="663"/>
      <c r="J1294" s="663"/>
      <c r="K1294" s="645" t="s">
        <v>1467</v>
      </c>
      <c r="L1294" s="424"/>
      <c r="M1294" s="424"/>
      <c r="N1294" s="646">
        <f>-N349</f>
        <v>-30293</v>
      </c>
      <c r="O1294" s="646">
        <f t="shared" ref="O1294:V1294" si="486">-O349</f>
        <v>0</v>
      </c>
      <c r="P1294" s="673">
        <f t="shared" si="486"/>
        <v>0</v>
      </c>
      <c r="Q1294" s="673">
        <f t="shared" si="486"/>
        <v>-106250</v>
      </c>
      <c r="R1294" s="646">
        <f t="shared" si="486"/>
        <v>0</v>
      </c>
      <c r="S1294" s="646">
        <f t="shared" si="486"/>
        <v>0</v>
      </c>
      <c r="T1294" s="646">
        <f t="shared" si="486"/>
        <v>0</v>
      </c>
      <c r="U1294" s="646">
        <f t="shared" si="486"/>
        <v>0</v>
      </c>
      <c r="V1294" s="646">
        <f t="shared" si="486"/>
        <v>0</v>
      </c>
      <c r="W1294" s="662"/>
      <c r="X1294" s="348"/>
    </row>
    <row r="1295" spans="7:24" s="665" customFormat="1" ht="24" customHeight="1">
      <c r="K1295" s="665" t="s">
        <v>1466</v>
      </c>
      <c r="L1295" s="424"/>
      <c r="M1295" s="424"/>
      <c r="N1295" s="360">
        <f>N437</f>
        <v>0</v>
      </c>
      <c r="O1295" s="360">
        <f t="shared" ref="O1295:V1295" si="487">O437</f>
        <v>0</v>
      </c>
      <c r="P1295" s="361">
        <f t="shared" si="487"/>
        <v>20000</v>
      </c>
      <c r="Q1295" s="361">
        <f t="shared" si="487"/>
        <v>20000</v>
      </c>
      <c r="R1295" s="360">
        <f t="shared" si="487"/>
        <v>258000</v>
      </c>
      <c r="S1295" s="360">
        <f t="shared" si="487"/>
        <v>3827800</v>
      </c>
      <c r="T1295" s="360">
        <f t="shared" si="487"/>
        <v>500688</v>
      </c>
      <c r="U1295" s="360">
        <f t="shared" si="487"/>
        <v>0</v>
      </c>
      <c r="V1295" s="360">
        <f t="shared" si="487"/>
        <v>0</v>
      </c>
      <c r="W1295" s="662"/>
      <c r="X1295" s="695"/>
    </row>
    <row r="1296" spans="7:24" s="654" customFormat="1" ht="24" customHeight="1">
      <c r="K1296" s="645"/>
      <c r="L1296" s="424"/>
      <c r="M1296" s="424"/>
      <c r="N1296" s="646"/>
      <c r="O1296" s="646"/>
      <c r="P1296" s="673"/>
      <c r="Q1296" s="673"/>
      <c r="R1296" s="646"/>
      <c r="S1296" s="646"/>
      <c r="T1296" s="646"/>
      <c r="U1296" s="646"/>
      <c r="V1296" s="646"/>
      <c r="W1296" s="653"/>
      <c r="X1296" s="695"/>
    </row>
    <row r="1297" spans="6:24" s="490" customFormat="1" ht="24" hidden="1" customHeight="1">
      <c r="L1297" s="491"/>
      <c r="M1297" s="491"/>
      <c r="N1297" s="495">
        <f t="shared" ref="N1297:V1297" si="488">(N1266+N1272+N1277+N1283+N1288+N1292)+N349-N367-N369-N371+N398+N401-N431-N432-N434-N437-N440-N631-N635-N718-N720-N1110-N1111+N410+N411</f>
        <v>0</v>
      </c>
      <c r="O1297" s="495">
        <f t="shared" si="488"/>
        <v>0</v>
      </c>
      <c r="P1297" s="495">
        <f t="shared" si="488"/>
        <v>0</v>
      </c>
      <c r="Q1297" s="495">
        <f t="shared" si="488"/>
        <v>0</v>
      </c>
      <c r="R1297" s="495">
        <f t="shared" si="488"/>
        <v>0</v>
      </c>
      <c r="S1297" s="495">
        <f t="shared" si="488"/>
        <v>0</v>
      </c>
      <c r="T1297" s="495">
        <f t="shared" si="488"/>
        <v>0</v>
      </c>
      <c r="U1297" s="495">
        <f t="shared" si="488"/>
        <v>0</v>
      </c>
      <c r="V1297" s="495">
        <f t="shared" si="488"/>
        <v>0</v>
      </c>
      <c r="W1297" s="494"/>
      <c r="X1297" s="752" t="s">
        <v>1490</v>
      </c>
    </row>
    <row r="1298" spans="6:24" s="328" customFormat="1" ht="24" customHeight="1">
      <c r="L1298" s="424"/>
      <c r="M1298" s="435"/>
      <c r="N1298" s="346"/>
      <c r="O1298" s="394"/>
      <c r="P1298" s="347"/>
      <c r="Q1298" s="459"/>
      <c r="R1298" s="394"/>
      <c r="S1298" s="394"/>
      <c r="T1298" s="394"/>
      <c r="U1298" s="394"/>
      <c r="V1298" s="394"/>
      <c r="W1298" s="640"/>
      <c r="X1298" s="695"/>
    </row>
    <row r="1299" spans="6:24" s="565" customFormat="1" ht="24" customHeight="1">
      <c r="F1299" s="566"/>
      <c r="G1299" s="566"/>
      <c r="H1299" s="566"/>
      <c r="I1299" s="566"/>
      <c r="J1299" s="566"/>
      <c r="K1299" s="566"/>
      <c r="L1299" s="567"/>
      <c r="M1299" s="439"/>
      <c r="N1299" s="348"/>
      <c r="O1299" s="568"/>
      <c r="P1299" s="349"/>
      <c r="Q1299" s="672"/>
      <c r="R1299" s="568"/>
      <c r="S1299" s="568"/>
      <c r="T1299" s="568"/>
      <c r="U1299" s="568"/>
      <c r="V1299" s="568"/>
      <c r="W1299" s="640"/>
      <c r="X1299" s="695"/>
    </row>
    <row r="1300" spans="6:24" s="565" customFormat="1" ht="24" customHeight="1">
      <c r="F1300" s="566"/>
      <c r="G1300" s="566"/>
      <c r="H1300" s="566"/>
      <c r="I1300" s="566"/>
      <c r="J1300" s="566"/>
      <c r="K1300" s="566"/>
      <c r="L1300" s="567"/>
      <c r="M1300" s="439"/>
      <c r="N1300" s="348"/>
      <c r="O1300" s="568"/>
      <c r="P1300" s="349"/>
      <c r="Q1300" s="672"/>
      <c r="R1300" s="568"/>
      <c r="S1300" s="568"/>
      <c r="T1300" s="568"/>
      <c r="U1300" s="568"/>
      <c r="V1300" s="568"/>
      <c r="W1300" s="640"/>
      <c r="X1300" s="695"/>
    </row>
    <row r="1301" spans="6:24" ht="24" customHeight="1"/>
    <row r="1302" spans="6:24" ht="24" customHeight="1"/>
    <row r="1303" spans="6:24" ht="24" customHeight="1"/>
    <row r="1304" spans="6:24" ht="24" customHeight="1"/>
    <row r="1305" spans="6:24" ht="24" customHeight="1"/>
    <row r="1306" spans="6:24" ht="24" customHeight="1"/>
    <row r="1307" spans="6:24" ht="24" customHeight="1"/>
    <row r="1308" spans="6:24" ht="24" customHeight="1"/>
    <row r="1309" spans="6:24" ht="24" customHeight="1"/>
    <row r="1310" spans="6:24" ht="24" customHeight="1"/>
    <row r="1311" spans="6:24" ht="24" customHeight="1"/>
    <row r="1312" spans="6:24" ht="24" customHeight="1"/>
    <row r="1313" ht="24" customHeight="1"/>
    <row r="1314" ht="24" customHeight="1"/>
    <row r="1315" ht="24" customHeight="1"/>
    <row r="1316" ht="24" customHeight="1"/>
    <row r="1317" ht="24" customHeight="1"/>
    <row r="1318" ht="24" customHeight="1"/>
    <row r="1319" ht="24" customHeight="1"/>
    <row r="1320" ht="24" customHeight="1"/>
    <row r="1321" ht="24" customHeight="1"/>
    <row r="1322" ht="24" customHeight="1"/>
    <row r="1323" ht="24" customHeight="1"/>
    <row r="1324" ht="24" customHeight="1"/>
    <row r="1325" ht="24" customHeight="1"/>
    <row r="1326" ht="24" customHeight="1"/>
    <row r="1327" ht="24" customHeight="1"/>
    <row r="1328" ht="24" customHeight="1"/>
    <row r="1329" ht="24" customHeight="1"/>
    <row r="1330" ht="24" customHeight="1"/>
    <row r="1331" ht="24" customHeight="1"/>
    <row r="1332" ht="24" customHeight="1"/>
    <row r="1333" ht="24" customHeight="1"/>
    <row r="1334" ht="24" customHeight="1"/>
    <row r="1335" ht="24" customHeight="1"/>
    <row r="1336" ht="24" customHeight="1"/>
    <row r="1337" ht="24" customHeight="1"/>
    <row r="1338" ht="24" customHeight="1"/>
    <row r="1339" ht="24" customHeight="1"/>
    <row r="1340" ht="24" customHeight="1"/>
    <row r="1341" ht="24" customHeight="1"/>
    <row r="1342" ht="24" customHeight="1"/>
    <row r="1343" ht="24" customHeight="1"/>
    <row r="1344" ht="24" customHeight="1"/>
    <row r="1345" ht="24" customHeight="1"/>
    <row r="1346" ht="24" customHeight="1"/>
    <row r="1347" ht="24" customHeight="1"/>
    <row r="1348" ht="24" customHeight="1"/>
    <row r="1349" ht="24" customHeight="1"/>
    <row r="1350" ht="24" customHeight="1"/>
    <row r="1351" ht="24" customHeight="1"/>
    <row r="1352" ht="24" customHeight="1"/>
    <row r="1353" ht="24" customHeight="1"/>
    <row r="1354" ht="24" customHeight="1"/>
    <row r="1355" ht="24" customHeight="1"/>
    <row r="1356" ht="24" customHeight="1"/>
    <row r="1357" ht="24" customHeight="1"/>
    <row r="1358" ht="24" customHeight="1"/>
    <row r="1359" ht="24" customHeight="1"/>
    <row r="1360" ht="24" customHeight="1"/>
    <row r="1361" ht="24" customHeight="1"/>
    <row r="1362" ht="24" customHeight="1"/>
    <row r="1363" ht="24" customHeight="1"/>
    <row r="1364" ht="24" customHeight="1"/>
    <row r="1365" ht="24" customHeight="1"/>
    <row r="1366" ht="24" customHeight="1"/>
    <row r="1367" ht="24" customHeight="1"/>
    <row r="1368" ht="24" customHeight="1"/>
    <row r="1369" ht="24" customHeight="1"/>
    <row r="1370" ht="24" customHeight="1"/>
    <row r="1371" ht="24" customHeight="1"/>
    <row r="1372" ht="24" customHeight="1"/>
    <row r="1373" ht="24" customHeight="1"/>
    <row r="1374" ht="24" customHeight="1"/>
    <row r="1375" ht="24" customHeight="1"/>
    <row r="1376" ht="24" customHeight="1"/>
    <row r="1377" ht="24" customHeight="1"/>
    <row r="1378" ht="24" customHeight="1"/>
    <row r="1379" ht="24" customHeight="1"/>
    <row r="1380" ht="24" customHeight="1"/>
    <row r="1381" ht="24" customHeight="1"/>
    <row r="1382" ht="24" customHeight="1"/>
    <row r="1383" ht="24" customHeight="1"/>
    <row r="1384" ht="24" customHeight="1"/>
    <row r="1385" ht="24" customHeight="1"/>
    <row r="1386" ht="24" customHeight="1"/>
    <row r="1387" ht="24" customHeight="1"/>
    <row r="1388" ht="24" customHeight="1"/>
    <row r="1389" ht="24" customHeight="1"/>
    <row r="1390" ht="24" customHeight="1"/>
    <row r="1391" ht="24" customHeight="1"/>
    <row r="1392" ht="24" customHeight="1"/>
    <row r="1393" ht="24" customHeight="1"/>
    <row r="1394" ht="24" customHeight="1"/>
    <row r="1395" ht="24" customHeight="1"/>
    <row r="1396" ht="24" customHeight="1"/>
    <row r="1397" ht="24" customHeight="1"/>
    <row r="1398" ht="24" customHeight="1"/>
    <row r="1399" ht="24" customHeight="1"/>
    <row r="1400" ht="24" customHeight="1"/>
    <row r="1401" ht="24" customHeight="1"/>
    <row r="1402" ht="24" customHeight="1"/>
    <row r="1403" ht="24" customHeight="1"/>
    <row r="1404" ht="24" customHeight="1"/>
    <row r="1405" ht="24" customHeight="1"/>
    <row r="1406" ht="24" customHeight="1"/>
    <row r="1407" ht="24" customHeight="1"/>
    <row r="1408" ht="24" customHeight="1"/>
    <row r="1409" ht="24" customHeight="1"/>
    <row r="1410" ht="24" customHeight="1"/>
    <row r="1411" ht="24" customHeight="1"/>
    <row r="1412" ht="24" customHeight="1"/>
    <row r="1413" ht="24" customHeight="1"/>
    <row r="1414" ht="24" customHeight="1"/>
    <row r="1415" ht="24" customHeight="1"/>
    <row r="1416" ht="24" customHeight="1"/>
    <row r="1417" ht="24" customHeight="1"/>
    <row r="1418" ht="24" customHeight="1"/>
    <row r="1419" ht="24" customHeight="1"/>
    <row r="1420" ht="24" customHeight="1"/>
    <row r="1421" ht="24" customHeight="1"/>
    <row r="1422" ht="24" customHeight="1"/>
    <row r="1423" ht="24" customHeight="1"/>
    <row r="1424" ht="24" customHeight="1"/>
    <row r="1425" ht="24" customHeight="1"/>
    <row r="1426" ht="24" customHeight="1"/>
    <row r="1427" ht="24" customHeight="1"/>
    <row r="1428" ht="24" customHeight="1"/>
    <row r="1429" ht="24" customHeight="1"/>
    <row r="1430" ht="24" customHeight="1"/>
    <row r="1431" ht="24" customHeight="1"/>
    <row r="1432" ht="24" customHeight="1"/>
    <row r="1433" ht="24" customHeight="1"/>
    <row r="1434" ht="24" customHeight="1"/>
    <row r="1435" ht="24" customHeight="1"/>
    <row r="1436" ht="24" customHeight="1"/>
    <row r="1437" ht="24" customHeight="1"/>
    <row r="1438" ht="24" customHeight="1"/>
    <row r="1439" ht="24" customHeight="1"/>
    <row r="1440" ht="24" customHeight="1"/>
    <row r="1441" ht="24" customHeight="1"/>
    <row r="1442" ht="24" customHeight="1"/>
    <row r="1443" ht="24" customHeight="1"/>
    <row r="1444" ht="24" customHeight="1"/>
    <row r="1445" ht="24" customHeight="1"/>
    <row r="1446" ht="24" customHeight="1"/>
    <row r="1447" ht="24" customHeight="1"/>
    <row r="1448" ht="24" customHeight="1"/>
    <row r="1449" ht="24" customHeight="1"/>
    <row r="1450" ht="24" customHeight="1"/>
    <row r="1451" ht="24" customHeight="1"/>
    <row r="1452" ht="24" customHeight="1"/>
    <row r="1453" ht="24" customHeight="1"/>
    <row r="1454" ht="24" customHeight="1"/>
    <row r="1455" ht="24" customHeight="1"/>
    <row r="1456" ht="24" customHeight="1"/>
    <row r="1457" ht="24" customHeight="1"/>
    <row r="1458" ht="24" customHeight="1"/>
    <row r="1459" ht="24" customHeight="1"/>
    <row r="1460" ht="24" customHeight="1"/>
    <row r="1461" ht="24" customHeight="1"/>
    <row r="1462" ht="24" customHeight="1"/>
    <row r="1463" ht="24" customHeight="1"/>
    <row r="1464" ht="24" customHeight="1"/>
    <row r="1465" ht="24" customHeight="1"/>
    <row r="1466" ht="24" customHeight="1"/>
    <row r="1467" ht="24" customHeight="1"/>
    <row r="1468" ht="24" customHeight="1"/>
    <row r="1469" ht="24" customHeight="1"/>
    <row r="1470" ht="24" customHeight="1"/>
    <row r="1471" ht="24" customHeight="1"/>
    <row r="1472" ht="24" customHeight="1"/>
    <row r="1473" ht="24" customHeight="1"/>
    <row r="1474" ht="24" customHeight="1"/>
    <row r="1475" ht="24" customHeight="1"/>
    <row r="1476" ht="24" customHeight="1"/>
    <row r="1477" ht="24" customHeight="1"/>
    <row r="1478" ht="24" customHeight="1"/>
    <row r="1479" ht="24" customHeight="1"/>
    <row r="1480" ht="24" customHeight="1"/>
    <row r="1481" ht="24" customHeight="1"/>
    <row r="1482" ht="24" customHeight="1"/>
    <row r="1483" ht="24" customHeight="1"/>
    <row r="1484" ht="24" customHeight="1"/>
    <row r="1485" ht="24" customHeight="1"/>
    <row r="1486" ht="24" customHeight="1"/>
    <row r="1487" ht="24" customHeight="1"/>
    <row r="1488" ht="24" customHeight="1"/>
    <row r="1489" ht="24" customHeight="1"/>
    <row r="1490" ht="24" customHeight="1"/>
    <row r="1491" ht="24" customHeight="1"/>
    <row r="1492" ht="24" customHeight="1"/>
    <row r="1493" ht="24" customHeight="1"/>
    <row r="1494" ht="24" customHeight="1"/>
    <row r="1495" ht="24" customHeight="1"/>
    <row r="1496" ht="24" customHeight="1"/>
    <row r="1497" ht="24" customHeight="1"/>
    <row r="1498" ht="24" customHeight="1"/>
    <row r="1499" ht="24" customHeight="1"/>
    <row r="1500" ht="24" customHeight="1"/>
  </sheetData>
  <sortState ref="A36:H45">
    <sortCondition ref="A36:A45"/>
  </sortState>
  <mergeCells count="78">
    <mergeCell ref="C528:K528"/>
    <mergeCell ref="D473:K473"/>
    <mergeCell ref="D480:K480"/>
    <mergeCell ref="X1138:X1139"/>
    <mergeCell ref="X1158:X1159"/>
    <mergeCell ref="C530:K530"/>
    <mergeCell ref="C532:K532"/>
    <mergeCell ref="X554:AA554"/>
    <mergeCell ref="X1082:AH1082"/>
    <mergeCell ref="X1010:AC1010"/>
    <mergeCell ref="D578:K578"/>
    <mergeCell ref="X721:AD721"/>
    <mergeCell ref="X623:Z623"/>
    <mergeCell ref="F260:K260"/>
    <mergeCell ref="F455:K455"/>
    <mergeCell ref="D472:K472"/>
    <mergeCell ref="F457:K457"/>
    <mergeCell ref="D471:K471"/>
    <mergeCell ref="D352:K352"/>
    <mergeCell ref="A7:K7"/>
    <mergeCell ref="D5:F5"/>
    <mergeCell ref="D48:K48"/>
    <mergeCell ref="D84:K84"/>
    <mergeCell ref="D85:K85"/>
    <mergeCell ref="D83:K83"/>
    <mergeCell ref="Z74:AA74"/>
    <mergeCell ref="X636:AC636"/>
    <mergeCell ref="J1122:J1132"/>
    <mergeCell ref="J1142:J1152"/>
    <mergeCell ref="D761:K761"/>
    <mergeCell ref="D944:K944"/>
    <mergeCell ref="D677:K677"/>
    <mergeCell ref="D675:K675"/>
    <mergeCell ref="D412:K412"/>
    <mergeCell ref="D86:K86"/>
    <mergeCell ref="D481:K481"/>
    <mergeCell ref="D157:K157"/>
    <mergeCell ref="D350:K350"/>
    <mergeCell ref="D351:K351"/>
    <mergeCell ref="D441:K441"/>
    <mergeCell ref="D297:K297"/>
    <mergeCell ref="X1170:X1171"/>
    <mergeCell ref="X1179:X1180"/>
    <mergeCell ref="X1191:X1192"/>
    <mergeCell ref="X1200:X1201"/>
    <mergeCell ref="L3:M3"/>
    <mergeCell ref="X308:AC308"/>
    <mergeCell ref="X326:AC326"/>
    <mergeCell ref="X441:AM441"/>
    <mergeCell ref="Y404:AC404"/>
    <mergeCell ref="A1232:K1232"/>
    <mergeCell ref="G1277:K1277"/>
    <mergeCell ref="G1283:K1283"/>
    <mergeCell ref="G1288:K1288"/>
    <mergeCell ref="D795:K795"/>
    <mergeCell ref="D1075:K1075"/>
    <mergeCell ref="D1053:K1053"/>
    <mergeCell ref="D1030:K1030"/>
    <mergeCell ref="A1204:K1204"/>
    <mergeCell ref="A1183:K1183"/>
    <mergeCell ref="A1162:K1162"/>
    <mergeCell ref="A1120:J1120"/>
    <mergeCell ref="G1292:K1292"/>
    <mergeCell ref="I1211:J1211"/>
    <mergeCell ref="I1217:J1217"/>
    <mergeCell ref="I1219:J1219"/>
    <mergeCell ref="I1223:J1223"/>
    <mergeCell ref="I1247:J1247"/>
    <mergeCell ref="I1253:J1253"/>
    <mergeCell ref="I1258:J1258"/>
    <mergeCell ref="I1225:J1225"/>
    <mergeCell ref="F1238:K1238"/>
    <mergeCell ref="I1224:J1224"/>
    <mergeCell ref="I1215:J1215"/>
    <mergeCell ref="G1272:K1272"/>
    <mergeCell ref="G1266:K1266"/>
    <mergeCell ref="A1246:K1246"/>
    <mergeCell ref="A1265:K1265"/>
  </mergeCells>
  <printOptions horizontalCentered="1"/>
  <pageMargins left="0" right="0" top="0.25" bottom="0.25" header="0" footer="0"/>
  <pageSetup scale="59" fitToHeight="20" orientation="landscape" horizontalDpi="4294967293" r:id="rId1"/>
  <headerFooter alignWithMargins="0"/>
  <rowBreaks count="33" manualBreakCount="33">
    <brk id="67" max="21" man="1"/>
    <brk id="106" max="21" man="1"/>
    <brk id="129" max="21" man="1"/>
    <brk id="147" max="21" man="1"/>
    <brk id="191" max="21" man="1"/>
    <brk id="220" max="21" man="1"/>
    <brk id="253" max="21" man="1"/>
    <brk id="261" max="21" man="1"/>
    <brk id="308" max="21" man="1"/>
    <brk id="326" max="21" man="1"/>
    <brk id="343" max="21" man="1"/>
    <brk id="379" max="21" man="1"/>
    <brk id="395" max="21" man="1"/>
    <brk id="462" max="21" man="1"/>
    <brk id="567" max="21" man="1"/>
    <brk id="661" max="21" man="1"/>
    <brk id="727" max="21" man="1"/>
    <brk id="753" max="21" man="1"/>
    <brk id="787" max="21" man="1"/>
    <brk id="881" max="21" man="1"/>
    <brk id="932" max="21" man="1"/>
    <brk id="1002" max="21" man="1"/>
    <brk id="1026" max="21" man="1"/>
    <brk id="1049" max="21" man="1"/>
    <brk id="1070" max="21" man="1"/>
    <brk id="1095" max="21" man="1"/>
    <brk id="1119" max="21" man="1"/>
    <brk id="1157" max="21" man="1"/>
    <brk id="1161" max="21" man="1"/>
    <brk id="1203" max="21" man="1"/>
    <brk id="1243" max="21" man="1"/>
    <brk id="1245" max="21" man="1"/>
    <brk id="1264"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Budget Summary</vt:lpstr>
      <vt:lpstr>Budget Summary by Category</vt:lpstr>
      <vt:lpstr>Fund Balance History</vt:lpstr>
      <vt:lpstr>Fund Balance Summary</vt:lpstr>
      <vt:lpstr>Gen Fd Cover Sheets</vt:lpstr>
      <vt:lpstr>Veh &amp; Equip Cover Sheet</vt:lpstr>
      <vt:lpstr>Fund Cover Sheets</vt:lpstr>
      <vt:lpstr>Budget Detail FY 2012-19</vt:lpstr>
      <vt:lpstr>'Budget Detail FY 2012-19'!Print_Area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'Veh &amp; Equip Cover Sheet'!Print_Area</vt:lpstr>
      <vt:lpstr>'Budget Detail FY 2012-19'!Print_Titles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dc:description>Powered by Crystal</dc:description>
  <cp:lastModifiedBy>Rob Fredrickson</cp:lastModifiedBy>
  <cp:lastPrinted>2014-04-11T01:12:34Z</cp:lastPrinted>
  <dcterms:created xsi:type="dcterms:W3CDTF">2010-07-13T03:18:21Z</dcterms:created>
  <dcterms:modified xsi:type="dcterms:W3CDTF">2014-04-25T15:46:53Z</dcterms:modified>
</cp:coreProperties>
</file>