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0" windowWidth="15150" windowHeight="7635" tabRatio="955" activeTab="7"/>
  </bookViews>
  <sheets>
    <sheet name="Budget Summary" sheetId="42" r:id="rId1"/>
    <sheet name="Budget Summary by Category" sheetId="43" r:id="rId2"/>
    <sheet name="Fund Balance History" sheetId="45" r:id="rId3"/>
    <sheet name="Fund Balance Summary" sheetId="44" r:id="rId4"/>
    <sheet name="Gen Fd Cover Sheets" sheetId="40" r:id="rId5"/>
    <sheet name="Veh &amp; Equip Cover Sheet" sheetId="51" r:id="rId6"/>
    <sheet name="Fund Cover Sheets" sheetId="39" r:id="rId7"/>
    <sheet name="Budget Detail FY 2016-23" sheetId="36" r:id="rId8"/>
  </sheets>
  <definedNames>
    <definedName name="_xlnm.Print_Area" localSheetId="7">'Budget Detail FY 2016-23'!$A$4:$T$1242</definedName>
    <definedName name="_xlnm.Print_Area" localSheetId="0">'Budget Summary'!$A$1:$K$35,'Budget Summary'!$A$38:$K$72</definedName>
    <definedName name="_xlnm.Print_Area" localSheetId="1">'Budget Summary by Category'!$A$1:$M$36,'Budget Summary by Category'!$A$39:$K$74</definedName>
    <definedName name="_xlnm.Print_Area" localSheetId="2">'Fund Balance History'!$A$1:$K$48</definedName>
    <definedName name="_xlnm.Print_Area" localSheetId="3">'Fund Balance Summary'!$A$1:$L$37</definedName>
    <definedName name="_xlnm.Print_Area" localSheetId="6">'Fund Cover Sheets'!$A$1:$K$829</definedName>
    <definedName name="_xlnm.Print_Area" localSheetId="4">'Gen Fd Cover Sheets'!$A$1:$K$184</definedName>
    <definedName name="_xlnm.Print_Area" localSheetId="5">'Veh &amp; Equip Cover Sheet'!$A$1:$K$68</definedName>
    <definedName name="_xlnm.Print_Titles" localSheetId="7">'Budget Detail FY 2016-23'!$3:$6</definedName>
  </definedNames>
  <calcPr calcId="125725"/>
</workbook>
</file>

<file path=xl/calcChain.xml><?xml version="1.0" encoding="utf-8"?>
<calcChain xmlns="http://schemas.openxmlformats.org/spreadsheetml/2006/main">
  <c r="T133" i="36"/>
  <c r="S133"/>
  <c r="R133"/>
  <c r="S342"/>
  <c r="R342"/>
  <c r="T803"/>
  <c r="S803"/>
  <c r="R803"/>
  <c r="Q803"/>
  <c r="P803"/>
  <c r="Q209"/>
  <c r="R389" s="1"/>
  <c r="P381" l="1"/>
  <c r="P719"/>
  <c r="P622"/>
  <c r="P417"/>
  <c r="S221" l="1"/>
  <c r="Q270"/>
  <c r="R270"/>
  <c r="S270"/>
  <c r="T270"/>
  <c r="P270"/>
  <c r="P347"/>
  <c r="T252" l="1"/>
  <c r="S252"/>
  <c r="R252"/>
  <c r="Q252"/>
  <c r="P252"/>
  <c r="O836" l="1"/>
  <c r="S674" l="1"/>
  <c r="R674"/>
  <c r="Q674"/>
  <c r="P674"/>
  <c r="R411"/>
  <c r="Q411"/>
  <c r="P411"/>
  <c r="D420" i="39" l="1"/>
  <c r="E420"/>
  <c r="F420"/>
  <c r="G420"/>
  <c r="H420"/>
  <c r="I420"/>
  <c r="J420"/>
  <c r="K420"/>
  <c r="C420"/>
  <c r="D375"/>
  <c r="E375"/>
  <c r="F375"/>
  <c r="C375"/>
  <c r="D178"/>
  <c r="E178"/>
  <c r="F178"/>
  <c r="C178"/>
  <c r="D177"/>
  <c r="C177"/>
  <c r="D181"/>
  <c r="E181"/>
  <c r="C181"/>
  <c r="O567" i="36"/>
  <c r="Q757" l="1"/>
  <c r="P750"/>
  <c r="O902" l="1"/>
  <c r="T491" l="1"/>
  <c r="R221"/>
  <c r="Q221"/>
  <c r="Q250"/>
  <c r="R250" s="1"/>
  <c r="S250" s="1"/>
  <c r="T250" s="1"/>
  <c r="T674" l="1"/>
  <c r="R972" l="1"/>
  <c r="S972" s="1"/>
  <c r="Q972"/>
  <c r="R668"/>
  <c r="S668"/>
  <c r="T668"/>
  <c r="Q668"/>
  <c r="P668"/>
  <c r="R558"/>
  <c r="S558"/>
  <c r="T558"/>
  <c r="Q558"/>
  <c r="P558"/>
  <c r="R669"/>
  <c r="S669"/>
  <c r="T669"/>
  <c r="Q669"/>
  <c r="P669"/>
  <c r="R556"/>
  <c r="S556"/>
  <c r="T556"/>
  <c r="Q556"/>
  <c r="P556"/>
  <c r="R452"/>
  <c r="S452"/>
  <c r="T452"/>
  <c r="Q452"/>
  <c r="P452"/>
  <c r="R451"/>
  <c r="S451"/>
  <c r="T451"/>
  <c r="Q451"/>
  <c r="P451"/>
  <c r="R450"/>
  <c r="S450"/>
  <c r="T450"/>
  <c r="Q450"/>
  <c r="P450"/>
  <c r="R448"/>
  <c r="S448"/>
  <c r="T448"/>
  <c r="Q448"/>
  <c r="P448"/>
  <c r="T362"/>
  <c r="S362"/>
  <c r="R362"/>
  <c r="Q362"/>
  <c r="P362"/>
  <c r="P253"/>
  <c r="R949" l="1"/>
  <c r="S949"/>
  <c r="T949"/>
  <c r="Q949"/>
  <c r="P949"/>
  <c r="T459"/>
  <c r="T135" s="1"/>
  <c r="S459"/>
  <c r="S135" s="1"/>
  <c r="R459"/>
  <c r="R135" s="1"/>
  <c r="Q459"/>
  <c r="P459"/>
  <c r="O558" l="1"/>
  <c r="Q388" l="1"/>
  <c r="H177" i="39" s="1"/>
  <c r="P388" i="36"/>
  <c r="G177" i="39" s="1"/>
  <c r="T404" i="36" l="1"/>
  <c r="T533" l="1"/>
  <c r="S533"/>
  <c r="R533"/>
  <c r="Q533"/>
  <c r="P533"/>
  <c r="P751" l="1"/>
  <c r="O490" l="1"/>
  <c r="O264"/>
  <c r="P264" s="1"/>
  <c r="Q264" s="1"/>
  <c r="R264" s="1"/>
  <c r="S264" s="1"/>
  <c r="T264" s="1"/>
  <c r="P41" l="1"/>
  <c r="P12"/>
  <c r="P11"/>
  <c r="Q11" l="1"/>
  <c r="Q12"/>
  <c r="N856"/>
  <c r="M856"/>
  <c r="L856"/>
  <c r="M828"/>
  <c r="L828"/>
  <c r="O866"/>
  <c r="O533"/>
  <c r="O272" s="1"/>
  <c r="O312"/>
  <c r="R11" l="1"/>
  <c r="R12"/>
  <c r="Q372"/>
  <c r="R372"/>
  <c r="S372"/>
  <c r="T372"/>
  <c r="O372"/>
  <c r="P415"/>
  <c r="P372" s="1"/>
  <c r="S11" l="1"/>
  <c r="S12"/>
  <c r="P805"/>
  <c r="O856"/>
  <c r="O863"/>
  <c r="O843"/>
  <c r="O461"/>
  <c r="O819" s="1"/>
  <c r="O813"/>
  <c r="T11" l="1"/>
  <c r="T12"/>
  <c r="D452" i="39"/>
  <c r="D797" s="1"/>
  <c r="E452"/>
  <c r="E797" s="1"/>
  <c r="F452"/>
  <c r="F797" s="1"/>
  <c r="G452"/>
  <c r="H452"/>
  <c r="H797" s="1"/>
  <c r="I452"/>
  <c r="I797" s="1"/>
  <c r="J452"/>
  <c r="J797" s="1"/>
  <c r="K452"/>
  <c r="K797" s="1"/>
  <c r="C452"/>
  <c r="C797" s="1"/>
  <c r="M805" i="36"/>
  <c r="N805"/>
  <c r="O805"/>
  <c r="Q805"/>
  <c r="R805"/>
  <c r="S805"/>
  <c r="T805"/>
  <c r="L805"/>
  <c r="D14" i="43" l="1"/>
  <c r="G797" i="39"/>
  <c r="O578" i="36"/>
  <c r="O460" l="1"/>
  <c r="O459"/>
  <c r="O388" l="1"/>
  <c r="O380" l="1"/>
  <c r="Q342"/>
  <c r="O262" l="1"/>
  <c r="O242"/>
  <c r="O230"/>
  <c r="P230" s="1"/>
  <c r="Q230" s="1"/>
  <c r="R230" s="1"/>
  <c r="S230" s="1"/>
  <c r="O196" l="1"/>
  <c r="O167"/>
  <c r="O130" l="1"/>
  <c r="O129"/>
  <c r="O128"/>
  <c r="O127"/>
  <c r="O99"/>
  <c r="O72"/>
  <c r="O71"/>
  <c r="O69" l="1"/>
  <c r="O252" l="1"/>
  <c r="O906" l="1"/>
  <c r="O687"/>
  <c r="O582"/>
  <c r="O240"/>
  <c r="O324"/>
  <c r="K50" i="51"/>
  <c r="J50"/>
  <c r="I50"/>
  <c r="H50"/>
  <c r="G50"/>
  <c r="F50"/>
  <c r="E50"/>
  <c r="C50"/>
  <c r="D28"/>
  <c r="E28"/>
  <c r="F28"/>
  <c r="G28"/>
  <c r="H28"/>
  <c r="I28"/>
  <c r="J28"/>
  <c r="K28"/>
  <c r="C28"/>
  <c r="D251" i="39"/>
  <c r="E251"/>
  <c r="F251"/>
  <c r="C251"/>
  <c r="D229"/>
  <c r="E229"/>
  <c r="F229"/>
  <c r="G229"/>
  <c r="H229"/>
  <c r="I229"/>
  <c r="J229"/>
  <c r="K229"/>
  <c r="C229"/>
  <c r="D179"/>
  <c r="C179"/>
  <c r="T429" i="36"/>
  <c r="P1014" l="1"/>
  <c r="O599" l="1"/>
  <c r="J179" i="39" l="1"/>
  <c r="O245" i="36" l="1"/>
  <c r="P245" s="1"/>
  <c r="Q245" s="1"/>
  <c r="R245" s="1"/>
  <c r="Q409"/>
  <c r="R409"/>
  <c r="P409"/>
  <c r="O409"/>
  <c r="F179" i="39" l="1"/>
  <c r="P368" i="36"/>
  <c r="Q1014"/>
  <c r="P1004"/>
  <c r="G620" i="39" s="1"/>
  <c r="D17" i="43" s="1"/>
  <c r="Q1016" i="36"/>
  <c r="P1016"/>
  <c r="D620" i="39"/>
  <c r="E620"/>
  <c r="F620"/>
  <c r="I620"/>
  <c r="J620"/>
  <c r="K620"/>
  <c r="C620"/>
  <c r="Q1004" i="36"/>
  <c r="H620" i="39" s="1"/>
  <c r="P1220" i="36"/>
  <c r="O1220"/>
  <c r="P1008" l="1"/>
  <c r="P78" l="1"/>
  <c r="P725"/>
  <c r="G179" i="39" l="1"/>
  <c r="T230" i="36" l="1"/>
  <c r="O229"/>
  <c r="P229" s="1"/>
  <c r="Q229" l="1"/>
  <c r="R229" s="1"/>
  <c r="S229" s="1"/>
  <c r="T229" s="1"/>
  <c r="Q827" l="1"/>
  <c r="R827"/>
  <c r="S827"/>
  <c r="T827"/>
  <c r="P827"/>
  <c r="Q707"/>
  <c r="R707"/>
  <c r="S707"/>
  <c r="T707"/>
  <c r="P707"/>
  <c r="Q609"/>
  <c r="R609"/>
  <c r="S609"/>
  <c r="T609"/>
  <c r="P609" l="1"/>
  <c r="Q214"/>
  <c r="R214"/>
  <c r="S214"/>
  <c r="T214"/>
  <c r="P214"/>
  <c r="P666"/>
  <c r="P323" l="1"/>
  <c r="P27"/>
  <c r="O27"/>
  <c r="P26"/>
  <c r="O26"/>
  <c r="P553" l="1"/>
  <c r="K179" i="39" l="1"/>
  <c r="O148" i="36" l="1"/>
  <c r="O652" l="1"/>
  <c r="O907" l="1"/>
  <c r="O894" s="1"/>
  <c r="O688"/>
  <c r="O583"/>
  <c r="O241"/>
  <c r="O323" l="1"/>
  <c r="O355" l="1"/>
  <c r="I179" i="39" l="1"/>
  <c r="Q1010" i="36" l="1"/>
  <c r="R1010" s="1"/>
  <c r="S1010" s="1"/>
  <c r="T1010" s="1"/>
  <c r="Q979"/>
  <c r="R979" s="1"/>
  <c r="S979" s="1"/>
  <c r="T979" s="1"/>
  <c r="Q689"/>
  <c r="R689" s="1"/>
  <c r="S689" s="1"/>
  <c r="T689" s="1"/>
  <c r="Q584"/>
  <c r="R584" s="1"/>
  <c r="S584" s="1"/>
  <c r="T584" s="1"/>
  <c r="D172" i="39" l="1"/>
  <c r="E172"/>
  <c r="F172"/>
  <c r="G172"/>
  <c r="J26" i="43" s="1"/>
  <c r="H172" i="39"/>
  <c r="I172"/>
  <c r="J172"/>
  <c r="K172"/>
  <c r="C172"/>
  <c r="Q390" i="36"/>
  <c r="H178" i="39" s="1"/>
  <c r="R390" i="36"/>
  <c r="I178" i="39" s="1"/>
  <c r="S390" i="36"/>
  <c r="J178" i="39" s="1"/>
  <c r="T390" i="36"/>
  <c r="K178" i="39" s="1"/>
  <c r="P390" i="36"/>
  <c r="G178" i="39" s="1"/>
  <c r="O859" i="36" l="1"/>
  <c r="Q555" l="1"/>
  <c r="R555" s="1"/>
  <c r="S555" s="1"/>
  <c r="T555" s="1"/>
  <c r="S245"/>
  <c r="T245" s="1"/>
  <c r="O45"/>
  <c r="O247" l="1"/>
  <c r="S305" l="1"/>
  <c r="T305" s="1"/>
  <c r="P305"/>
  <c r="Q305" s="1"/>
  <c r="P710"/>
  <c r="Q41" l="1"/>
  <c r="P10"/>
  <c r="P9"/>
  <c r="R41" l="1"/>
  <c r="T181"/>
  <c r="S181"/>
  <c r="R181"/>
  <c r="Q181"/>
  <c r="P181"/>
  <c r="O181"/>
  <c r="N181"/>
  <c r="L181"/>
  <c r="S41" l="1"/>
  <c r="T41" l="1"/>
  <c r="O437"/>
  <c r="P620" l="1"/>
  <c r="S628" l="1"/>
  <c r="R628"/>
  <c r="Q628"/>
  <c r="R294" l="1"/>
  <c r="Q294"/>
  <c r="Q27" l="1"/>
  <c r="R27" l="1"/>
  <c r="Q323"/>
  <c r="R323" s="1"/>
  <c r="S323" s="1"/>
  <c r="T323" s="1"/>
  <c r="Q26"/>
  <c r="S27" l="1"/>
  <c r="R26"/>
  <c r="T972"/>
  <c r="T27" l="1"/>
  <c r="S26"/>
  <c r="D365" i="39"/>
  <c r="E365"/>
  <c r="F365"/>
  <c r="G365"/>
  <c r="H365"/>
  <c r="I365"/>
  <c r="J365"/>
  <c r="K365"/>
  <c r="C365"/>
  <c r="D164" i="40"/>
  <c r="E164"/>
  <c r="F164"/>
  <c r="C164"/>
  <c r="T26" i="36" l="1"/>
  <c r="N188" l="1"/>
  <c r="O114"/>
  <c r="O188"/>
  <c r="O44"/>
  <c r="P16"/>
  <c r="Q16"/>
  <c r="R16"/>
  <c r="S16"/>
  <c r="T16"/>
  <c r="O16"/>
  <c r="O265"/>
  <c r="M462" l="1"/>
  <c r="N462"/>
  <c r="O462"/>
  <c r="P462"/>
  <c r="Q462"/>
  <c r="Q482" s="1"/>
  <c r="R462"/>
  <c r="S462"/>
  <c r="S482" s="1"/>
  <c r="T462"/>
  <c r="T482" s="1"/>
  <c r="L462"/>
  <c r="S484" l="1"/>
  <c r="J27" i="51"/>
  <c r="J29" s="1"/>
  <c r="J228" i="39"/>
  <c r="J230" s="1"/>
  <c r="T484" i="36"/>
  <c r="K27" i="51"/>
  <c r="K29" s="1"/>
  <c r="K228" i="39"/>
  <c r="K230" s="1"/>
  <c r="Q484" i="36"/>
  <c r="H27" i="51"/>
  <c r="H29" s="1"/>
  <c r="H228" i="39"/>
  <c r="H230" s="1"/>
  <c r="P482" i="36"/>
  <c r="O482"/>
  <c r="D15" i="51"/>
  <c r="D216" i="39"/>
  <c r="R482" i="36"/>
  <c r="N482"/>
  <c r="C15" i="51"/>
  <c r="C216" i="39"/>
  <c r="L482" i="36"/>
  <c r="M482"/>
  <c r="Q666"/>
  <c r="R666" s="1"/>
  <c r="L484" l="1"/>
  <c r="C27" i="51"/>
  <c r="C29" s="1"/>
  <c r="C228" i="39"/>
  <c r="C230" s="1"/>
  <c r="N484" i="36"/>
  <c r="E27" i="51"/>
  <c r="E29" s="1"/>
  <c r="E228" i="39"/>
  <c r="E230" s="1"/>
  <c r="M484" i="36"/>
  <c r="D27" i="51"/>
  <c r="D29" s="1"/>
  <c r="D228" i="39"/>
  <c r="D230" s="1"/>
  <c r="P484" i="36"/>
  <c r="G27" i="51"/>
  <c r="G29" s="1"/>
  <c r="G228" i="39"/>
  <c r="G230" s="1"/>
  <c r="R484" i="36"/>
  <c r="I27" i="51"/>
  <c r="I29" s="1"/>
  <c r="I228" i="39"/>
  <c r="I230" s="1"/>
  <c r="O484" i="36"/>
  <c r="F27" i="51"/>
  <c r="F29" s="1"/>
  <c r="F228" i="39"/>
  <c r="F230" s="1"/>
  <c r="P517" i="36"/>
  <c r="D283" i="39"/>
  <c r="F283"/>
  <c r="C283"/>
  <c r="Q517" i="36" l="1"/>
  <c r="G251" i="39"/>
  <c r="J283"/>
  <c r="G283"/>
  <c r="H283"/>
  <c r="I283"/>
  <c r="K283"/>
  <c r="R517" i="36" l="1"/>
  <c r="H251" i="39"/>
  <c r="L937" i="36"/>
  <c r="L944" s="1"/>
  <c r="Q253"/>
  <c r="R253" s="1"/>
  <c r="S253" s="1"/>
  <c r="T253" s="1"/>
  <c r="S517" l="1"/>
  <c r="I251" i="39"/>
  <c r="L942" i="36"/>
  <c r="P859"/>
  <c r="Q859" s="1"/>
  <c r="R859" s="1"/>
  <c r="S859" s="1"/>
  <c r="T859" s="1"/>
  <c r="O825"/>
  <c r="P825" s="1"/>
  <c r="Q825" s="1"/>
  <c r="R825" s="1"/>
  <c r="S825" s="1"/>
  <c r="T825" s="1"/>
  <c r="O212"/>
  <c r="P212" s="1"/>
  <c r="Q212" s="1"/>
  <c r="R212" s="1"/>
  <c r="S212" s="1"/>
  <c r="T212" s="1"/>
  <c r="O702"/>
  <c r="P702" s="1"/>
  <c r="Q702" s="1"/>
  <c r="R702" s="1"/>
  <c r="S702" s="1"/>
  <c r="T702" s="1"/>
  <c r="O604"/>
  <c r="O149"/>
  <c r="P149" s="1"/>
  <c r="Q149" s="1"/>
  <c r="R149" s="1"/>
  <c r="S149" s="1"/>
  <c r="T149" s="1"/>
  <c r="O91"/>
  <c r="P91" s="1"/>
  <c r="Q91" s="1"/>
  <c r="R91" s="1"/>
  <c r="S91" s="1"/>
  <c r="T91" s="1"/>
  <c r="T517" l="1"/>
  <c r="J251" i="39"/>
  <c r="P604" i="36"/>
  <c r="Q604" s="1"/>
  <c r="R604" s="1"/>
  <c r="S604" s="1"/>
  <c r="T604" s="1"/>
  <c r="H179" i="39" l="1"/>
  <c r="K251"/>
  <c r="T715" i="36"/>
  <c r="S715"/>
  <c r="R715"/>
  <c r="Q715"/>
  <c r="P715"/>
  <c r="T224"/>
  <c r="S224"/>
  <c r="R224"/>
  <c r="Q224"/>
  <c r="P224"/>
  <c r="Q617"/>
  <c r="R617"/>
  <c r="S617"/>
  <c r="T617"/>
  <c r="P617"/>
  <c r="T700"/>
  <c r="S700"/>
  <c r="R700"/>
  <c r="Q700"/>
  <c r="P700"/>
  <c r="T210"/>
  <c r="S210"/>
  <c r="R210"/>
  <c r="Q210"/>
  <c r="P210"/>
  <c r="Q602"/>
  <c r="R602"/>
  <c r="S602"/>
  <c r="T602"/>
  <c r="P602"/>
  <c r="Q615"/>
  <c r="R615"/>
  <c r="S615"/>
  <c r="T615"/>
  <c r="P615"/>
  <c r="L1072"/>
  <c r="N1072"/>
  <c r="M1072"/>
  <c r="Q173"/>
  <c r="R173"/>
  <c r="S173"/>
  <c r="T173"/>
  <c r="P173"/>
  <c r="Q311"/>
  <c r="R311" s="1"/>
  <c r="S311" s="1"/>
  <c r="T311" s="1"/>
  <c r="P311"/>
  <c r="O311"/>
  <c r="Q293"/>
  <c r="R293" s="1"/>
  <c r="S293" s="1"/>
  <c r="T293" s="1"/>
  <c r="P293"/>
  <c r="O293"/>
  <c r="D19" i="45"/>
  <c r="E19"/>
  <c r="C19"/>
  <c r="D664" i="39"/>
  <c r="E664"/>
  <c r="F664"/>
  <c r="G664"/>
  <c r="G56" i="43" s="1"/>
  <c r="H664" i="39"/>
  <c r="I664"/>
  <c r="J664"/>
  <c r="K664"/>
  <c r="C664"/>
  <c r="D663"/>
  <c r="E663"/>
  <c r="F663"/>
  <c r="G663"/>
  <c r="E56" i="43" s="1"/>
  <c r="H663" i="39"/>
  <c r="I663"/>
  <c r="J663"/>
  <c r="K663"/>
  <c r="C663"/>
  <c r="D659"/>
  <c r="E659"/>
  <c r="F659"/>
  <c r="G659"/>
  <c r="H18" i="43" s="1"/>
  <c r="H659" i="39"/>
  <c r="I659"/>
  <c r="J659"/>
  <c r="K659"/>
  <c r="C659"/>
  <c r="D658"/>
  <c r="E658"/>
  <c r="F658"/>
  <c r="G658"/>
  <c r="C18" i="43" s="1"/>
  <c r="H658" i="39"/>
  <c r="I658"/>
  <c r="J658"/>
  <c r="K658"/>
  <c r="C658"/>
  <c r="M1079" i="36"/>
  <c r="N1079"/>
  <c r="L1079"/>
  <c r="O1042"/>
  <c r="N1042"/>
  <c r="M1042"/>
  <c r="L1042"/>
  <c r="T1035"/>
  <c r="S1035"/>
  <c r="R1035"/>
  <c r="Q1035"/>
  <c r="P1035"/>
  <c r="O1035"/>
  <c r="N1035"/>
  <c r="M1035"/>
  <c r="L1035"/>
  <c r="Q171"/>
  <c r="R171"/>
  <c r="S171"/>
  <c r="T171"/>
  <c r="P171"/>
  <c r="M18" i="43" l="1"/>
  <c r="F665" i="39"/>
  <c r="F54" i="42" s="1"/>
  <c r="G660" i="39"/>
  <c r="G17" i="42" s="1"/>
  <c r="K665" i="39"/>
  <c r="K54" i="42" s="1"/>
  <c r="K56" i="43"/>
  <c r="C665" i="39"/>
  <c r="C54" i="42" s="1"/>
  <c r="E660" i="39"/>
  <c r="E17" i="42" s="1"/>
  <c r="J665" i="39"/>
  <c r="J54" i="42" s="1"/>
  <c r="G665" i="39"/>
  <c r="F660"/>
  <c r="J660"/>
  <c r="J17" i="42" s="1"/>
  <c r="I660" i="39"/>
  <c r="D665"/>
  <c r="H660"/>
  <c r="H17" i="42" s="1"/>
  <c r="D660" i="39"/>
  <c r="C660"/>
  <c r="E665"/>
  <c r="I665"/>
  <c r="H665"/>
  <c r="K660"/>
  <c r="L1044" i="36"/>
  <c r="Q1042"/>
  <c r="S1042"/>
  <c r="O1044"/>
  <c r="N1044"/>
  <c r="M1044"/>
  <c r="P1042"/>
  <c r="T632"/>
  <c r="S632"/>
  <c r="T631"/>
  <c r="S631"/>
  <c r="T986"/>
  <c r="T985"/>
  <c r="T567" l="1"/>
  <c r="S567"/>
  <c r="S389"/>
  <c r="I177" i="39"/>
  <c r="P1044" i="36"/>
  <c r="S1044"/>
  <c r="O1046"/>
  <c r="O1062"/>
  <c r="N1062"/>
  <c r="L1062"/>
  <c r="M1062"/>
  <c r="Q1044"/>
  <c r="F16" i="44"/>
  <c r="J667" i="39"/>
  <c r="G667"/>
  <c r="E54" i="42"/>
  <c r="D54"/>
  <c r="I54"/>
  <c r="H54"/>
  <c r="D17"/>
  <c r="K667" i="39"/>
  <c r="K17" i="42"/>
  <c r="C17"/>
  <c r="I17"/>
  <c r="G54"/>
  <c r="H16" i="44"/>
  <c r="F667" i="39"/>
  <c r="F669" s="1"/>
  <c r="F17" i="42"/>
  <c r="I667" i="39"/>
  <c r="D667"/>
  <c r="C667"/>
  <c r="H667"/>
  <c r="E667"/>
  <c r="R1042" i="36"/>
  <c r="T1042"/>
  <c r="S986"/>
  <c r="S985"/>
  <c r="T389" l="1"/>
  <c r="K177" i="39" s="1"/>
  <c r="J177"/>
  <c r="P1046" i="36"/>
  <c r="J16" i="44"/>
  <c r="O1079" i="36"/>
  <c r="P1062"/>
  <c r="R1044"/>
  <c r="Q1062"/>
  <c r="T1044"/>
  <c r="S1062"/>
  <c r="F19" i="45"/>
  <c r="D16" i="44"/>
  <c r="G669" i="39"/>
  <c r="G19" i="45" s="1"/>
  <c r="D330" i="39"/>
  <c r="P882" i="36"/>
  <c r="P738"/>
  <c r="Q1046" l="1"/>
  <c r="R1046" s="1"/>
  <c r="R1079" s="1"/>
  <c r="P1079"/>
  <c r="L16" i="44"/>
  <c r="T1062" i="36"/>
  <c r="R1062"/>
  <c r="H669" i="39"/>
  <c r="H19" i="45" s="1"/>
  <c r="Q1079" i="36" l="1"/>
  <c r="S1046"/>
  <c r="I669" i="39"/>
  <c r="I19" i="45" s="1"/>
  <c r="S1079" i="36" l="1"/>
  <c r="T1046"/>
  <c r="T1079" s="1"/>
  <c r="J669" i="39"/>
  <c r="J19" i="45" s="1"/>
  <c r="O394" i="36"/>
  <c r="F181" i="39" s="1"/>
  <c r="T1019" i="36"/>
  <c r="T724"/>
  <c r="K375" i="39" s="1"/>
  <c r="T627" i="36"/>
  <c r="K330" i="39" s="1"/>
  <c r="T344" i="36"/>
  <c r="P158"/>
  <c r="Q158" s="1"/>
  <c r="R158" s="1"/>
  <c r="S158" s="1"/>
  <c r="T158" s="1"/>
  <c r="S104"/>
  <c r="R104"/>
  <c r="Q104"/>
  <c r="P104"/>
  <c r="O54" l="1"/>
  <c r="K669" i="39"/>
  <c r="K19" i="45" l="1"/>
  <c r="Q10" i="36" l="1"/>
  <c r="D39" i="51" l="1"/>
  <c r="E39"/>
  <c r="F39"/>
  <c r="G39"/>
  <c r="H39"/>
  <c r="I39"/>
  <c r="J39"/>
  <c r="K39"/>
  <c r="C39"/>
  <c r="D588" i="39"/>
  <c r="E588"/>
  <c r="J588"/>
  <c r="K588"/>
  <c r="C588"/>
  <c r="D509"/>
  <c r="D764" s="1"/>
  <c r="E509"/>
  <c r="E764" s="1"/>
  <c r="F509"/>
  <c r="F764" s="1"/>
  <c r="G509"/>
  <c r="G764" s="1"/>
  <c r="H509"/>
  <c r="H764" s="1"/>
  <c r="I509"/>
  <c r="I764" s="1"/>
  <c r="J509"/>
  <c r="J764" s="1"/>
  <c r="K509"/>
  <c r="K764" s="1"/>
  <c r="C509"/>
  <c r="C764" s="1"/>
  <c r="D494"/>
  <c r="D748" s="1"/>
  <c r="E494"/>
  <c r="E748" s="1"/>
  <c r="F494"/>
  <c r="F748" s="1"/>
  <c r="G494"/>
  <c r="G748" s="1"/>
  <c r="C494"/>
  <c r="C748" s="1"/>
  <c r="E498"/>
  <c r="F498"/>
  <c r="H498"/>
  <c r="I498"/>
  <c r="J498"/>
  <c r="K498"/>
  <c r="D412"/>
  <c r="E412"/>
  <c r="F412"/>
  <c r="G412"/>
  <c r="H412"/>
  <c r="I412"/>
  <c r="J412"/>
  <c r="K412"/>
  <c r="C412"/>
  <c r="D367"/>
  <c r="E367"/>
  <c r="C367"/>
  <c r="D319"/>
  <c r="E319"/>
  <c r="F319"/>
  <c r="G319"/>
  <c r="H319"/>
  <c r="I319"/>
  <c r="J319"/>
  <c r="K319"/>
  <c r="C319"/>
  <c r="D287"/>
  <c r="E287"/>
  <c r="F287"/>
  <c r="G287"/>
  <c r="H287"/>
  <c r="I287"/>
  <c r="J287"/>
  <c r="K287"/>
  <c r="C287"/>
  <c r="D240"/>
  <c r="E240"/>
  <c r="F240"/>
  <c r="G240"/>
  <c r="H240"/>
  <c r="I240"/>
  <c r="J240"/>
  <c r="K240"/>
  <c r="C240"/>
  <c r="D170"/>
  <c r="E170"/>
  <c r="F170"/>
  <c r="G170"/>
  <c r="H170"/>
  <c r="I170"/>
  <c r="J170"/>
  <c r="K170"/>
  <c r="C170"/>
  <c r="D129"/>
  <c r="E129"/>
  <c r="F129"/>
  <c r="G129"/>
  <c r="H129"/>
  <c r="I129"/>
  <c r="J129"/>
  <c r="K129"/>
  <c r="C129"/>
  <c r="D16"/>
  <c r="E16"/>
  <c r="F16"/>
  <c r="G16"/>
  <c r="H16"/>
  <c r="I16"/>
  <c r="J16"/>
  <c r="K16"/>
  <c r="C16"/>
  <c r="M1163" i="36"/>
  <c r="M1162"/>
  <c r="L1163"/>
  <c r="L1162"/>
  <c r="T1138"/>
  <c r="S1138"/>
  <c r="R1138"/>
  <c r="Q1138"/>
  <c r="P1138"/>
  <c r="O1138"/>
  <c r="N1138"/>
  <c r="M1138"/>
  <c r="L1138"/>
  <c r="L1139" s="1"/>
  <c r="S1019"/>
  <c r="R1019"/>
  <c r="Q1019"/>
  <c r="P1019"/>
  <c r="R986"/>
  <c r="Q986"/>
  <c r="P986"/>
  <c r="R985"/>
  <c r="Q985"/>
  <c r="P985"/>
  <c r="F588" i="39"/>
  <c r="Q882" i="36"/>
  <c r="R882"/>
  <c r="S882"/>
  <c r="T882"/>
  <c r="M889"/>
  <c r="L889"/>
  <c r="P918"/>
  <c r="Q918" s="1"/>
  <c r="R918" s="1"/>
  <c r="S918" s="1"/>
  <c r="T918" s="1"/>
  <c r="P907"/>
  <c r="Q881"/>
  <c r="R881" s="1"/>
  <c r="S881" s="1"/>
  <c r="T881" s="1"/>
  <c r="S888"/>
  <c r="R888"/>
  <c r="Q888"/>
  <c r="P888"/>
  <c r="O888"/>
  <c r="N888"/>
  <c r="P868"/>
  <c r="Q868" s="1"/>
  <c r="R868" s="1"/>
  <c r="S868" s="1"/>
  <c r="T868" s="1"/>
  <c r="N859"/>
  <c r="O849"/>
  <c r="N825"/>
  <c r="T738"/>
  <c r="P716"/>
  <c r="Q716" s="1"/>
  <c r="R716" s="1"/>
  <c r="S716" s="1"/>
  <c r="T716" s="1"/>
  <c r="P688"/>
  <c r="Q688" s="1"/>
  <c r="R688" s="1"/>
  <c r="S688" s="1"/>
  <c r="T688" s="1"/>
  <c r="O697"/>
  <c r="O690"/>
  <c r="N690"/>
  <c r="J367" i="39"/>
  <c r="I367"/>
  <c r="H367"/>
  <c r="G367"/>
  <c r="S666" i="36"/>
  <c r="O674"/>
  <c r="O273" s="1"/>
  <c r="Q624"/>
  <c r="P618"/>
  <c r="Q618" s="1"/>
  <c r="R618" s="1"/>
  <c r="S618" s="1"/>
  <c r="T618" s="1"/>
  <c r="P614"/>
  <c r="Q614" s="1"/>
  <c r="R614" s="1"/>
  <c r="S614" s="1"/>
  <c r="T614" s="1"/>
  <c r="P601"/>
  <c r="Q601" s="1"/>
  <c r="R601" s="1"/>
  <c r="S601" s="1"/>
  <c r="T601" s="1"/>
  <c r="P583"/>
  <c r="R632"/>
  <c r="Q632"/>
  <c r="P632"/>
  <c r="R631"/>
  <c r="Q631"/>
  <c r="P631"/>
  <c r="N652"/>
  <c r="O738"/>
  <c r="O568" s="1"/>
  <c r="N629"/>
  <c r="N625"/>
  <c r="N606"/>
  <c r="O586"/>
  <c r="N574"/>
  <c r="Q561"/>
  <c r="R561" s="1"/>
  <c r="S561" s="1"/>
  <c r="Q553"/>
  <c r="R553" s="1"/>
  <c r="S553" s="1"/>
  <c r="Q542"/>
  <c r="P542"/>
  <c r="N533"/>
  <c r="E283" i="39" s="1"/>
  <c r="P567" i="36" l="1"/>
  <c r="P437" s="1"/>
  <c r="R567"/>
  <c r="R437" s="1"/>
  <c r="Q567"/>
  <c r="Q437" s="1"/>
  <c r="Q907"/>
  <c r="R907" s="1"/>
  <c r="S907" s="1"/>
  <c r="T907" s="1"/>
  <c r="Q583"/>
  <c r="R583" s="1"/>
  <c r="S583" s="1"/>
  <c r="T583" s="1"/>
  <c r="D498" i="39"/>
  <c r="C498"/>
  <c r="L896" i="36"/>
  <c r="L939" s="1"/>
  <c r="I588" i="39"/>
  <c r="H588"/>
  <c r="F330"/>
  <c r="H494"/>
  <c r="H748" s="1"/>
  <c r="I494"/>
  <c r="I748" s="1"/>
  <c r="G588"/>
  <c r="P44" i="36"/>
  <c r="E330" i="39"/>
  <c r="F367"/>
  <c r="J494"/>
  <c r="J748" s="1"/>
  <c r="I71" i="43"/>
  <c r="T508" i="36"/>
  <c r="T507"/>
  <c r="S508"/>
  <c r="R508"/>
  <c r="Q508"/>
  <c r="P508"/>
  <c r="S507"/>
  <c r="R507"/>
  <c r="Q507"/>
  <c r="P507"/>
  <c r="O508"/>
  <c r="O507"/>
  <c r="N502"/>
  <c r="T495"/>
  <c r="T494"/>
  <c r="S495"/>
  <c r="R495"/>
  <c r="Q495"/>
  <c r="P495"/>
  <c r="S494"/>
  <c r="R494"/>
  <c r="Q494"/>
  <c r="P494"/>
  <c r="S490"/>
  <c r="R490"/>
  <c r="Q490"/>
  <c r="P490"/>
  <c r="O495"/>
  <c r="O494"/>
  <c r="O492"/>
  <c r="O469"/>
  <c r="N469"/>
  <c r="O468"/>
  <c r="N468"/>
  <c r="N460"/>
  <c r="S437"/>
  <c r="N427"/>
  <c r="N426"/>
  <c r="N425"/>
  <c r="N424"/>
  <c r="O358"/>
  <c r="O400"/>
  <c r="F177" i="39" s="1"/>
  <c r="N400" i="36"/>
  <c r="E177" i="39" s="1"/>
  <c r="S394" i="36"/>
  <c r="J181" i="39" s="1"/>
  <c r="R394" i="36"/>
  <c r="Q394"/>
  <c r="P394"/>
  <c r="S368"/>
  <c r="R368"/>
  <c r="Q368"/>
  <c r="O655"/>
  <c r="O368"/>
  <c r="G181" i="39" l="1"/>
  <c r="H181"/>
  <c r="I181"/>
  <c r="E179"/>
  <c r="G216"/>
  <c r="G15" i="51"/>
  <c r="E15"/>
  <c r="E216" i="39"/>
  <c r="I216"/>
  <c r="I15" i="51"/>
  <c r="F216" i="39"/>
  <c r="F15" i="51"/>
  <c r="H15"/>
  <c r="H216" i="39"/>
  <c r="J216"/>
  <c r="J15" i="51"/>
  <c r="N1163" i="36"/>
  <c r="R1162"/>
  <c r="R1163"/>
  <c r="O1162"/>
  <c r="Q1162"/>
  <c r="Q1163"/>
  <c r="T1163"/>
  <c r="P1162"/>
  <c r="T1162"/>
  <c r="N1162"/>
  <c r="P1163"/>
  <c r="O1163"/>
  <c r="S1162"/>
  <c r="S1163"/>
  <c r="S294" l="1"/>
  <c r="T294" s="1"/>
  <c r="O271"/>
  <c r="O261"/>
  <c r="P206"/>
  <c r="Q206" s="1"/>
  <c r="R206" s="1"/>
  <c r="S206" s="1"/>
  <c r="T206" s="1"/>
  <c r="O202"/>
  <c r="P187"/>
  <c r="Q187" s="1"/>
  <c r="R187" s="1"/>
  <c r="S187" s="1"/>
  <c r="T187" s="1"/>
  <c r="P89"/>
  <c r="Q89" s="1"/>
  <c r="R89" s="1"/>
  <c r="S89" s="1"/>
  <c r="T89" s="1"/>
  <c r="O135"/>
  <c r="G164" i="40" l="1"/>
  <c r="H164" l="1"/>
  <c r="I164" l="1"/>
  <c r="K164" l="1"/>
  <c r="J164"/>
  <c r="P22" i="36"/>
  <c r="R10"/>
  <c r="S10" s="1"/>
  <c r="T10" s="1"/>
  <c r="Q9"/>
  <c r="R9" s="1"/>
  <c r="S9" s="1"/>
  <c r="T9" s="1"/>
  <c r="O275"/>
  <c r="O274"/>
  <c r="O266"/>
  <c r="P272"/>
  <c r="N41"/>
  <c r="Q22" l="1"/>
  <c r="P265"/>
  <c r="L50"/>
  <c r="M113"/>
  <c r="M673"/>
  <c r="L92"/>
  <c r="N56"/>
  <c r="R22" l="1"/>
  <c r="Q265"/>
  <c r="S738"/>
  <c r="S568" s="1"/>
  <c r="S22" l="1"/>
  <c r="R265"/>
  <c r="L1242"/>
  <c r="L1241" s="1"/>
  <c r="L1239"/>
  <c r="L1238"/>
  <c r="L1235"/>
  <c r="L1234"/>
  <c r="L1231"/>
  <c r="L1230" s="1"/>
  <c r="L1228"/>
  <c r="L1227"/>
  <c r="L1224"/>
  <c r="L1219"/>
  <c r="L1218"/>
  <c r="L1217"/>
  <c r="L1214"/>
  <c r="L1212"/>
  <c r="L1211"/>
  <c r="L1208"/>
  <c r="L1207"/>
  <c r="L1206"/>
  <c r="L1205"/>
  <c r="L1194"/>
  <c r="L1193"/>
  <c r="L1188"/>
  <c r="L1199" s="1"/>
  <c r="L1176"/>
  <c r="L1175"/>
  <c r="L1171"/>
  <c r="L1170"/>
  <c r="L1181" s="1"/>
  <c r="L1165"/>
  <c r="L1155"/>
  <c r="L1156" s="1"/>
  <c r="L1152"/>
  <c r="L1153" s="1"/>
  <c r="L1148"/>
  <c r="L1149" s="1"/>
  <c r="L1145"/>
  <c r="L1144"/>
  <c r="L1133"/>
  <c r="L1132"/>
  <c r="L1129"/>
  <c r="L1127"/>
  <c r="L1124"/>
  <c r="L1125" s="1"/>
  <c r="L1122"/>
  <c r="L1120"/>
  <c r="L1117"/>
  <c r="L1118" s="1"/>
  <c r="L1115"/>
  <c r="L1113"/>
  <c r="L1107"/>
  <c r="L1106"/>
  <c r="L1093"/>
  <c r="L1092"/>
  <c r="L1078"/>
  <c r="L1077"/>
  <c r="L1076"/>
  <c r="L1075"/>
  <c r="L1074"/>
  <c r="L1073"/>
  <c r="L1071"/>
  <c r="L1070"/>
  <c r="L1069"/>
  <c r="L1068"/>
  <c r="L1067"/>
  <c r="L1024"/>
  <c r="L1008"/>
  <c r="L995"/>
  <c r="L977"/>
  <c r="L964"/>
  <c r="L954"/>
  <c r="L869"/>
  <c r="L833"/>
  <c r="L783"/>
  <c r="L769"/>
  <c r="L740"/>
  <c r="L745" s="1"/>
  <c r="L676"/>
  <c r="L652"/>
  <c r="L621"/>
  <c r="L577"/>
  <c r="L1189" s="1"/>
  <c r="L576"/>
  <c r="L1187" s="1"/>
  <c r="L573"/>
  <c r="L570"/>
  <c r="L544"/>
  <c r="L535"/>
  <c r="L509"/>
  <c r="L1086" s="1"/>
  <c r="L496"/>
  <c r="L479"/>
  <c r="L471"/>
  <c r="L438"/>
  <c r="L395"/>
  <c r="L384"/>
  <c r="L347"/>
  <c r="L332"/>
  <c r="L314"/>
  <c r="L319" s="1"/>
  <c r="L308"/>
  <c r="L296"/>
  <c r="L290"/>
  <c r="L276"/>
  <c r="L232"/>
  <c r="L226"/>
  <c r="L188"/>
  <c r="L160"/>
  <c r="L114"/>
  <c r="L93"/>
  <c r="L44"/>
  <c r="T553"/>
  <c r="L234" l="1"/>
  <c r="L278" s="1"/>
  <c r="L1055"/>
  <c r="L1216"/>
  <c r="T22"/>
  <c r="S265"/>
  <c r="L1081"/>
  <c r="L511"/>
  <c r="L513" s="1"/>
  <c r="C330" i="39"/>
  <c r="L301" i="36"/>
  <c r="L1226"/>
  <c r="L1095"/>
  <c r="L1177"/>
  <c r="L546"/>
  <c r="L1056" s="1"/>
  <c r="L1233"/>
  <c r="L742"/>
  <c r="L1058" s="1"/>
  <c r="L997"/>
  <c r="L1060" s="1"/>
  <c r="L1200"/>
  <c r="L1195"/>
  <c r="L1182"/>
  <c r="L1223"/>
  <c r="L316"/>
  <c r="L1052" s="1"/>
  <c r="L1237"/>
  <c r="L298"/>
  <c r="L1051" s="1"/>
  <c r="L1135"/>
  <c r="L1136" s="1"/>
  <c r="L1161"/>
  <c r="L1213"/>
  <c r="L1210" s="1"/>
  <c r="L966"/>
  <c r="L1101" s="1"/>
  <c r="L1146"/>
  <c r="L1204"/>
  <c r="L349"/>
  <c r="L1053" s="1"/>
  <c r="L871"/>
  <c r="L873" s="1"/>
  <c r="L1026"/>
  <c r="L1061" s="1"/>
  <c r="L56"/>
  <c r="L1109"/>
  <c r="L785"/>
  <c r="L1059" s="1"/>
  <c r="L1190"/>
  <c r="L1198"/>
  <c r="L440"/>
  <c r="L655"/>
  <c r="L1169"/>
  <c r="T265" l="1"/>
  <c r="L442"/>
  <c r="L1141"/>
  <c r="L1142" s="1"/>
  <c r="L1201"/>
  <c r="L1158"/>
  <c r="L876"/>
  <c r="L280"/>
  <c r="L1180"/>
  <c r="L1183" s="1"/>
  <c r="L1172"/>
  <c r="L1100"/>
  <c r="L1103" s="1"/>
  <c r="L660"/>
  <c r="L657"/>
  <c r="L1057" s="1"/>
  <c r="L283"/>
  <c r="L1087"/>
  <c r="L1089" s="1"/>
  <c r="L1159" l="1"/>
  <c r="L1054"/>
  <c r="L1050"/>
  <c r="L1064" l="1"/>
  <c r="P652" l="1"/>
  <c r="T849" l="1"/>
  <c r="S849"/>
  <c r="R849"/>
  <c r="Q849"/>
  <c r="P849"/>
  <c r="M1242" l="1"/>
  <c r="M1241" s="1"/>
  <c r="N1242"/>
  <c r="N1241" s="1"/>
  <c r="O1242"/>
  <c r="O1241" s="1"/>
  <c r="Q1242"/>
  <c r="Q1241" s="1"/>
  <c r="R1242"/>
  <c r="S1242"/>
  <c r="S1241" s="1"/>
  <c r="T1242"/>
  <c r="T1241" s="1"/>
  <c r="R1241" l="1"/>
  <c r="K216" i="39" l="1"/>
  <c r="K15" i="51"/>
  <c r="M1235" i="36"/>
  <c r="N1235"/>
  <c r="S1235"/>
  <c r="T1235"/>
  <c r="P247" l="1"/>
  <c r="Q247" l="1"/>
  <c r="D626" i="39"/>
  <c r="E626"/>
  <c r="F626"/>
  <c r="G626"/>
  <c r="H626"/>
  <c r="I626"/>
  <c r="J626"/>
  <c r="K626"/>
  <c r="C626"/>
  <c r="D587"/>
  <c r="E587"/>
  <c r="F587"/>
  <c r="G587"/>
  <c r="H587"/>
  <c r="I587"/>
  <c r="J587"/>
  <c r="K587"/>
  <c r="C587"/>
  <c r="M44" i="36"/>
  <c r="N1024"/>
  <c r="M1024"/>
  <c r="N995"/>
  <c r="M995"/>
  <c r="R247" l="1"/>
  <c r="D373" i="39"/>
  <c r="E373"/>
  <c r="C373"/>
  <c r="D328"/>
  <c r="C328"/>
  <c r="S247" i="36" l="1"/>
  <c r="Q44"/>
  <c r="R44"/>
  <c r="T247" l="1"/>
  <c r="S44"/>
  <c r="T44" l="1"/>
  <c r="P1235"/>
  <c r="O1235"/>
  <c r="D628" i="39" l="1"/>
  <c r="E628"/>
  <c r="F628"/>
  <c r="G628"/>
  <c r="I55" i="43" s="1"/>
  <c r="H628" i="39"/>
  <c r="I628"/>
  <c r="J628"/>
  <c r="C628"/>
  <c r="K628" l="1"/>
  <c r="R1235" i="36"/>
  <c r="Q1235"/>
  <c r="P1242" l="1"/>
  <c r="P1241" l="1"/>
  <c r="D40" i="51" l="1"/>
  <c r="E40"/>
  <c r="F40"/>
  <c r="G40"/>
  <c r="H40"/>
  <c r="I40"/>
  <c r="J40"/>
  <c r="K40"/>
  <c r="C40"/>
  <c r="D241" i="39"/>
  <c r="E241"/>
  <c r="F241"/>
  <c r="G241"/>
  <c r="H241"/>
  <c r="I241"/>
  <c r="J241"/>
  <c r="K241"/>
  <c r="C241"/>
  <c r="M496" i="36" l="1"/>
  <c r="D508" i="39"/>
  <c r="E508"/>
  <c r="F508"/>
  <c r="G508"/>
  <c r="H508"/>
  <c r="I508"/>
  <c r="J508"/>
  <c r="K508"/>
  <c r="C508"/>
  <c r="M652" i="36" l="1"/>
  <c r="Q652"/>
  <c r="R652"/>
  <c r="S652"/>
  <c r="T652"/>
  <c r="C332" i="39" l="1"/>
  <c r="I332"/>
  <c r="D332"/>
  <c r="J332"/>
  <c r="E332"/>
  <c r="K332"/>
  <c r="H332"/>
  <c r="G332"/>
  <c r="J67" i="43" s="1"/>
  <c r="O1024" i="36" l="1"/>
  <c r="F332" i="39" l="1"/>
  <c r="P225" i="36" l="1"/>
  <c r="Q225" s="1"/>
  <c r="R225" s="1"/>
  <c r="S225" s="1"/>
  <c r="T225" s="1"/>
  <c r="K367" i="39" l="1"/>
  <c r="D415" l="1"/>
  <c r="E415"/>
  <c r="F415"/>
  <c r="G415"/>
  <c r="L15" i="43" s="1"/>
  <c r="H415" i="39"/>
  <c r="I415"/>
  <c r="J415"/>
  <c r="K415"/>
  <c r="C415"/>
  <c r="D163" i="40"/>
  <c r="E163"/>
  <c r="C163"/>
  <c r="N276" i="36"/>
  <c r="M276"/>
  <c r="P312"/>
  <c r="T368" l="1"/>
  <c r="D136" i="39" l="1"/>
  <c r="E136"/>
  <c r="F136"/>
  <c r="G136"/>
  <c r="H136"/>
  <c r="I136"/>
  <c r="J136"/>
  <c r="K136"/>
  <c r="C136"/>
  <c r="Q133" i="36" l="1"/>
  <c r="P133"/>
  <c r="M471" l="1"/>
  <c r="N160"/>
  <c r="N93"/>
  <c r="P135"/>
  <c r="D17" i="51" l="1"/>
  <c r="E17"/>
  <c r="F17"/>
  <c r="G17"/>
  <c r="H17"/>
  <c r="I17"/>
  <c r="J17"/>
  <c r="K17"/>
  <c r="C17"/>
  <c r="D13"/>
  <c r="E13"/>
  <c r="F13"/>
  <c r="G13"/>
  <c r="H13"/>
  <c r="I13"/>
  <c r="J13"/>
  <c r="K13"/>
  <c r="C13"/>
  <c r="D589" i="39"/>
  <c r="E589"/>
  <c r="F589"/>
  <c r="G589"/>
  <c r="H589"/>
  <c r="I589"/>
  <c r="J589"/>
  <c r="K589"/>
  <c r="C589"/>
  <c r="D581"/>
  <c r="E581"/>
  <c r="F581"/>
  <c r="G581"/>
  <c r="H581"/>
  <c r="I581"/>
  <c r="J581"/>
  <c r="K581"/>
  <c r="C581"/>
  <c r="D548"/>
  <c r="E548"/>
  <c r="F548"/>
  <c r="G548"/>
  <c r="H548"/>
  <c r="I548"/>
  <c r="J548"/>
  <c r="K548"/>
  <c r="C548"/>
  <c r="D542"/>
  <c r="E542"/>
  <c r="F542"/>
  <c r="G542"/>
  <c r="H542"/>
  <c r="I542"/>
  <c r="J542"/>
  <c r="K542"/>
  <c r="C542"/>
  <c r="D363"/>
  <c r="E363"/>
  <c r="F363"/>
  <c r="G363"/>
  <c r="H363"/>
  <c r="I363"/>
  <c r="J363"/>
  <c r="K363"/>
  <c r="C363"/>
  <c r="D281"/>
  <c r="E281"/>
  <c r="F281"/>
  <c r="G281"/>
  <c r="H281"/>
  <c r="I281"/>
  <c r="J281"/>
  <c r="K281"/>
  <c r="C281"/>
  <c r="D218"/>
  <c r="E218"/>
  <c r="F218"/>
  <c r="G218"/>
  <c r="H218"/>
  <c r="I218"/>
  <c r="J218"/>
  <c r="K218"/>
  <c r="C218"/>
  <c r="D214"/>
  <c r="E214"/>
  <c r="F214"/>
  <c r="G214"/>
  <c r="H214"/>
  <c r="I214"/>
  <c r="J214"/>
  <c r="K214"/>
  <c r="C214"/>
  <c r="D168"/>
  <c r="E168"/>
  <c r="F168"/>
  <c r="G168"/>
  <c r="H168"/>
  <c r="I168"/>
  <c r="J168"/>
  <c r="K168"/>
  <c r="C168"/>
  <c r="O1189" i="36"/>
  <c r="N1189"/>
  <c r="O1187"/>
  <c r="N1187"/>
  <c r="M1171"/>
  <c r="T964"/>
  <c r="S964"/>
  <c r="R964"/>
  <c r="Q964"/>
  <c r="P964"/>
  <c r="O964"/>
  <c r="N964"/>
  <c r="M964"/>
  <c r="M896"/>
  <c r="S1008"/>
  <c r="R1008"/>
  <c r="Q1008"/>
  <c r="S977"/>
  <c r="R977"/>
  <c r="Q977"/>
  <c r="P977"/>
  <c r="S954"/>
  <c r="R954"/>
  <c r="Q954"/>
  <c r="P954"/>
  <c r="Q819"/>
  <c r="R274"/>
  <c r="Q274"/>
  <c r="S783"/>
  <c r="R783"/>
  <c r="P783"/>
  <c r="Q783"/>
  <c r="S769"/>
  <c r="R769"/>
  <c r="Q769"/>
  <c r="P769"/>
  <c r="S724"/>
  <c r="J375" i="39" s="1"/>
  <c r="R724" i="36"/>
  <c r="I375" i="39" s="1"/>
  <c r="Q724" i="36"/>
  <c r="H375" i="39" s="1"/>
  <c r="P724" i="36"/>
  <c r="G375" i="39" s="1"/>
  <c r="S690" i="36"/>
  <c r="R690"/>
  <c r="Q690"/>
  <c r="P690"/>
  <c r="S273"/>
  <c r="R273"/>
  <c r="Q273"/>
  <c r="P273"/>
  <c r="S627"/>
  <c r="R627"/>
  <c r="Q627"/>
  <c r="P627"/>
  <c r="S586"/>
  <c r="R586"/>
  <c r="Q586"/>
  <c r="P586"/>
  <c r="S544"/>
  <c r="R544"/>
  <c r="Q544"/>
  <c r="P544"/>
  <c r="S535"/>
  <c r="R535"/>
  <c r="Q272"/>
  <c r="P535"/>
  <c r="S479"/>
  <c r="R479"/>
  <c r="Q479"/>
  <c r="P479"/>
  <c r="Q471"/>
  <c r="S54"/>
  <c r="R54"/>
  <c r="Q54"/>
  <c r="P54"/>
  <c r="S271"/>
  <c r="R271"/>
  <c r="Q271"/>
  <c r="P271"/>
  <c r="S384"/>
  <c r="R384"/>
  <c r="Q384"/>
  <c r="S332"/>
  <c r="R332"/>
  <c r="Q332"/>
  <c r="P332"/>
  <c r="Q314"/>
  <c r="S308"/>
  <c r="R308"/>
  <c r="Q308"/>
  <c r="P308"/>
  <c r="S290"/>
  <c r="R290"/>
  <c r="Q290"/>
  <c r="P290"/>
  <c r="S266"/>
  <c r="R266"/>
  <c r="Q266"/>
  <c r="P266"/>
  <c r="S261"/>
  <c r="R261"/>
  <c r="Q261"/>
  <c r="P261"/>
  <c r="S257"/>
  <c r="R257"/>
  <c r="Q257"/>
  <c r="P257"/>
  <c r="R249"/>
  <c r="Q249"/>
  <c r="P249"/>
  <c r="P232"/>
  <c r="S202"/>
  <c r="R202"/>
  <c r="Q202"/>
  <c r="P202"/>
  <c r="Q135"/>
  <c r="O1008"/>
  <c r="O977"/>
  <c r="O954"/>
  <c r="P832"/>
  <c r="Q832" s="1"/>
  <c r="R832" s="1"/>
  <c r="S832" s="1"/>
  <c r="T832" s="1"/>
  <c r="O783"/>
  <c r="O769"/>
  <c r="O544"/>
  <c r="O479"/>
  <c r="O471"/>
  <c r="O314"/>
  <c r="O308"/>
  <c r="O296"/>
  <c r="O290"/>
  <c r="O232"/>
  <c r="N1008"/>
  <c r="N977"/>
  <c r="N954"/>
  <c r="N1171"/>
  <c r="N783"/>
  <c r="N769"/>
  <c r="P699"/>
  <c r="Q699" s="1"/>
  <c r="R699" s="1"/>
  <c r="S699" s="1"/>
  <c r="E328" i="39"/>
  <c r="N544" i="36"/>
  <c r="N535"/>
  <c r="N479"/>
  <c r="N471"/>
  <c r="N314"/>
  <c r="N308"/>
  <c r="N296"/>
  <c r="N290"/>
  <c r="N232"/>
  <c r="N114"/>
  <c r="I330" i="39" l="1"/>
  <c r="H330"/>
  <c r="O515" i="36"/>
  <c r="J330" i="39"/>
  <c r="G330"/>
  <c r="R738" i="36"/>
  <c r="R568" s="1"/>
  <c r="Q738"/>
  <c r="Q568" s="1"/>
  <c r="P568"/>
  <c r="Q1024"/>
  <c r="Q1026" s="1"/>
  <c r="S1024"/>
  <c r="S1026" s="1"/>
  <c r="R509"/>
  <c r="R1086" s="1"/>
  <c r="S509"/>
  <c r="S1086" s="1"/>
  <c r="P995"/>
  <c r="P997" s="1"/>
  <c r="R1024"/>
  <c r="R1026" s="1"/>
  <c r="O995"/>
  <c r="O997" s="1"/>
  <c r="O999" s="1"/>
  <c r="F328" i="39"/>
  <c r="G373"/>
  <c r="H373"/>
  <c r="I373"/>
  <c r="G328"/>
  <c r="Q995" i="36"/>
  <c r="Q997" s="1"/>
  <c r="H328" i="39"/>
  <c r="R995" i="36"/>
  <c r="R997" s="1"/>
  <c r="J373" i="39"/>
  <c r="I328"/>
  <c r="S995" i="36"/>
  <c r="S997" s="1"/>
  <c r="F373" i="39"/>
  <c r="J328"/>
  <c r="P1024" i="36"/>
  <c r="Q395"/>
  <c r="P395"/>
  <c r="P509"/>
  <c r="P1086" s="1"/>
  <c r="S395"/>
  <c r="Q496"/>
  <c r="R395"/>
  <c r="S785"/>
  <c r="S496"/>
  <c r="S1055" s="1"/>
  <c r="I54" i="43"/>
  <c r="O570" i="36"/>
  <c r="F163" i="40"/>
  <c r="P1171" i="36"/>
  <c r="R819"/>
  <c r="Q1171"/>
  <c r="S1171"/>
  <c r="O1171"/>
  <c r="R1171"/>
  <c r="P1189"/>
  <c r="Q509"/>
  <c r="Q1086" s="1"/>
  <c r="P966"/>
  <c r="S966"/>
  <c r="Q966"/>
  <c r="R966"/>
  <c r="P496"/>
  <c r="P1055" s="1"/>
  <c r="R496"/>
  <c r="R1055" s="1"/>
  <c r="O535"/>
  <c r="N509"/>
  <c r="Q676"/>
  <c r="P676"/>
  <c r="Q785"/>
  <c r="N395"/>
  <c r="N676"/>
  <c r="N937"/>
  <c r="R272"/>
  <c r="N785"/>
  <c r="N298"/>
  <c r="N301" s="1"/>
  <c r="N833"/>
  <c r="O298"/>
  <c r="O300" s="1"/>
  <c r="R471"/>
  <c r="N966"/>
  <c r="N347"/>
  <c r="O332"/>
  <c r="O384"/>
  <c r="S272"/>
  <c r="N226"/>
  <c r="P857"/>
  <c r="Q857" s="1"/>
  <c r="R857" s="1"/>
  <c r="S857" s="1"/>
  <c r="O869"/>
  <c r="N896"/>
  <c r="O833"/>
  <c r="O93"/>
  <c r="N316"/>
  <c r="N319" s="1"/>
  <c r="N869"/>
  <c r="P546"/>
  <c r="P785"/>
  <c r="N496"/>
  <c r="O226"/>
  <c r="O316"/>
  <c r="O318" s="1"/>
  <c r="O509"/>
  <c r="O966"/>
  <c r="O968" s="1"/>
  <c r="O1026"/>
  <c r="S274"/>
  <c r="S546"/>
  <c r="N570"/>
  <c r="P188"/>
  <c r="N384"/>
  <c r="N997"/>
  <c r="N1026"/>
  <c r="P274"/>
  <c r="N332"/>
  <c r="N438"/>
  <c r="N655"/>
  <c r="N740"/>
  <c r="O160"/>
  <c r="O438"/>
  <c r="O496"/>
  <c r="Q114"/>
  <c r="R546"/>
  <c r="R785"/>
  <c r="O56"/>
  <c r="S819"/>
  <c r="S471"/>
  <c r="Q316"/>
  <c r="R312"/>
  <c r="S312" s="1"/>
  <c r="Q535"/>
  <c r="Q546" s="1"/>
  <c r="Q1189"/>
  <c r="R114"/>
  <c r="P226"/>
  <c r="P234" s="1"/>
  <c r="P384"/>
  <c r="P314"/>
  <c r="P316" s="1"/>
  <c r="P655"/>
  <c r="P471"/>
  <c r="O740"/>
  <c r="O785"/>
  <c r="O787" s="1"/>
  <c r="O395"/>
  <c r="O676"/>
  <c r="N546"/>
  <c r="M1189"/>
  <c r="M1187"/>
  <c r="D165" i="40"/>
  <c r="E165"/>
  <c r="C165"/>
  <c r="Q1055" i="36" l="1"/>
  <c r="O546"/>
  <c r="O234"/>
  <c r="O1086"/>
  <c r="N1055"/>
  <c r="O1055"/>
  <c r="O521"/>
  <c r="P521" s="1"/>
  <c r="Q521" s="1"/>
  <c r="R521" s="1"/>
  <c r="S521" s="1"/>
  <c r="P1026"/>
  <c r="O519"/>
  <c r="P519" s="1"/>
  <c r="Q519" s="1"/>
  <c r="R519" s="1"/>
  <c r="S519" s="1"/>
  <c r="N234"/>
  <c r="N278" s="1"/>
  <c r="N944"/>
  <c r="P515"/>
  <c r="Q515" s="1"/>
  <c r="R515" s="1"/>
  <c r="S515" s="1"/>
  <c r="P511"/>
  <c r="N511"/>
  <c r="S511"/>
  <c r="O511"/>
  <c r="R511"/>
  <c r="Q511"/>
  <c r="N1086"/>
  <c r="P740"/>
  <c r="S438"/>
  <c r="S440" s="1"/>
  <c r="R438"/>
  <c r="R440" s="1"/>
  <c r="R442" s="1"/>
  <c r="Q438"/>
  <c r="Q440" s="1"/>
  <c r="Q442" s="1"/>
  <c r="P438"/>
  <c r="P1187"/>
  <c r="O937"/>
  <c r="N657"/>
  <c r="N660" s="1"/>
  <c r="O871"/>
  <c r="N939"/>
  <c r="Q833"/>
  <c r="R232"/>
  <c r="Q232"/>
  <c r="O896"/>
  <c r="P114"/>
  <c r="R226"/>
  <c r="N440"/>
  <c r="P160"/>
  <c r="Q570"/>
  <c r="P570"/>
  <c r="P657" s="1"/>
  <c r="N349"/>
  <c r="P833"/>
  <c r="N871"/>
  <c r="Q226"/>
  <c r="Q296"/>
  <c r="Q740"/>
  <c r="R570"/>
  <c r="S570"/>
  <c r="O657"/>
  <c r="P93"/>
  <c r="O347"/>
  <c r="Q188"/>
  <c r="N742"/>
  <c r="N745" s="1"/>
  <c r="P296"/>
  <c r="P869"/>
  <c r="O276"/>
  <c r="Q869"/>
  <c r="R1189"/>
  <c r="R833"/>
  <c r="S314"/>
  <c r="S316" s="1"/>
  <c r="R314"/>
  <c r="R316" s="1"/>
  <c r="Q655"/>
  <c r="S114"/>
  <c r="S676"/>
  <c r="R676"/>
  <c r="S226"/>
  <c r="O440"/>
  <c r="O742"/>
  <c r="D106" i="40"/>
  <c r="C106"/>
  <c r="N442" i="36" l="1"/>
  <c r="P1072"/>
  <c r="R513"/>
  <c r="O1072"/>
  <c r="O523"/>
  <c r="P523"/>
  <c r="Q1072"/>
  <c r="N942"/>
  <c r="P742"/>
  <c r="S513"/>
  <c r="N873"/>
  <c r="O442"/>
  <c r="O444" s="1"/>
  <c r="S442"/>
  <c r="P440"/>
  <c r="P442" s="1"/>
  <c r="P513"/>
  <c r="Q513"/>
  <c r="O349"/>
  <c r="O351" s="1"/>
  <c r="P298"/>
  <c r="Q1187"/>
  <c r="Q298"/>
  <c r="O939"/>
  <c r="Q871"/>
  <c r="O873"/>
  <c r="Q234"/>
  <c r="R234"/>
  <c r="P937"/>
  <c r="P871"/>
  <c r="N513"/>
  <c r="Q742"/>
  <c r="O513"/>
  <c r="R740"/>
  <c r="P275"/>
  <c r="S296"/>
  <c r="R296"/>
  <c r="N280"/>
  <c r="P349"/>
  <c r="R188"/>
  <c r="S188"/>
  <c r="F165" i="40"/>
  <c r="O278" i="36"/>
  <c r="Q657"/>
  <c r="Q160"/>
  <c r="S833"/>
  <c r="R655"/>
  <c r="R869"/>
  <c r="R871" s="1"/>
  <c r="Q93"/>
  <c r="P444" l="1"/>
  <c r="Q444" s="1"/>
  <c r="R444" s="1"/>
  <c r="S444" s="1"/>
  <c r="R1072"/>
  <c r="Q523"/>
  <c r="O941"/>
  <c r="Q937"/>
  <c r="N876"/>
  <c r="S1189"/>
  <c r="S298"/>
  <c r="R298"/>
  <c r="R1187"/>
  <c r="Q873"/>
  <c r="S232"/>
  <c r="S234" s="1"/>
  <c r="P873"/>
  <c r="Q347"/>
  <c r="R742"/>
  <c r="S160"/>
  <c r="R93"/>
  <c r="S740"/>
  <c r="O280"/>
  <c r="R873"/>
  <c r="R657"/>
  <c r="R160"/>
  <c r="S655"/>
  <c r="S869"/>
  <c r="S871" s="1"/>
  <c r="O944" l="1"/>
  <c r="O282"/>
  <c r="S1072"/>
  <c r="R523"/>
  <c r="R937"/>
  <c r="N283"/>
  <c r="S1187"/>
  <c r="Q349"/>
  <c r="Q896"/>
  <c r="Q275"/>
  <c r="S742"/>
  <c r="R347"/>
  <c r="S347"/>
  <c r="S873"/>
  <c r="S657"/>
  <c r="S93"/>
  <c r="S896" l="1"/>
  <c r="S349"/>
  <c r="R275"/>
  <c r="R349"/>
  <c r="Q939"/>
  <c r="R896"/>
  <c r="S275"/>
  <c r="S937"/>
  <c r="T202"/>
  <c r="S939" l="1"/>
  <c r="R939"/>
  <c r="M1239" l="1"/>
  <c r="N1239"/>
  <c r="Q1239"/>
  <c r="R1239"/>
  <c r="S1239"/>
  <c r="T1239"/>
  <c r="M1238"/>
  <c r="N1238"/>
  <c r="O1238"/>
  <c r="Q1238"/>
  <c r="R1238"/>
  <c r="S1238"/>
  <c r="T1238"/>
  <c r="R1217"/>
  <c r="S1217"/>
  <c r="T1217"/>
  <c r="Q1234"/>
  <c r="Q1233" s="1"/>
  <c r="T1234"/>
  <c r="T1233" s="1"/>
  <c r="P1234"/>
  <c r="P1233" l="1"/>
  <c r="R1237"/>
  <c r="Q1237"/>
  <c r="N1237"/>
  <c r="M1237"/>
  <c r="S1237"/>
  <c r="T1237"/>
  <c r="D18" i="51"/>
  <c r="E18"/>
  <c r="G18"/>
  <c r="I18"/>
  <c r="J18"/>
  <c r="K18"/>
  <c r="C18"/>
  <c r="D219" i="39"/>
  <c r="E219"/>
  <c r="G219"/>
  <c r="I219"/>
  <c r="J219"/>
  <c r="K219"/>
  <c r="C219"/>
  <c r="T490" i="36" l="1"/>
  <c r="F18" i="51" l="1"/>
  <c r="F219" i="39"/>
  <c r="T257" i="36"/>
  <c r="D14" i="40" l="1"/>
  <c r="F14"/>
  <c r="C14"/>
  <c r="D583" i="39" l="1"/>
  <c r="E583"/>
  <c r="F583"/>
  <c r="G583"/>
  <c r="H583"/>
  <c r="I583"/>
  <c r="J583"/>
  <c r="K583"/>
  <c r="C583"/>
  <c r="P1217" i="36" l="1"/>
  <c r="O1239" l="1"/>
  <c r="O1237" l="1"/>
  <c r="P1239"/>
  <c r="P1238"/>
  <c r="P1237" l="1"/>
  <c r="K494" i="39" l="1"/>
  <c r="K748" s="1"/>
  <c r="O1234" i="36" l="1"/>
  <c r="O1233" s="1"/>
  <c r="T888" l="1"/>
  <c r="O1170" l="1"/>
  <c r="M1170"/>
  <c r="M1155" l="1"/>
  <c r="N1155"/>
  <c r="O1155"/>
  <c r="P1155"/>
  <c r="Q1155"/>
  <c r="R1155"/>
  <c r="S1155"/>
  <c r="T1155"/>
  <c r="Q1156" l="1"/>
  <c r="M1156"/>
  <c r="P1156"/>
  <c r="N1156"/>
  <c r="O1156"/>
  <c r="M1133"/>
  <c r="M1152"/>
  <c r="N1152"/>
  <c r="O1152"/>
  <c r="P1152"/>
  <c r="Q1152"/>
  <c r="R1152"/>
  <c r="S1152"/>
  <c r="T1152"/>
  <c r="M1148"/>
  <c r="N1148"/>
  <c r="O1148"/>
  <c r="P1148"/>
  <c r="Q1148"/>
  <c r="R1148"/>
  <c r="S1148"/>
  <c r="T1148"/>
  <c r="O1153" l="1"/>
  <c r="Q1149"/>
  <c r="M1149"/>
  <c r="P1149"/>
  <c r="M1153"/>
  <c r="N1153"/>
  <c r="N1149"/>
  <c r="P1153"/>
  <c r="Q1153"/>
  <c r="O1149"/>
  <c r="T312" l="1"/>
  <c r="S1234" l="1"/>
  <c r="S1233" s="1"/>
  <c r="D16" i="51" l="1"/>
  <c r="E16"/>
  <c r="F16"/>
  <c r="G16"/>
  <c r="H16"/>
  <c r="I16"/>
  <c r="J16"/>
  <c r="K16"/>
  <c r="C16"/>
  <c r="D754" i="39" l="1"/>
  <c r="E754"/>
  <c r="F754"/>
  <c r="G754"/>
  <c r="H754"/>
  <c r="I754"/>
  <c r="J754"/>
  <c r="K754"/>
  <c r="C754"/>
  <c r="T437" i="36" l="1"/>
  <c r="T995"/>
  <c r="D544" i="39" l="1"/>
  <c r="E544"/>
  <c r="F544"/>
  <c r="G544"/>
  <c r="H544"/>
  <c r="I544"/>
  <c r="J544"/>
  <c r="K544"/>
  <c r="C544"/>
  <c r="D499"/>
  <c r="E499"/>
  <c r="F499"/>
  <c r="G499"/>
  <c r="I33" i="43" s="1"/>
  <c r="H499" i="39"/>
  <c r="I499"/>
  <c r="J499"/>
  <c r="K499"/>
  <c r="C499"/>
  <c r="D217"/>
  <c r="E217"/>
  <c r="F217"/>
  <c r="G217"/>
  <c r="H217"/>
  <c r="I217"/>
  <c r="J217"/>
  <c r="K217"/>
  <c r="C217"/>
  <c r="R1234" i="36" l="1"/>
  <c r="J106" i="40"/>
  <c r="I106"/>
  <c r="H106"/>
  <c r="G106"/>
  <c r="R1233" i="36" l="1"/>
  <c r="N1170"/>
  <c r="E106" i="40"/>
  <c r="P1169" i="36"/>
  <c r="O1169"/>
  <c r="N1169"/>
  <c r="M1169"/>
  <c r="P1117"/>
  <c r="O1117"/>
  <c r="N1117"/>
  <c r="M1117"/>
  <c r="T954"/>
  <c r="M954"/>
  <c r="M655"/>
  <c r="M56"/>
  <c r="M966" l="1"/>
  <c r="P968" s="1"/>
  <c r="Q968" s="1"/>
  <c r="R968" s="1"/>
  <c r="S968" s="1"/>
  <c r="E14" i="40"/>
  <c r="D288" i="39" l="1"/>
  <c r="E288"/>
  <c r="F288"/>
  <c r="C288"/>
  <c r="K288" l="1"/>
  <c r="J288"/>
  <c r="I288"/>
  <c r="H288"/>
  <c r="G288"/>
  <c r="D366" l="1"/>
  <c r="E366"/>
  <c r="F366"/>
  <c r="C366"/>
  <c r="S523" i="36" l="1"/>
  <c r="K366" i="39"/>
  <c r="H366"/>
  <c r="I366"/>
  <c r="G366"/>
  <c r="J366"/>
  <c r="D135" l="1"/>
  <c r="E135"/>
  <c r="F135"/>
  <c r="C135"/>
  <c r="M1145" i="36" l="1"/>
  <c r="N1145"/>
  <c r="O1145"/>
  <c r="M1144"/>
  <c r="N1144"/>
  <c r="O1144"/>
  <c r="P1144"/>
  <c r="Q1144"/>
  <c r="R1144"/>
  <c r="S1144"/>
  <c r="T1144"/>
  <c r="D167" i="39"/>
  <c r="E167"/>
  <c r="J167"/>
  <c r="K167"/>
  <c r="C167"/>
  <c r="D128"/>
  <c r="E128"/>
  <c r="G128"/>
  <c r="H128"/>
  <c r="I128"/>
  <c r="J128"/>
  <c r="K128"/>
  <c r="C128"/>
  <c r="T666" i="36" l="1"/>
  <c r="O1146"/>
  <c r="M1146"/>
  <c r="N1146"/>
  <c r="M1234" l="1"/>
  <c r="M1233" s="1"/>
  <c r="N1234"/>
  <c r="N1233" s="1"/>
  <c r="M1231"/>
  <c r="M1230" s="1"/>
  <c r="N1231"/>
  <c r="N1230" s="1"/>
  <c r="O1231"/>
  <c r="O1230" s="1"/>
  <c r="Q1231"/>
  <c r="Q1230" s="1"/>
  <c r="M1228"/>
  <c r="N1228"/>
  <c r="O1228"/>
  <c r="P1228"/>
  <c r="Q1228"/>
  <c r="R1228"/>
  <c r="S1228"/>
  <c r="T1228"/>
  <c r="M1227"/>
  <c r="N1227"/>
  <c r="O1227"/>
  <c r="P1227"/>
  <c r="Q1227"/>
  <c r="R1227"/>
  <c r="S1227"/>
  <c r="T1227"/>
  <c r="M1224"/>
  <c r="N1224"/>
  <c r="Q1224"/>
  <c r="R1224"/>
  <c r="S1224"/>
  <c r="T1224"/>
  <c r="P1145" l="1"/>
  <c r="P1146" s="1"/>
  <c r="D131" i="39"/>
  <c r="E131"/>
  <c r="G131"/>
  <c r="L13" i="43" s="1"/>
  <c r="H131" i="39"/>
  <c r="I131"/>
  <c r="J131"/>
  <c r="K131"/>
  <c r="C131"/>
  <c r="S1226" i="36"/>
  <c r="Q1226"/>
  <c r="M438"/>
  <c r="M332"/>
  <c r="T332"/>
  <c r="F131" i="39" l="1"/>
  <c r="M1226" i="36"/>
  <c r="T1226"/>
  <c r="N1226"/>
  <c r="R1226"/>
  <c r="T1024" l="1"/>
  <c r="R1231" l="1"/>
  <c r="R1230" s="1"/>
  <c r="T1231"/>
  <c r="T1230" s="1"/>
  <c r="P1231"/>
  <c r="S1231"/>
  <c r="S1230" s="1"/>
  <c r="P1230" l="1"/>
  <c r="P1224"/>
  <c r="O1224"/>
  <c r="M384" l="1"/>
  <c r="P1226" l="1"/>
  <c r="O1226"/>
  <c r="F167" i="39" l="1"/>
  <c r="G167" l="1"/>
  <c r="K106" i="40" l="1"/>
  <c r="F106"/>
  <c r="F128" i="39" l="1"/>
  <c r="D180" l="1"/>
  <c r="E180"/>
  <c r="F180"/>
  <c r="G180"/>
  <c r="H180"/>
  <c r="I180"/>
  <c r="J180"/>
  <c r="K180"/>
  <c r="C180"/>
  <c r="T1145" i="36" l="1"/>
  <c r="T1146" s="1"/>
  <c r="Q1145"/>
  <c r="Q1146" s="1"/>
  <c r="R1145"/>
  <c r="R1146" s="1"/>
  <c r="S1145"/>
  <c r="S1146" s="1"/>
  <c r="M1194"/>
  <c r="N1194"/>
  <c r="O1194"/>
  <c r="P1194"/>
  <c r="M1193"/>
  <c r="N1193"/>
  <c r="O1193"/>
  <c r="P1193"/>
  <c r="P1195" l="1"/>
  <c r="O1195"/>
  <c r="N1195"/>
  <c r="M1195"/>
  <c r="N1200"/>
  <c r="O1200"/>
  <c r="M1200"/>
  <c r="P1200"/>
  <c r="N1198"/>
  <c r="O1198"/>
  <c r="M1198"/>
  <c r="P1198"/>
  <c r="M1188"/>
  <c r="M1199" s="1"/>
  <c r="N1188"/>
  <c r="O1188"/>
  <c r="N1113"/>
  <c r="M1113"/>
  <c r="O1113"/>
  <c r="M1190" l="1"/>
  <c r="M1201"/>
  <c r="N1199"/>
  <c r="N1201" s="1"/>
  <c r="N1190"/>
  <c r="O1190"/>
  <c r="O1199"/>
  <c r="O1201" s="1"/>
  <c r="D331" i="39"/>
  <c r="E331"/>
  <c r="C331"/>
  <c r="D322"/>
  <c r="E322"/>
  <c r="F322"/>
  <c r="C322"/>
  <c r="D171" l="1"/>
  <c r="E171"/>
  <c r="J171"/>
  <c r="K171"/>
  <c r="C171"/>
  <c r="F171" l="1"/>
  <c r="D19"/>
  <c r="E19"/>
  <c r="C19"/>
  <c r="T1171" i="36"/>
  <c r="D411" i="39" l="1"/>
  <c r="E411"/>
  <c r="F411"/>
  <c r="G411"/>
  <c r="H411"/>
  <c r="I411"/>
  <c r="J411"/>
  <c r="K411"/>
  <c r="C411"/>
  <c r="D413" l="1"/>
  <c r="E413"/>
  <c r="F413"/>
  <c r="G413"/>
  <c r="H413"/>
  <c r="I413"/>
  <c r="J413"/>
  <c r="K413"/>
  <c r="C413"/>
  <c r="D414"/>
  <c r="E414"/>
  <c r="F414"/>
  <c r="G414"/>
  <c r="I15" i="43" s="1"/>
  <c r="H414" i="39"/>
  <c r="I414"/>
  <c r="J414"/>
  <c r="K414"/>
  <c r="C414"/>
  <c r="M544" i="36" l="1"/>
  <c r="T394" l="1"/>
  <c r="K181" i="39" s="1"/>
  <c r="T54" i="36" l="1"/>
  <c r="G19" i="39"/>
  <c r="J19"/>
  <c r="H19"/>
  <c r="I19"/>
  <c r="F19"/>
  <c r="K19" l="1"/>
  <c r="G165" i="40"/>
  <c r="N1161" i="36" l="1"/>
  <c r="M1161"/>
  <c r="Q1194" l="1"/>
  <c r="Q1169" l="1"/>
  <c r="S1193"/>
  <c r="R1193"/>
  <c r="G135" i="39"/>
  <c r="Q1193" i="36"/>
  <c r="Q1195" s="1"/>
  <c r="Q1200"/>
  <c r="R1169" l="1"/>
  <c r="F331" i="39"/>
  <c r="Q1198" i="36"/>
  <c r="S1169" l="1"/>
  <c r="J331" i="39"/>
  <c r="H331"/>
  <c r="I331"/>
  <c r="G331"/>
  <c r="K331"/>
  <c r="O1161" i="36"/>
  <c r="T1169" l="1"/>
  <c r="T1161"/>
  <c r="T544"/>
  <c r="D622" i="39"/>
  <c r="E622"/>
  <c r="F622"/>
  <c r="G622"/>
  <c r="H622"/>
  <c r="I622"/>
  <c r="J622"/>
  <c r="K622"/>
  <c r="C622"/>
  <c r="D419"/>
  <c r="E419"/>
  <c r="F419"/>
  <c r="G419"/>
  <c r="H419"/>
  <c r="I419"/>
  <c r="J419"/>
  <c r="K419"/>
  <c r="C419"/>
  <c r="M1139" i="36"/>
  <c r="M1122"/>
  <c r="N1122"/>
  <c r="O1122"/>
  <c r="M1120"/>
  <c r="N1120"/>
  <c r="O1120"/>
  <c r="T271" l="1"/>
  <c r="O1223"/>
  <c r="O1219"/>
  <c r="O1218"/>
  <c r="O1217"/>
  <c r="O1214"/>
  <c r="O1213"/>
  <c r="O1212"/>
  <c r="O1211"/>
  <c r="O1208"/>
  <c r="O1207"/>
  <c r="O1206"/>
  <c r="O1205"/>
  <c r="O1176"/>
  <c r="O1175"/>
  <c r="O1180" s="1"/>
  <c r="O1181"/>
  <c r="O1165"/>
  <c r="O1133"/>
  <c r="O1132"/>
  <c r="O1129"/>
  <c r="O1127"/>
  <c r="O1124"/>
  <c r="O1125" s="1"/>
  <c r="O1115"/>
  <c r="O1216" l="1"/>
  <c r="O1135"/>
  <c r="O1158" s="1"/>
  <c r="O1118"/>
  <c r="O1210"/>
  <c r="O1204"/>
  <c r="O1177"/>
  <c r="O1182"/>
  <c r="O1183" s="1"/>
  <c r="O1172"/>
  <c r="O1141" l="1"/>
  <c r="F48" i="51"/>
  <c r="O1057" i="36"/>
  <c r="O1056"/>
  <c r="O1059"/>
  <c r="O1058"/>
  <c r="O1060"/>
  <c r="O1101"/>
  <c r="O1061"/>
  <c r="O1052"/>
  <c r="O1051"/>
  <c r="O1092"/>
  <c r="O1053"/>
  <c r="O1054" l="1"/>
  <c r="O1100"/>
  <c r="O1050"/>
  <c r="O1087"/>
  <c r="O1089" s="1"/>
  <c r="O1107"/>
  <c r="O1064" l="1"/>
  <c r="N1067"/>
  <c r="N1068"/>
  <c r="N1069"/>
  <c r="N1070"/>
  <c r="N1071"/>
  <c r="N1073"/>
  <c r="N1074"/>
  <c r="N1075"/>
  <c r="N1076"/>
  <c r="N1077"/>
  <c r="N1078"/>
  <c r="N1092"/>
  <c r="N1093"/>
  <c r="N1106"/>
  <c r="N1107"/>
  <c r="N1115"/>
  <c r="N1124"/>
  <c r="N1125" s="1"/>
  <c r="N1127"/>
  <c r="N1129"/>
  <c r="N1132"/>
  <c r="N1133"/>
  <c r="N1165"/>
  <c r="N1181"/>
  <c r="N1175"/>
  <c r="N1176"/>
  <c r="N1205"/>
  <c r="N1206"/>
  <c r="N1207"/>
  <c r="N1208"/>
  <c r="N1211"/>
  <c r="N1212"/>
  <c r="N1213"/>
  <c r="N1214"/>
  <c r="N1217"/>
  <c r="N1218"/>
  <c r="N1219"/>
  <c r="N1216" l="1"/>
  <c r="N1109"/>
  <c r="N1118"/>
  <c r="N1135"/>
  <c r="N1158" s="1"/>
  <c r="N1177"/>
  <c r="N1182"/>
  <c r="N1180"/>
  <c r="N1095"/>
  <c r="N1172"/>
  <c r="N1223"/>
  <c r="N1204"/>
  <c r="N1210"/>
  <c r="N1081"/>
  <c r="N1052" l="1"/>
  <c r="N1101"/>
  <c r="N1051"/>
  <c r="N1053"/>
  <c r="N1056"/>
  <c r="N1057"/>
  <c r="N1058"/>
  <c r="N1060"/>
  <c r="N1061"/>
  <c r="N1141"/>
  <c r="N1059"/>
  <c r="N1183"/>
  <c r="N1054" l="1"/>
  <c r="N1050"/>
  <c r="N1100"/>
  <c r="N1103" s="1"/>
  <c r="N1087"/>
  <c r="N1089" s="1"/>
  <c r="N1064" l="1"/>
  <c r="S1219" l="1"/>
  <c r="S1218"/>
  <c r="S1214"/>
  <c r="S1213"/>
  <c r="S1212"/>
  <c r="S1211"/>
  <c r="S1208"/>
  <c r="S1207"/>
  <c r="S1206"/>
  <c r="S1205"/>
  <c r="S1176"/>
  <c r="S1175"/>
  <c r="S1165"/>
  <c r="S1115"/>
  <c r="R1214"/>
  <c r="R1213"/>
  <c r="R1212"/>
  <c r="R1211"/>
  <c r="R1208"/>
  <c r="R1207"/>
  <c r="R1206"/>
  <c r="R1205"/>
  <c r="R1176"/>
  <c r="R1175"/>
  <c r="R1165"/>
  <c r="R1115"/>
  <c r="Q1217"/>
  <c r="Q1214"/>
  <c r="Q1213"/>
  <c r="Q1212"/>
  <c r="Q1208"/>
  <c r="Q1207"/>
  <c r="Q1206"/>
  <c r="Q1205"/>
  <c r="Q1176"/>
  <c r="Q1175"/>
  <c r="Q1165"/>
  <c r="Q1115"/>
  <c r="P1214"/>
  <c r="P1213"/>
  <c r="P1212"/>
  <c r="P1208"/>
  <c r="P1207"/>
  <c r="P1206"/>
  <c r="P1205"/>
  <c r="P1176"/>
  <c r="P1175"/>
  <c r="P1165"/>
  <c r="P1115"/>
  <c r="P1129"/>
  <c r="P1127"/>
  <c r="T857"/>
  <c r="G14" i="40"/>
  <c r="P1133" i="36"/>
  <c r="S1216" l="1"/>
  <c r="H18" i="51"/>
  <c r="H219" i="39"/>
  <c r="H14" i="40"/>
  <c r="I14"/>
  <c r="J14"/>
  <c r="H167" i="39"/>
  <c r="I167"/>
  <c r="J322"/>
  <c r="H322"/>
  <c r="G322"/>
  <c r="I322"/>
  <c r="Q1218" i="36"/>
  <c r="G171" i="39"/>
  <c r="P1219" i="36"/>
  <c r="R1194"/>
  <c r="P1113"/>
  <c r="P1211"/>
  <c r="Q1211"/>
  <c r="P1122"/>
  <c r="P1120"/>
  <c r="Q1117"/>
  <c r="P1118"/>
  <c r="S1182"/>
  <c r="S1177"/>
  <c r="P1124"/>
  <c r="P1125" s="1"/>
  <c r="P1182"/>
  <c r="P1177"/>
  <c r="Q1177"/>
  <c r="R1129"/>
  <c r="R1177"/>
  <c r="S1204"/>
  <c r="R1182"/>
  <c r="Q1124"/>
  <c r="Q1125" s="1"/>
  <c r="Q1132"/>
  <c r="R1210"/>
  <c r="S1210"/>
  <c r="R1223"/>
  <c r="S1223"/>
  <c r="P1204"/>
  <c r="Q1182"/>
  <c r="Q1204"/>
  <c r="R1204"/>
  <c r="R1218"/>
  <c r="Q1223"/>
  <c r="P1132"/>
  <c r="P1135" s="1"/>
  <c r="P1158" s="1"/>
  <c r="P1218"/>
  <c r="P1223"/>
  <c r="P1216" l="1"/>
  <c r="Q1210"/>
  <c r="H165" i="40"/>
  <c r="R1061" i="36"/>
  <c r="P1053"/>
  <c r="S1056"/>
  <c r="R1101"/>
  <c r="Q1101"/>
  <c r="H135" i="39"/>
  <c r="R1052" i="36"/>
  <c r="Q1056"/>
  <c r="Q1052"/>
  <c r="Q1051"/>
  <c r="R1051"/>
  <c r="S1051"/>
  <c r="P1061"/>
  <c r="S1194"/>
  <c r="S1200" s="1"/>
  <c r="S1101"/>
  <c r="S1052"/>
  <c r="R1056"/>
  <c r="P1141"/>
  <c r="P1142" s="1"/>
  <c r="P1210"/>
  <c r="P1136"/>
  <c r="I171" i="39"/>
  <c r="H171"/>
  <c r="R1117" i="36"/>
  <c r="R1195"/>
  <c r="R1200"/>
  <c r="P1188"/>
  <c r="Q1113"/>
  <c r="Q1161"/>
  <c r="P1161"/>
  <c r="S1161"/>
  <c r="Q1122"/>
  <c r="R1122"/>
  <c r="R1219"/>
  <c r="Q1120"/>
  <c r="R1120"/>
  <c r="Q1219"/>
  <c r="Q1059"/>
  <c r="S1059"/>
  <c r="R1059"/>
  <c r="R1161"/>
  <c r="P1101"/>
  <c r="P1059"/>
  <c r="P1056"/>
  <c r="P1052"/>
  <c r="Q1180"/>
  <c r="Q1118"/>
  <c r="P1180"/>
  <c r="Q1129"/>
  <c r="S1129"/>
  <c r="Q1133"/>
  <c r="Q1135" s="1"/>
  <c r="Q1158" s="1"/>
  <c r="Q1127"/>
  <c r="R1124"/>
  <c r="R1125" s="1"/>
  <c r="P1051"/>
  <c r="Q1216" l="1"/>
  <c r="R1216"/>
  <c r="J165" i="40"/>
  <c r="I165"/>
  <c r="Q1061" i="36"/>
  <c r="Q1060"/>
  <c r="S1195"/>
  <c r="R1113"/>
  <c r="S1054"/>
  <c r="Q1058"/>
  <c r="S1061"/>
  <c r="S1060"/>
  <c r="I135" i="39"/>
  <c r="R1060" i="36"/>
  <c r="P1060"/>
  <c r="P1159"/>
  <c r="Q1159"/>
  <c r="Q1141"/>
  <c r="Q1142" s="1"/>
  <c r="Q1136"/>
  <c r="Q1188"/>
  <c r="Q1190" s="1"/>
  <c r="P1058"/>
  <c r="P1199"/>
  <c r="P1201" s="1"/>
  <c r="P1190"/>
  <c r="P1057"/>
  <c r="R1118"/>
  <c r="R1133"/>
  <c r="R1127"/>
  <c r="S1127"/>
  <c r="S1124"/>
  <c r="S1125" s="1"/>
  <c r="R1132"/>
  <c r="S1122"/>
  <c r="S1117" l="1"/>
  <c r="S1118" s="1"/>
  <c r="S1113"/>
  <c r="R1054"/>
  <c r="Q1100"/>
  <c r="P1054"/>
  <c r="T384"/>
  <c r="Q1057"/>
  <c r="R1058"/>
  <c r="J135" i="39"/>
  <c r="Q1054" i="36"/>
  <c r="Q1199"/>
  <c r="Q1201" s="1"/>
  <c r="R1188"/>
  <c r="R1199" s="1"/>
  <c r="S1120"/>
  <c r="Q1053"/>
  <c r="R1135"/>
  <c r="R1158" s="1"/>
  <c r="R1180"/>
  <c r="S1132"/>
  <c r="S1133"/>
  <c r="P1087"/>
  <c r="P1089" s="1"/>
  <c r="R1100" l="1"/>
  <c r="R1053"/>
  <c r="R1057"/>
  <c r="R1141"/>
  <c r="R1142" s="1"/>
  <c r="R1136"/>
  <c r="R1190"/>
  <c r="S1188"/>
  <c r="S1199" s="1"/>
  <c r="Q1087"/>
  <c r="Q1089" s="1"/>
  <c r="S1135"/>
  <c r="S1158" s="1"/>
  <c r="S1180"/>
  <c r="R1087" l="1"/>
  <c r="R1089" s="1"/>
  <c r="S1100"/>
  <c r="S1058"/>
  <c r="S1053"/>
  <c r="S1057"/>
  <c r="R1159"/>
  <c r="S1141"/>
  <c r="S1142" s="1"/>
  <c r="S1136"/>
  <c r="R1198"/>
  <c r="R1201" s="1"/>
  <c r="S1198"/>
  <c r="S1201" s="1"/>
  <c r="S1159" l="1"/>
  <c r="S1190"/>
  <c r="S1087"/>
  <c r="S1089" s="1"/>
  <c r="M1223" l="1"/>
  <c r="T1223"/>
  <c r="E54" i="51"/>
  <c r="E52"/>
  <c r="C52"/>
  <c r="E48"/>
  <c r="E41"/>
  <c r="D41"/>
  <c r="C41"/>
  <c r="E35"/>
  <c r="D35"/>
  <c r="C35"/>
  <c r="K34"/>
  <c r="J34"/>
  <c r="G34"/>
  <c r="F34"/>
  <c r="E34"/>
  <c r="D34"/>
  <c r="C34"/>
  <c r="K33"/>
  <c r="J33"/>
  <c r="I33"/>
  <c r="H33"/>
  <c r="G33"/>
  <c r="F33"/>
  <c r="E33"/>
  <c r="D33"/>
  <c r="C33"/>
  <c r="K32"/>
  <c r="J32"/>
  <c r="I32"/>
  <c r="H32"/>
  <c r="G32"/>
  <c r="F32"/>
  <c r="E32"/>
  <c r="D32"/>
  <c r="C32"/>
  <c r="F23"/>
  <c r="E23"/>
  <c r="D23"/>
  <c r="C23"/>
  <c r="E22"/>
  <c r="D22"/>
  <c r="C22"/>
  <c r="K14"/>
  <c r="J14"/>
  <c r="I14"/>
  <c r="H14"/>
  <c r="G14"/>
  <c r="F14"/>
  <c r="E14"/>
  <c r="D14"/>
  <c r="C14"/>
  <c r="M1219" i="36"/>
  <c r="T1219"/>
  <c r="M1218"/>
  <c r="T1218"/>
  <c r="M1217"/>
  <c r="M1216" l="1"/>
  <c r="T1216"/>
  <c r="D19" i="51"/>
  <c r="C24"/>
  <c r="E24"/>
  <c r="D42"/>
  <c r="D36"/>
  <c r="F19"/>
  <c r="C19"/>
  <c r="E42"/>
  <c r="C42"/>
  <c r="C36"/>
  <c r="E19"/>
  <c r="E36"/>
  <c r="D24"/>
  <c r="C44" l="1"/>
  <c r="C46" s="1"/>
  <c r="D44"/>
  <c r="E44"/>
  <c r="D46" l="1"/>
  <c r="E46"/>
  <c r="M1214" i="36" l="1"/>
  <c r="T1214"/>
  <c r="M1213"/>
  <c r="T1213"/>
  <c r="M1212"/>
  <c r="T1212"/>
  <c r="M1211"/>
  <c r="T1211"/>
  <c r="T1210" l="1"/>
  <c r="M1210"/>
  <c r="K135" i="39" l="1"/>
  <c r="M296" i="36" l="1"/>
  <c r="J19" i="51" l="1"/>
  <c r="T699" i="36" l="1"/>
  <c r="G35" i="51" l="1"/>
  <c r="G36" s="1"/>
  <c r="F41"/>
  <c r="H35"/>
  <c r="I35"/>
  <c r="J35"/>
  <c r="J36" s="1"/>
  <c r="K35"/>
  <c r="K36" s="1"/>
  <c r="F35"/>
  <c r="F36" s="1"/>
  <c r="G41"/>
  <c r="H41"/>
  <c r="I41"/>
  <c r="J41"/>
  <c r="K41"/>
  <c r="D416" i="39"/>
  <c r="E416"/>
  <c r="F416"/>
  <c r="G416"/>
  <c r="H416"/>
  <c r="I416"/>
  <c r="J416"/>
  <c r="K416"/>
  <c r="C416"/>
  <c r="D223"/>
  <c r="E223"/>
  <c r="C223"/>
  <c r="M509" i="36"/>
  <c r="M479"/>
  <c r="M1055" s="1"/>
  <c r="M395"/>
  <c r="M511" l="1"/>
  <c r="M1086"/>
  <c r="M513" l="1"/>
  <c r="D619" i="39"/>
  <c r="E619"/>
  <c r="F619"/>
  <c r="G619"/>
  <c r="H619"/>
  <c r="I619"/>
  <c r="J619"/>
  <c r="K619"/>
  <c r="C619"/>
  <c r="I34" i="51" l="1"/>
  <c r="I36" s="1"/>
  <c r="H34"/>
  <c r="H36" s="1"/>
  <c r="J23"/>
  <c r="I23"/>
  <c r="K23" l="1"/>
  <c r="K19"/>
  <c r="H19"/>
  <c r="H23"/>
  <c r="G23"/>
  <c r="T1193" i="36" l="1"/>
  <c r="I19" i="51"/>
  <c r="T1189" i="36"/>
  <c r="T1187" l="1"/>
  <c r="D501" i="39" l="1"/>
  <c r="D756" s="1"/>
  <c r="C501"/>
  <c r="C756" s="1"/>
  <c r="G501" l="1"/>
  <c r="G756" l="1"/>
  <c r="F501"/>
  <c r="F756" s="1"/>
  <c r="E501"/>
  <c r="E756" s="1"/>
  <c r="T1117" i="36" l="1"/>
  <c r="T819" l="1"/>
  <c r="M676" l="1"/>
  <c r="H42" i="51" l="1"/>
  <c r="G42"/>
  <c r="I42" l="1"/>
  <c r="G19"/>
  <c r="J42"/>
  <c r="T509" i="36"/>
  <c r="T1086" s="1"/>
  <c r="K42" i="51"/>
  <c r="K14" i="40" l="1"/>
  <c r="F64" i="43" l="1"/>
  <c r="G22" i="51" l="1"/>
  <c r="G24" s="1"/>
  <c r="G44" s="1"/>
  <c r="H22"/>
  <c r="H24" s="1"/>
  <c r="H44" s="1"/>
  <c r="I22"/>
  <c r="I24" s="1"/>
  <c r="I44" s="1"/>
  <c r="J22"/>
  <c r="J24" s="1"/>
  <c r="J44" s="1"/>
  <c r="F22"/>
  <c r="F24" s="1"/>
  <c r="K22" l="1"/>
  <c r="K24" s="1"/>
  <c r="K44" s="1"/>
  <c r="G46"/>
  <c r="I223" i="39"/>
  <c r="J223"/>
  <c r="K223"/>
  <c r="T479" i="36"/>
  <c r="G223" i="39"/>
  <c r="F223"/>
  <c r="H223"/>
  <c r="D134" i="40"/>
  <c r="E134"/>
  <c r="C134"/>
  <c r="T261" i="36"/>
  <c r="T1113"/>
  <c r="K46" i="51" l="1"/>
  <c r="H46"/>
  <c r="I46"/>
  <c r="J46"/>
  <c r="T561" i="36"/>
  <c r="F134" i="40"/>
  <c r="T1122" i="36" l="1"/>
  <c r="T1120"/>
  <c r="T1194" l="1"/>
  <c r="T1195" s="1"/>
  <c r="T1200" l="1"/>
  <c r="F42" i="51"/>
  <c r="F44" s="1"/>
  <c r="T568" i="36"/>
  <c r="T266"/>
  <c r="K165" i="40" s="1"/>
  <c r="K322" i="39" l="1"/>
  <c r="F46" i="51" l="1"/>
  <c r="F56" s="1"/>
  <c r="M1129" i="36" l="1"/>
  <c r="T1129"/>
  <c r="M1127"/>
  <c r="T1127"/>
  <c r="D621" i="39"/>
  <c r="E621"/>
  <c r="F621"/>
  <c r="G621"/>
  <c r="H621"/>
  <c r="I621"/>
  <c r="J621"/>
  <c r="K621"/>
  <c r="C621"/>
  <c r="G56" i="51" l="1"/>
  <c r="H56" s="1"/>
  <c r="I56" s="1"/>
  <c r="J56" s="1"/>
  <c r="K56" s="1"/>
  <c r="D173" i="39" l="1"/>
  <c r="D705" s="1"/>
  <c r="E173"/>
  <c r="E705" s="1"/>
  <c r="F173"/>
  <c r="F705" s="1"/>
  <c r="H26" i="43"/>
  <c r="D169" i="39"/>
  <c r="E169"/>
  <c r="F169"/>
  <c r="G169"/>
  <c r="H169"/>
  <c r="I169"/>
  <c r="J169"/>
  <c r="K169"/>
  <c r="M1118" i="36" l="1"/>
  <c r="T1118"/>
  <c r="J501" i="39" l="1"/>
  <c r="J756" s="1"/>
  <c r="I501"/>
  <c r="I756" s="1"/>
  <c r="H501"/>
  <c r="H756" s="1"/>
  <c r="J173"/>
  <c r="I173"/>
  <c r="G134" i="40"/>
  <c r="H173" i="39"/>
  <c r="G173"/>
  <c r="D549"/>
  <c r="E549"/>
  <c r="F549"/>
  <c r="G549"/>
  <c r="H549"/>
  <c r="I549"/>
  <c r="J549"/>
  <c r="K549"/>
  <c r="C549"/>
  <c r="H705" l="1"/>
  <c r="G705"/>
  <c r="J705"/>
  <c r="I705"/>
  <c r="M1132" i="36" l="1"/>
  <c r="M1135" l="1"/>
  <c r="M1158" l="1"/>
  <c r="M1136"/>
  <c r="M1141"/>
  <c r="O1136"/>
  <c r="N1136"/>
  <c r="M1142" l="1"/>
  <c r="O1142"/>
  <c r="O1159"/>
  <c r="N1159"/>
  <c r="T690" l="1"/>
  <c r="K373" i="39" s="1"/>
  <c r="T586" i="36"/>
  <c r="T438" l="1"/>
  <c r="D590" i="39" l="1"/>
  <c r="E590"/>
  <c r="F590"/>
  <c r="G590"/>
  <c r="H590"/>
  <c r="I590"/>
  <c r="J590"/>
  <c r="K590"/>
  <c r="C590"/>
  <c r="C169"/>
  <c r="G26" i="43" l="1"/>
  <c r="T395" i="36" l="1"/>
  <c r="J64" i="43"/>
  <c r="D132" i="40"/>
  <c r="E132"/>
  <c r="F132"/>
  <c r="G132"/>
  <c r="H132"/>
  <c r="I132"/>
  <c r="J132"/>
  <c r="K132"/>
  <c r="C132"/>
  <c r="D104"/>
  <c r="E104"/>
  <c r="F104"/>
  <c r="G104"/>
  <c r="H104"/>
  <c r="I104"/>
  <c r="J104"/>
  <c r="K104"/>
  <c r="C104"/>
  <c r="E627" i="39"/>
  <c r="E629" s="1"/>
  <c r="D627"/>
  <c r="D629" s="1"/>
  <c r="C627"/>
  <c r="C629" s="1"/>
  <c r="E72" i="43"/>
  <c r="D505" i="39"/>
  <c r="E505"/>
  <c r="F505"/>
  <c r="G505"/>
  <c r="H505"/>
  <c r="I505"/>
  <c r="J505"/>
  <c r="K505"/>
  <c r="C505"/>
  <c r="D497"/>
  <c r="D752" s="1"/>
  <c r="E497"/>
  <c r="E752" s="1"/>
  <c r="F497"/>
  <c r="F752" s="1"/>
  <c r="G497"/>
  <c r="H497"/>
  <c r="H752" s="1"/>
  <c r="I497"/>
  <c r="I752" s="1"/>
  <c r="J497"/>
  <c r="J752" s="1"/>
  <c r="K497"/>
  <c r="K752" s="1"/>
  <c r="C497"/>
  <c r="C752" s="1"/>
  <c r="D495"/>
  <c r="D749" s="1"/>
  <c r="E495"/>
  <c r="E749" s="1"/>
  <c r="G495"/>
  <c r="H495"/>
  <c r="H749" s="1"/>
  <c r="I495"/>
  <c r="I749" s="1"/>
  <c r="J495"/>
  <c r="J749" s="1"/>
  <c r="K495"/>
  <c r="K749" s="1"/>
  <c r="C495"/>
  <c r="C749" s="1"/>
  <c r="D463"/>
  <c r="D808" s="1"/>
  <c r="E463"/>
  <c r="E808" s="1"/>
  <c r="C463"/>
  <c r="C808" s="1"/>
  <c r="D703"/>
  <c r="E703"/>
  <c r="F703"/>
  <c r="G703"/>
  <c r="H703"/>
  <c r="I703"/>
  <c r="J703"/>
  <c r="K703"/>
  <c r="C703"/>
  <c r="D378"/>
  <c r="E378"/>
  <c r="C378"/>
  <c r="D376"/>
  <c r="D714" s="1"/>
  <c r="E376"/>
  <c r="E714" s="1"/>
  <c r="F376"/>
  <c r="F714" s="1"/>
  <c r="G376"/>
  <c r="H376"/>
  <c r="H714" s="1"/>
  <c r="I376"/>
  <c r="I714" s="1"/>
  <c r="J376"/>
  <c r="J714" s="1"/>
  <c r="K376"/>
  <c r="K714" s="1"/>
  <c r="C376"/>
  <c r="C714" s="1"/>
  <c r="D371"/>
  <c r="E371"/>
  <c r="F371"/>
  <c r="G371"/>
  <c r="H371"/>
  <c r="I371"/>
  <c r="J371"/>
  <c r="K371"/>
  <c r="C371"/>
  <c r="D242"/>
  <c r="E242"/>
  <c r="F242"/>
  <c r="C242"/>
  <c r="D810"/>
  <c r="E810"/>
  <c r="F810"/>
  <c r="G810"/>
  <c r="H810"/>
  <c r="I810"/>
  <c r="J810"/>
  <c r="K810"/>
  <c r="C810"/>
  <c r="D236"/>
  <c r="E236"/>
  <c r="F236"/>
  <c r="C236"/>
  <c r="D235"/>
  <c r="E235"/>
  <c r="F235"/>
  <c r="G235"/>
  <c r="H235"/>
  <c r="I235"/>
  <c r="J235"/>
  <c r="K235"/>
  <c r="C235"/>
  <c r="D233"/>
  <c r="E233"/>
  <c r="F233"/>
  <c r="G233"/>
  <c r="H233"/>
  <c r="I233"/>
  <c r="J233"/>
  <c r="K233"/>
  <c r="C233"/>
  <c r="D224"/>
  <c r="E224"/>
  <c r="F224"/>
  <c r="C224"/>
  <c r="C173"/>
  <c r="C705" s="1"/>
  <c r="E51" i="43"/>
  <c r="D98" i="39"/>
  <c r="E98"/>
  <c r="F98"/>
  <c r="G98"/>
  <c r="H98"/>
  <c r="I98"/>
  <c r="J98"/>
  <c r="K98"/>
  <c r="C98"/>
  <c r="D62"/>
  <c r="E62"/>
  <c r="F62"/>
  <c r="G62"/>
  <c r="H62"/>
  <c r="I62"/>
  <c r="J62"/>
  <c r="K62"/>
  <c r="C62"/>
  <c r="D130"/>
  <c r="E130"/>
  <c r="F130"/>
  <c r="G130"/>
  <c r="I13" i="43" s="1"/>
  <c r="H130" i="39"/>
  <c r="I130"/>
  <c r="J130"/>
  <c r="K130"/>
  <c r="C130"/>
  <c r="D215"/>
  <c r="E215"/>
  <c r="F215"/>
  <c r="G215"/>
  <c r="H215"/>
  <c r="I215"/>
  <c r="J215"/>
  <c r="K215"/>
  <c r="C215"/>
  <c r="D137"/>
  <c r="E137"/>
  <c r="C137"/>
  <c r="H137"/>
  <c r="J137"/>
  <c r="K137"/>
  <c r="G137"/>
  <c r="F137"/>
  <c r="H627"/>
  <c r="H629" s="1"/>
  <c r="I627"/>
  <c r="I629" s="1"/>
  <c r="J627"/>
  <c r="J629" s="1"/>
  <c r="K627"/>
  <c r="K629" s="1"/>
  <c r="G627"/>
  <c r="G629" s="1"/>
  <c r="F627"/>
  <c r="F629" s="1"/>
  <c r="C760" l="1"/>
  <c r="H760"/>
  <c r="D760"/>
  <c r="I760"/>
  <c r="E760"/>
  <c r="J760"/>
  <c r="F760"/>
  <c r="K760"/>
  <c r="G749"/>
  <c r="G752"/>
  <c r="G760"/>
  <c r="H68" i="43"/>
  <c r="H74" s="1"/>
  <c r="G714" i="39"/>
  <c r="C713"/>
  <c r="E713"/>
  <c r="F713"/>
  <c r="D713"/>
  <c r="D811"/>
  <c r="D243"/>
  <c r="C811"/>
  <c r="C243"/>
  <c r="E811"/>
  <c r="E243"/>
  <c r="F811"/>
  <c r="F243"/>
  <c r="F182"/>
  <c r="L10" i="43"/>
  <c r="E182" i="39"/>
  <c r="D182"/>
  <c r="C182"/>
  <c r="K173" l="1"/>
  <c r="K182"/>
  <c r="H182"/>
  <c r="I182"/>
  <c r="J182"/>
  <c r="G182" l="1"/>
  <c r="H224"/>
  <c r="H713" s="1"/>
  <c r="I224"/>
  <c r="J224"/>
  <c r="J713" s="1"/>
  <c r="K224"/>
  <c r="K713" s="1"/>
  <c r="G224"/>
  <c r="G713" l="1"/>
  <c r="G63" i="43"/>
  <c r="T296" i="36" l="1"/>
  <c r="M314"/>
  <c r="T314"/>
  <c r="I137" i="39"/>
  <c r="I713" s="1"/>
  <c r="M869" i="36" l="1"/>
  <c r="F495" i="39" l="1"/>
  <c r="F749" s="1"/>
  <c r="M347" i="36" l="1"/>
  <c r="M349" l="1"/>
  <c r="O1070" s="1"/>
  <c r="D453" i="39"/>
  <c r="E453"/>
  <c r="F453"/>
  <c r="G453"/>
  <c r="H453"/>
  <c r="I453"/>
  <c r="J453"/>
  <c r="K453"/>
  <c r="C453"/>
  <c r="E329"/>
  <c r="D327"/>
  <c r="E327"/>
  <c r="F327"/>
  <c r="D326"/>
  <c r="E326"/>
  <c r="F326"/>
  <c r="G326"/>
  <c r="H326"/>
  <c r="I326"/>
  <c r="J326"/>
  <c r="K326"/>
  <c r="C329"/>
  <c r="C327"/>
  <c r="C326"/>
  <c r="D167" i="40"/>
  <c r="E167"/>
  <c r="C167"/>
  <c r="L25" i="43"/>
  <c r="J25"/>
  <c r="H25"/>
  <c r="G25"/>
  <c r="F25"/>
  <c r="M440" i="36"/>
  <c r="D234" i="39"/>
  <c r="E234"/>
  <c r="F234"/>
  <c r="G234"/>
  <c r="F63" i="43" s="1"/>
  <c r="H234" i="39"/>
  <c r="I234"/>
  <c r="J234"/>
  <c r="K234"/>
  <c r="C234"/>
  <c r="I798" l="1"/>
  <c r="E798"/>
  <c r="K798"/>
  <c r="J798"/>
  <c r="C798"/>
  <c r="H798"/>
  <c r="D798"/>
  <c r="F798"/>
  <c r="M442" i="36"/>
  <c r="P351"/>
  <c r="G798" i="39"/>
  <c r="E333"/>
  <c r="C333"/>
  <c r="D30" i="45"/>
  <c r="E30"/>
  <c r="E63" i="43"/>
  <c r="C30" i="45"/>
  <c r="C225" i="39"/>
  <c r="C237"/>
  <c r="C220"/>
  <c r="K225"/>
  <c r="G225"/>
  <c r="H225"/>
  <c r="D225"/>
  <c r="F237"/>
  <c r="E237"/>
  <c r="J225"/>
  <c r="D237"/>
  <c r="F225"/>
  <c r="E220"/>
  <c r="I225"/>
  <c r="E225"/>
  <c r="D220"/>
  <c r="F245" l="1"/>
  <c r="E245"/>
  <c r="C245"/>
  <c r="D245"/>
  <c r="Q351" i="36"/>
  <c r="O1071"/>
  <c r="E24" i="42"/>
  <c r="D24"/>
  <c r="C24"/>
  <c r="J242" i="39"/>
  <c r="J243" s="1"/>
  <c r="H220"/>
  <c r="I242"/>
  <c r="I243" s="1"/>
  <c r="G242"/>
  <c r="K242"/>
  <c r="K243" s="1"/>
  <c r="H242"/>
  <c r="H243" s="1"/>
  <c r="E25" i="43"/>
  <c r="K220" i="39"/>
  <c r="F220"/>
  <c r="I220"/>
  <c r="J220"/>
  <c r="T471" i="36"/>
  <c r="H236" i="39"/>
  <c r="G236"/>
  <c r="T521" i="36" l="1"/>
  <c r="R351"/>
  <c r="T515"/>
  <c r="G811" i="39"/>
  <c r="G243"/>
  <c r="M1092" i="36"/>
  <c r="I24" i="42"/>
  <c r="J24"/>
  <c r="H24"/>
  <c r="F61"/>
  <c r="K24"/>
  <c r="D247" i="39"/>
  <c r="E247"/>
  <c r="C247"/>
  <c r="I811"/>
  <c r="K811"/>
  <c r="J811"/>
  <c r="H811"/>
  <c r="I236"/>
  <c r="K236"/>
  <c r="J236"/>
  <c r="G24" i="42"/>
  <c r="F24"/>
  <c r="G220" i="39"/>
  <c r="E61" i="42"/>
  <c r="C61"/>
  <c r="D61"/>
  <c r="F247" i="39"/>
  <c r="F256" s="1"/>
  <c r="H237"/>
  <c r="H245" s="1"/>
  <c r="T496" i="36"/>
  <c r="T1055" s="1"/>
  <c r="T519" l="1"/>
  <c r="T1072" s="1"/>
  <c r="S351"/>
  <c r="T511"/>
  <c r="P1092"/>
  <c r="F54" i="51"/>
  <c r="G52"/>
  <c r="F52"/>
  <c r="G54"/>
  <c r="F23" i="44"/>
  <c r="J237" i="39"/>
  <c r="J245" s="1"/>
  <c r="I237"/>
  <c r="I245" s="1"/>
  <c r="K237"/>
  <c r="K245" s="1"/>
  <c r="F249"/>
  <c r="F254"/>
  <c r="F252"/>
  <c r="G237"/>
  <c r="G245" s="1"/>
  <c r="I63" i="43"/>
  <c r="T523" i="36" l="1"/>
  <c r="Q1092"/>
  <c r="G48" i="51"/>
  <c r="H54"/>
  <c r="J61" i="42"/>
  <c r="D23" i="44"/>
  <c r="F30" i="45"/>
  <c r="H247" i="39"/>
  <c r="G249"/>
  <c r="H61" i="42"/>
  <c r="G254" i="39"/>
  <c r="G61" i="42"/>
  <c r="T513" i="36"/>
  <c r="K61" i="42"/>
  <c r="I61"/>
  <c r="G252" i="39"/>
  <c r="R1092" i="36" l="1"/>
  <c r="S1092"/>
  <c r="H48" i="51"/>
  <c r="H52"/>
  <c r="I52"/>
  <c r="I48"/>
  <c r="I54"/>
  <c r="H249" i="39"/>
  <c r="I247"/>
  <c r="K247"/>
  <c r="J247"/>
  <c r="H252"/>
  <c r="H254"/>
  <c r="G247"/>
  <c r="G256" s="1"/>
  <c r="H256" s="1"/>
  <c r="H23" i="44"/>
  <c r="J52" i="51" l="1"/>
  <c r="J48"/>
  <c r="J54"/>
  <c r="J249" i="39"/>
  <c r="I256"/>
  <c r="J256" s="1"/>
  <c r="K256" s="1"/>
  <c r="I249"/>
  <c r="I252"/>
  <c r="I254"/>
  <c r="K52" i="51" l="1"/>
  <c r="K48"/>
  <c r="K54"/>
  <c r="G30" i="45"/>
  <c r="J254" i="39"/>
  <c r="J252"/>
  <c r="K249" l="1"/>
  <c r="K252"/>
  <c r="K254"/>
  <c r="H30" i="45"/>
  <c r="T1092" i="36"/>
  <c r="I30" i="45" l="1"/>
  <c r="M783" i="36"/>
  <c r="T783"/>
  <c r="M570"/>
  <c r="M657" s="1"/>
  <c r="M226"/>
  <c r="D329" i="39"/>
  <c r="D333" s="1"/>
  <c r="O659" i="36" l="1"/>
  <c r="J30" i="45"/>
  <c r="O660" i="36" l="1"/>
  <c r="P659"/>
  <c r="O1074"/>
  <c r="K30" i="45"/>
  <c r="T272" i="36"/>
  <c r="Q659" l="1"/>
  <c r="P660"/>
  <c r="F72" i="43"/>
  <c r="D464" i="39"/>
  <c r="D809" s="1"/>
  <c r="C464"/>
  <c r="C809" s="1"/>
  <c r="G14" i="43"/>
  <c r="D321" i="39"/>
  <c r="E321"/>
  <c r="F321"/>
  <c r="G321"/>
  <c r="H321"/>
  <c r="I321"/>
  <c r="J321"/>
  <c r="K321"/>
  <c r="C321"/>
  <c r="I64" i="43"/>
  <c r="E64"/>
  <c r="E26"/>
  <c r="M232" i="36"/>
  <c r="G378" i="39"/>
  <c r="H166" i="40"/>
  <c r="I166"/>
  <c r="J166"/>
  <c r="G166"/>
  <c r="D42" i="45"/>
  <c r="D37"/>
  <c r="D36"/>
  <c r="D31"/>
  <c r="D25"/>
  <c r="D21"/>
  <c r="D20"/>
  <c r="D18"/>
  <c r="D17"/>
  <c r="D16"/>
  <c r="D15"/>
  <c r="D14"/>
  <c r="D9"/>
  <c r="G55" i="43"/>
  <c r="E55"/>
  <c r="H17"/>
  <c r="K623" i="39"/>
  <c r="J623"/>
  <c r="I623"/>
  <c r="H623"/>
  <c r="F623"/>
  <c r="E623"/>
  <c r="D623"/>
  <c r="E54" i="43"/>
  <c r="K582" i="39"/>
  <c r="K584" s="1"/>
  <c r="J582"/>
  <c r="J584" s="1"/>
  <c r="I582"/>
  <c r="I584" s="1"/>
  <c r="H582"/>
  <c r="H584" s="1"/>
  <c r="G582"/>
  <c r="F582"/>
  <c r="F584" s="1"/>
  <c r="E582"/>
  <c r="E584" s="1"/>
  <c r="D582"/>
  <c r="D584" s="1"/>
  <c r="C16" i="43"/>
  <c r="F550" i="39"/>
  <c r="K543"/>
  <c r="K753" s="1"/>
  <c r="J543"/>
  <c r="J753" s="1"/>
  <c r="I543"/>
  <c r="I753" s="1"/>
  <c r="H543"/>
  <c r="H753" s="1"/>
  <c r="G543"/>
  <c r="F543"/>
  <c r="F753" s="1"/>
  <c r="E543"/>
  <c r="E753" s="1"/>
  <c r="D543"/>
  <c r="D753" s="1"/>
  <c r="D763"/>
  <c r="E507"/>
  <c r="E762" s="1"/>
  <c r="D507"/>
  <c r="D762" s="1"/>
  <c r="F506"/>
  <c r="E506"/>
  <c r="D506"/>
  <c r="C71" i="43"/>
  <c r="K500" i="39"/>
  <c r="K755" s="1"/>
  <c r="J500"/>
  <c r="J755" s="1"/>
  <c r="I500"/>
  <c r="I755" s="1"/>
  <c r="H500"/>
  <c r="H755" s="1"/>
  <c r="G500"/>
  <c r="F500"/>
  <c r="F755" s="1"/>
  <c r="E500"/>
  <c r="E755" s="1"/>
  <c r="D500"/>
  <c r="D755" s="1"/>
  <c r="G33" i="43"/>
  <c r="K496" i="39"/>
  <c r="K751" s="1"/>
  <c r="J496"/>
  <c r="J751" s="1"/>
  <c r="I496"/>
  <c r="I751" s="1"/>
  <c r="H496"/>
  <c r="H751" s="1"/>
  <c r="G496"/>
  <c r="F496"/>
  <c r="F751" s="1"/>
  <c r="E496"/>
  <c r="E751" s="1"/>
  <c r="D496"/>
  <c r="D751" s="1"/>
  <c r="D33" i="43"/>
  <c r="C33"/>
  <c r="F462" i="39"/>
  <c r="F807" s="1"/>
  <c r="E462"/>
  <c r="E807" s="1"/>
  <c r="D462"/>
  <c r="D807" s="1"/>
  <c r="K461"/>
  <c r="K806" s="1"/>
  <c r="J461"/>
  <c r="J806" s="1"/>
  <c r="I461"/>
  <c r="I806" s="1"/>
  <c r="H461"/>
  <c r="H806" s="1"/>
  <c r="G461"/>
  <c r="F461"/>
  <c r="F806" s="1"/>
  <c r="E461"/>
  <c r="E806" s="1"/>
  <c r="D461"/>
  <c r="D806" s="1"/>
  <c r="D457"/>
  <c r="D802" s="1"/>
  <c r="D456"/>
  <c r="D801" s="1"/>
  <c r="F455"/>
  <c r="F800" s="1"/>
  <c r="E455"/>
  <c r="E800" s="1"/>
  <c r="D455"/>
  <c r="D800" s="1"/>
  <c r="K454"/>
  <c r="J454"/>
  <c r="I454"/>
  <c r="H454"/>
  <c r="G454"/>
  <c r="F454"/>
  <c r="E454"/>
  <c r="D454"/>
  <c r="K15" i="43"/>
  <c r="D15"/>
  <c r="K377" i="39"/>
  <c r="K715" s="1"/>
  <c r="D377"/>
  <c r="D715" s="1"/>
  <c r="G68" i="43"/>
  <c r="F372" i="39"/>
  <c r="E372"/>
  <c r="C68" i="43"/>
  <c r="H30"/>
  <c r="K364" i="39"/>
  <c r="J364"/>
  <c r="I364"/>
  <c r="H364"/>
  <c r="G364"/>
  <c r="F364"/>
  <c r="E364"/>
  <c r="D364"/>
  <c r="I67" i="43"/>
  <c r="G67"/>
  <c r="C67"/>
  <c r="F320" i="39"/>
  <c r="E320"/>
  <c r="D320"/>
  <c r="H29" i="43"/>
  <c r="K318" i="39"/>
  <c r="J318"/>
  <c r="I318"/>
  <c r="H318"/>
  <c r="G318"/>
  <c r="F318"/>
  <c r="E318"/>
  <c r="D318"/>
  <c r="K317"/>
  <c r="J317"/>
  <c r="I317"/>
  <c r="H317"/>
  <c r="G317"/>
  <c r="F317"/>
  <c r="E317"/>
  <c r="D317"/>
  <c r="E60" i="43"/>
  <c r="K282" i="39"/>
  <c r="J282"/>
  <c r="I282"/>
  <c r="H282"/>
  <c r="G282"/>
  <c r="H22" i="43" s="1"/>
  <c r="F282" i="39"/>
  <c r="E282"/>
  <c r="D282"/>
  <c r="E22" i="43"/>
  <c r="D280" i="39"/>
  <c r="E280"/>
  <c r="F280"/>
  <c r="G280"/>
  <c r="C22" i="43" s="1"/>
  <c r="H280" i="39"/>
  <c r="I26" i="43"/>
  <c r="D26"/>
  <c r="G51"/>
  <c r="D132" i="39"/>
  <c r="E132"/>
  <c r="F132"/>
  <c r="H132"/>
  <c r="I132"/>
  <c r="J132"/>
  <c r="K132"/>
  <c r="D13" i="43"/>
  <c r="E58"/>
  <c r="K99" i="39"/>
  <c r="D94"/>
  <c r="E94"/>
  <c r="F94"/>
  <c r="G94"/>
  <c r="H20" i="43" s="1"/>
  <c r="H94" i="39"/>
  <c r="I94"/>
  <c r="J94"/>
  <c r="K94"/>
  <c r="D93"/>
  <c r="E93"/>
  <c r="F93"/>
  <c r="E57" i="43"/>
  <c r="K63" i="39"/>
  <c r="D58"/>
  <c r="E58"/>
  <c r="F58"/>
  <c r="G58"/>
  <c r="H58"/>
  <c r="I58"/>
  <c r="J58"/>
  <c r="K58"/>
  <c r="D57"/>
  <c r="E57"/>
  <c r="F57"/>
  <c r="D27"/>
  <c r="D716" s="1"/>
  <c r="D166" i="40"/>
  <c r="E166"/>
  <c r="F166"/>
  <c r="D135"/>
  <c r="D133"/>
  <c r="E133"/>
  <c r="F133"/>
  <c r="E107"/>
  <c r="F107"/>
  <c r="D105"/>
  <c r="E105"/>
  <c r="F105"/>
  <c r="D72"/>
  <c r="D71"/>
  <c r="D46"/>
  <c r="D45"/>
  <c r="D44"/>
  <c r="E44"/>
  <c r="F44"/>
  <c r="D43"/>
  <c r="E43"/>
  <c r="F43"/>
  <c r="G43"/>
  <c r="H43"/>
  <c r="I43"/>
  <c r="J43"/>
  <c r="K43"/>
  <c r="D15"/>
  <c r="E15"/>
  <c r="F15"/>
  <c r="G15"/>
  <c r="H15"/>
  <c r="I15"/>
  <c r="J15"/>
  <c r="K15"/>
  <c r="D13"/>
  <c r="E13"/>
  <c r="F13"/>
  <c r="D12"/>
  <c r="E12"/>
  <c r="F12"/>
  <c r="G12"/>
  <c r="H12"/>
  <c r="I12"/>
  <c r="J12"/>
  <c r="K12"/>
  <c r="D18" i="39"/>
  <c r="E18"/>
  <c r="F18"/>
  <c r="G18"/>
  <c r="H18"/>
  <c r="I18"/>
  <c r="J18"/>
  <c r="K18"/>
  <c r="D17"/>
  <c r="D15"/>
  <c r="D14"/>
  <c r="E14"/>
  <c r="E699" s="1"/>
  <c r="F14"/>
  <c r="F699" s="1"/>
  <c r="G14"/>
  <c r="H14"/>
  <c r="I14"/>
  <c r="J14"/>
  <c r="K14"/>
  <c r="E13"/>
  <c r="F13"/>
  <c r="G13"/>
  <c r="H13"/>
  <c r="I13"/>
  <c r="J13"/>
  <c r="K13"/>
  <c r="D12"/>
  <c r="D697" s="1"/>
  <c r="F12"/>
  <c r="F697" s="1"/>
  <c r="G12"/>
  <c r="G697" s="1"/>
  <c r="H12"/>
  <c r="H697" s="1"/>
  <c r="I12"/>
  <c r="I697" s="1"/>
  <c r="J12"/>
  <c r="J697" s="1"/>
  <c r="K12"/>
  <c r="K697" s="1"/>
  <c r="D11"/>
  <c r="K378"/>
  <c r="K704" l="1"/>
  <c r="G704"/>
  <c r="J704"/>
  <c r="F704"/>
  <c r="H704"/>
  <c r="D704"/>
  <c r="I704"/>
  <c r="E704"/>
  <c r="D799"/>
  <c r="D803" s="1"/>
  <c r="D458"/>
  <c r="H799"/>
  <c r="K799"/>
  <c r="E799"/>
  <c r="I799"/>
  <c r="J799"/>
  <c r="F799"/>
  <c r="H698"/>
  <c r="J698"/>
  <c r="F698"/>
  <c r="K698"/>
  <c r="G698"/>
  <c r="D696"/>
  <c r="I698"/>
  <c r="E698"/>
  <c r="H34" i="43"/>
  <c r="D761" i="39"/>
  <c r="D765" s="1"/>
  <c r="D510"/>
  <c r="D516" s="1"/>
  <c r="F761"/>
  <c r="E761"/>
  <c r="E510"/>
  <c r="E516" s="1"/>
  <c r="R659" i="36"/>
  <c r="Q660"/>
  <c r="K166" i="40"/>
  <c r="G806" i="39"/>
  <c r="J701"/>
  <c r="F701"/>
  <c r="H701"/>
  <c r="D701"/>
  <c r="I701"/>
  <c r="E701"/>
  <c r="K701"/>
  <c r="K699"/>
  <c r="J699"/>
  <c r="I699"/>
  <c r="H699"/>
  <c r="G29" i="43"/>
  <c r="G30"/>
  <c r="G755" i="39"/>
  <c r="J29" i="43"/>
  <c r="D750" i="39"/>
  <c r="D545"/>
  <c r="H13" i="43"/>
  <c r="G132" i="39"/>
  <c r="F11" i="44" s="1"/>
  <c r="T273" i="36"/>
  <c r="G699" i="39"/>
  <c r="G289"/>
  <c r="K289"/>
  <c r="J289"/>
  <c r="D289"/>
  <c r="H289"/>
  <c r="F289"/>
  <c r="E289"/>
  <c r="I289"/>
  <c r="D702"/>
  <c r="D699"/>
  <c r="D24"/>
  <c r="H16" i="43"/>
  <c r="G584" i="39"/>
  <c r="D700"/>
  <c r="K705"/>
  <c r="T676" i="36"/>
  <c r="C17" i="43"/>
  <c r="G623" i="39"/>
  <c r="E32" i="42"/>
  <c r="E21"/>
  <c r="F21"/>
  <c r="J550" i="39"/>
  <c r="E550"/>
  <c r="I550"/>
  <c r="G550"/>
  <c r="K550"/>
  <c r="D550"/>
  <c r="H550"/>
  <c r="H14" i="43"/>
  <c r="G799" i="39"/>
  <c r="F33" i="43"/>
  <c r="G751" i="39"/>
  <c r="J33" i="43"/>
  <c r="J421" i="39"/>
  <c r="I60" i="43"/>
  <c r="I421" i="39"/>
  <c r="J10" i="43"/>
  <c r="D421" i="39"/>
  <c r="H421"/>
  <c r="F421"/>
  <c r="L22" i="43"/>
  <c r="E421" i="39"/>
  <c r="K421"/>
  <c r="F10" i="43"/>
  <c r="D10"/>
  <c r="E10"/>
  <c r="C52"/>
  <c r="D465" i="39"/>
  <c r="D138"/>
  <c r="E138"/>
  <c r="G53" i="43"/>
  <c r="G421" i="39"/>
  <c r="H13" i="44" s="1"/>
  <c r="D372" i="39"/>
  <c r="K174"/>
  <c r="R660" i="36" l="1"/>
  <c r="S659"/>
  <c r="D710" i="39"/>
  <c r="D757"/>
  <c r="D767" s="1"/>
  <c r="D770"/>
  <c r="K631"/>
  <c r="K592"/>
  <c r="K184"/>
  <c r="T440" i="36"/>
  <c r="D812" i="39"/>
  <c r="K423"/>
  <c r="S660" i="36" l="1"/>
  <c r="D817" i="39"/>
  <c r="D814"/>
  <c r="M1008" i="36"/>
  <c r="M1026" s="1"/>
  <c r="M1208"/>
  <c r="M1207"/>
  <c r="M1206"/>
  <c r="M1205"/>
  <c r="M1176"/>
  <c r="M1175"/>
  <c r="M1181"/>
  <c r="M1165"/>
  <c r="M1124"/>
  <c r="M1125" s="1"/>
  <c r="M1115"/>
  <c r="M977"/>
  <c r="M997" s="1"/>
  <c r="D70" i="42"/>
  <c r="M937" i="36"/>
  <c r="M944" s="1"/>
  <c r="M939" l="1"/>
  <c r="O1028"/>
  <c r="M1159"/>
  <c r="D16" i="42"/>
  <c r="D52"/>
  <c r="D15"/>
  <c r="D53"/>
  <c r="D69"/>
  <c r="D33"/>
  <c r="M1180" i="36"/>
  <c r="M1177"/>
  <c r="M1182"/>
  <c r="M1204"/>
  <c r="M1172"/>
  <c r="P999" l="1"/>
  <c r="O1077"/>
  <c r="P1028"/>
  <c r="O1078"/>
  <c r="O942"/>
  <c r="O1106"/>
  <c r="M1060"/>
  <c r="M1061"/>
  <c r="D32" i="42"/>
  <c r="M1077" i="36"/>
  <c r="M1101"/>
  <c r="M1078"/>
  <c r="M1183"/>
  <c r="M833"/>
  <c r="M769"/>
  <c r="M785" s="1"/>
  <c r="D28" i="42"/>
  <c r="M535" i="36"/>
  <c r="M546" s="1"/>
  <c r="O548" s="1"/>
  <c r="D62" i="42"/>
  <c r="D49"/>
  <c r="M308" i="36"/>
  <c r="M316" s="1"/>
  <c r="M290"/>
  <c r="F763" i="39"/>
  <c r="F507"/>
  <c r="F457"/>
  <c r="F802" s="1"/>
  <c r="F456"/>
  <c r="F51" i="42"/>
  <c r="F378" i="39"/>
  <c r="F377"/>
  <c r="F715" s="1"/>
  <c r="F62" i="42"/>
  <c r="F56"/>
  <c r="F55"/>
  <c r="F46" i="40"/>
  <c r="M114" i="36"/>
  <c r="F801" i="39" l="1"/>
  <c r="F803" s="1"/>
  <c r="F458"/>
  <c r="P548" i="36"/>
  <c r="Q548" s="1"/>
  <c r="R548" s="1"/>
  <c r="S548" s="1"/>
  <c r="F762" i="39"/>
  <c r="F765" s="1"/>
  <c r="F510"/>
  <c r="Q999" i="36"/>
  <c r="Q1028"/>
  <c r="P787"/>
  <c r="Q787" s="1"/>
  <c r="R787" s="1"/>
  <c r="S787" s="1"/>
  <c r="O1076"/>
  <c r="O1073"/>
  <c r="P318"/>
  <c r="O319"/>
  <c r="O1069"/>
  <c r="M298"/>
  <c r="D23" i="39"/>
  <c r="D709" s="1"/>
  <c r="M1106" i="36"/>
  <c r="M1107"/>
  <c r="F72" i="40"/>
  <c r="F15" i="42"/>
  <c r="F53"/>
  <c r="F16"/>
  <c r="F52"/>
  <c r="D12"/>
  <c r="D14"/>
  <c r="D29"/>
  <c r="F18"/>
  <c r="F29"/>
  <c r="D58"/>
  <c r="D13"/>
  <c r="D21"/>
  <c r="F19"/>
  <c r="F14"/>
  <c r="D19"/>
  <c r="F58"/>
  <c r="D18"/>
  <c r="D25"/>
  <c r="F463" i="39"/>
  <c r="F808" s="1"/>
  <c r="F329"/>
  <c r="F333" s="1"/>
  <c r="M1100" i="36"/>
  <c r="F15" i="39"/>
  <c r="F700" s="1"/>
  <c r="F70" i="42"/>
  <c r="F464" i="39"/>
  <c r="F809" s="1"/>
  <c r="F71" i="40"/>
  <c r="D73"/>
  <c r="M234" i="36"/>
  <c r="F25" i="42"/>
  <c r="M188" i="36"/>
  <c r="D107" i="40"/>
  <c r="F17" i="39"/>
  <c r="F702" s="1"/>
  <c r="D13"/>
  <c r="D698" s="1"/>
  <c r="M740" i="36"/>
  <c r="M742" s="1"/>
  <c r="D374" i="39"/>
  <c r="D74" i="40"/>
  <c r="F11" i="39"/>
  <c r="F696" s="1"/>
  <c r="F45" i="40"/>
  <c r="F374" i="39"/>
  <c r="F73" i="40"/>
  <c r="F135"/>
  <c r="F74"/>
  <c r="M93" i="36"/>
  <c r="M871"/>
  <c r="M160"/>
  <c r="O744" l="1"/>
  <c r="O1103"/>
  <c r="R999"/>
  <c r="R1028"/>
  <c r="M745"/>
  <c r="O301"/>
  <c r="P300"/>
  <c r="O1068"/>
  <c r="P319"/>
  <c r="Q318"/>
  <c r="M873"/>
  <c r="F750" i="39"/>
  <c r="F757" s="1"/>
  <c r="F767" s="1"/>
  <c r="F545"/>
  <c r="F24"/>
  <c r="F710" s="1"/>
  <c r="D26"/>
  <c r="D712" s="1"/>
  <c r="D25"/>
  <c r="D711" s="1"/>
  <c r="F25"/>
  <c r="F711" s="1"/>
  <c r="F26"/>
  <c r="F712" s="1"/>
  <c r="F23"/>
  <c r="F709" s="1"/>
  <c r="P1069" i="36"/>
  <c r="P1078"/>
  <c r="P1076"/>
  <c r="P1077"/>
  <c r="D706" i="39"/>
  <c r="F138"/>
  <c r="M942" i="36"/>
  <c r="F32" i="42"/>
  <c r="F69"/>
  <c r="D9"/>
  <c r="F65"/>
  <c r="F13"/>
  <c r="M1056" i="36"/>
  <c r="M1053"/>
  <c r="F49" i="42"/>
  <c r="F12"/>
  <c r="F465" i="39"/>
  <c r="F167" i="40"/>
  <c r="M1054" i="36"/>
  <c r="F33" i="42"/>
  <c r="D50"/>
  <c r="D66"/>
  <c r="D55"/>
  <c r="D65"/>
  <c r="F66"/>
  <c r="D56"/>
  <c r="M1070" i="36"/>
  <c r="M278"/>
  <c r="E51" i="42"/>
  <c r="G51"/>
  <c r="H51"/>
  <c r="I51"/>
  <c r="J51"/>
  <c r="K51"/>
  <c r="T1208" i="36"/>
  <c r="T1207"/>
  <c r="T1206"/>
  <c r="T1205"/>
  <c r="T1176"/>
  <c r="T1175"/>
  <c r="T1165"/>
  <c r="T1115"/>
  <c r="T1008"/>
  <c r="T977"/>
  <c r="K70" i="42"/>
  <c r="T769" i="36"/>
  <c r="K328" i="39"/>
  <c r="K62" i="42"/>
  <c r="K25"/>
  <c r="K56"/>
  <c r="K55"/>
  <c r="K46" i="40"/>
  <c r="D35" i="42" l="1"/>
  <c r="S999" i="36"/>
  <c r="S1028"/>
  <c r="O745"/>
  <c r="P744"/>
  <c r="Q744" s="1"/>
  <c r="O1075"/>
  <c r="P301"/>
  <c r="Q300"/>
  <c r="R318"/>
  <c r="Q319"/>
  <c r="M280"/>
  <c r="M1087"/>
  <c r="M1089" s="1"/>
  <c r="T655"/>
  <c r="K456" i="39"/>
  <c r="K801" s="1"/>
  <c r="K763"/>
  <c r="F27"/>
  <c r="F716" s="1"/>
  <c r="P1073" i="36"/>
  <c r="Q1077"/>
  <c r="Q1078"/>
  <c r="Q1069"/>
  <c r="P1068"/>
  <c r="Q1076"/>
  <c r="P1107"/>
  <c r="K501" i="39"/>
  <c r="K756" s="1"/>
  <c r="F706"/>
  <c r="M1069" i="36"/>
  <c r="M301"/>
  <c r="K53" i="42"/>
  <c r="K16"/>
  <c r="K52"/>
  <c r="K15"/>
  <c r="K58"/>
  <c r="M1052" i="36"/>
  <c r="K14" i="42"/>
  <c r="F9"/>
  <c r="M1051" i="36"/>
  <c r="K12" i="42"/>
  <c r="F812" i="39"/>
  <c r="D717"/>
  <c r="D719" s="1"/>
  <c r="F769"/>
  <c r="T442" i="36"/>
  <c r="T444" s="1"/>
  <c r="M1058"/>
  <c r="M1057"/>
  <c r="F50" i="42"/>
  <c r="D51"/>
  <c r="F28"/>
  <c r="G377" i="39"/>
  <c r="G715" s="1"/>
  <c r="J377"/>
  <c r="J715" s="1"/>
  <c r="I377"/>
  <c r="I715" s="1"/>
  <c r="H377"/>
  <c r="H715" s="1"/>
  <c r="M1073" i="36"/>
  <c r="M1068"/>
  <c r="K280" i="39"/>
  <c r="K284" s="1"/>
  <c r="T274" i="36"/>
  <c r="K457" i="39"/>
  <c r="K802" s="1"/>
  <c r="T275" i="36"/>
  <c r="K73" i="40"/>
  <c r="K45"/>
  <c r="M319" i="36"/>
  <c r="T997"/>
  <c r="T1204"/>
  <c r="T535"/>
  <c r="T1180"/>
  <c r="T1026"/>
  <c r="T785"/>
  <c r="T1177"/>
  <c r="M1103" l="1"/>
  <c r="Q1103"/>
  <c r="O875"/>
  <c r="P875" s="1"/>
  <c r="P745"/>
  <c r="Q301"/>
  <c r="R300"/>
  <c r="S318"/>
  <c r="S319" s="1"/>
  <c r="R319"/>
  <c r="K750" i="39"/>
  <c r="K545"/>
  <c r="T1028" i="36"/>
  <c r="T999"/>
  <c r="T787"/>
  <c r="R1078"/>
  <c r="S1078"/>
  <c r="Q1073"/>
  <c r="R1076"/>
  <c r="S1076"/>
  <c r="Q1107"/>
  <c r="Q1068"/>
  <c r="R1069"/>
  <c r="P1070"/>
  <c r="R1077"/>
  <c r="S1077"/>
  <c r="F717" i="39"/>
  <c r="F719" s="1"/>
  <c r="M876" i="36"/>
  <c r="M1093"/>
  <c r="M1075"/>
  <c r="M1071"/>
  <c r="T1060"/>
  <c r="T1061"/>
  <c r="F814" i="39"/>
  <c r="D722"/>
  <c r="F35" i="42"/>
  <c r="T1059" i="36"/>
  <c r="M1059"/>
  <c r="K291" i="39"/>
  <c r="F770"/>
  <c r="I68" i="43"/>
  <c r="F46" i="42"/>
  <c r="F72" s="1"/>
  <c r="K167" i="40"/>
  <c r="M1074" i="36"/>
  <c r="M660"/>
  <c r="T966"/>
  <c r="K33" i="42"/>
  <c r="T546" i="36"/>
  <c r="K21" i="42"/>
  <c r="D46"/>
  <c r="D72" s="1"/>
  <c r="M1076" i="36"/>
  <c r="T1054"/>
  <c r="E62" i="42"/>
  <c r="R1103" i="36" l="1"/>
  <c r="O876"/>
  <c r="O1093"/>
  <c r="Q875"/>
  <c r="P876"/>
  <c r="R744"/>
  <c r="Q745"/>
  <c r="S300"/>
  <c r="S301" s="1"/>
  <c r="R301"/>
  <c r="K27" i="39"/>
  <c r="K716" s="1"/>
  <c r="T968" i="36"/>
  <c r="T548"/>
  <c r="P1093"/>
  <c r="Q1070"/>
  <c r="R1068"/>
  <c r="P1075"/>
  <c r="P1074"/>
  <c r="S1069"/>
  <c r="R1107"/>
  <c r="S1107"/>
  <c r="R1073"/>
  <c r="S1073"/>
  <c r="M1095"/>
  <c r="F816" i="39"/>
  <c r="F721"/>
  <c r="T1101" i="36"/>
  <c r="K552" i="39"/>
  <c r="I62" i="42"/>
  <c r="H62"/>
  <c r="T1056" i="36"/>
  <c r="G62" i="42"/>
  <c r="G64" i="43"/>
  <c r="K64" s="1"/>
  <c r="M1050" i="36"/>
  <c r="L26" i="43"/>
  <c r="M1109" i="36" l="1"/>
  <c r="S1103"/>
  <c r="O1095"/>
  <c r="R875"/>
  <c r="Q876"/>
  <c r="S744"/>
  <c r="R745"/>
  <c r="O283"/>
  <c r="O1067"/>
  <c r="O1081" s="1"/>
  <c r="M1064"/>
  <c r="Q1075"/>
  <c r="Q1074"/>
  <c r="S1068"/>
  <c r="Q1093"/>
  <c r="R1070"/>
  <c r="S1070"/>
  <c r="P1071"/>
  <c r="P1095"/>
  <c r="M283"/>
  <c r="M1067"/>
  <c r="F817" i="39"/>
  <c r="F722"/>
  <c r="J62" i="42"/>
  <c r="K463" i="39"/>
  <c r="K808" s="1"/>
  <c r="O1109" i="36" l="1"/>
  <c r="S875"/>
  <c r="R876"/>
  <c r="S745"/>
  <c r="R1093"/>
  <c r="Q1095"/>
  <c r="R1074"/>
  <c r="Q1071"/>
  <c r="R1075"/>
  <c r="M1081"/>
  <c r="K464" i="39"/>
  <c r="K809" s="1"/>
  <c r="S876" i="36" l="1"/>
  <c r="R1071"/>
  <c r="R1095"/>
  <c r="S1093"/>
  <c r="S1075"/>
  <c r="S1074"/>
  <c r="E70" i="42"/>
  <c r="G70"/>
  <c r="H70"/>
  <c r="I70"/>
  <c r="J70"/>
  <c r="E377" i="39"/>
  <c r="E715" s="1"/>
  <c r="S1071" i="36" l="1"/>
  <c r="S1095"/>
  <c r="H463" i="39"/>
  <c r="H808" s="1"/>
  <c r="I463"/>
  <c r="I808" s="1"/>
  <c r="J463"/>
  <c r="J808" s="1"/>
  <c r="G463"/>
  <c r="G808" s="1"/>
  <c r="G14" i="42" l="1"/>
  <c r="F13" i="44"/>
  <c r="I750" i="39" l="1"/>
  <c r="I545"/>
  <c r="J750"/>
  <c r="J545"/>
  <c r="E750"/>
  <c r="E757" s="1"/>
  <c r="E545"/>
  <c r="G750"/>
  <c r="G545"/>
  <c r="H750"/>
  <c r="H545"/>
  <c r="E34" i="43"/>
  <c r="K374" i="39" l="1"/>
  <c r="K329"/>
  <c r="C317"/>
  <c r="E25" i="42" l="1"/>
  <c r="C43" i="45"/>
  <c r="C42"/>
  <c r="C37"/>
  <c r="C36"/>
  <c r="C31"/>
  <c r="C25"/>
  <c r="C21"/>
  <c r="C20"/>
  <c r="C18"/>
  <c r="C17"/>
  <c r="C16"/>
  <c r="C15"/>
  <c r="C14"/>
  <c r="C9"/>
  <c r="C46" l="1"/>
  <c r="C166" i="40"/>
  <c r="C133"/>
  <c r="C107"/>
  <c r="C105"/>
  <c r="C72"/>
  <c r="C44"/>
  <c r="C43"/>
  <c r="C13"/>
  <c r="C12"/>
  <c r="C623" i="39" l="1"/>
  <c r="C582"/>
  <c r="C584" s="1"/>
  <c r="K55" i="43" l="1"/>
  <c r="M16"/>
  <c r="K54"/>
  <c r="M17"/>
  <c r="C543" i="39"/>
  <c r="C753" s="1"/>
  <c r="C506"/>
  <c r="C500"/>
  <c r="C755" s="1"/>
  <c r="C496"/>
  <c r="C751" s="1"/>
  <c r="C462"/>
  <c r="C807" s="1"/>
  <c r="C461"/>
  <c r="C806" s="1"/>
  <c r="C455"/>
  <c r="C800" s="1"/>
  <c r="C454"/>
  <c r="C421"/>
  <c r="K36" i="43"/>
  <c r="C372" i="39"/>
  <c r="C364"/>
  <c r="C320"/>
  <c r="C318"/>
  <c r="C282"/>
  <c r="C280"/>
  <c r="M26" i="43"/>
  <c r="C138" i="39"/>
  <c r="C132"/>
  <c r="K58" i="43"/>
  <c r="C94" i="39"/>
  <c r="C93"/>
  <c r="K57" i="43"/>
  <c r="C58" i="39"/>
  <c r="C57"/>
  <c r="D59"/>
  <c r="C17"/>
  <c r="C15"/>
  <c r="C14"/>
  <c r="C699" s="1"/>
  <c r="C13"/>
  <c r="C698" s="1"/>
  <c r="C12"/>
  <c r="C697" s="1"/>
  <c r="C799" l="1"/>
  <c r="C761"/>
  <c r="C701"/>
  <c r="C750"/>
  <c r="C545"/>
  <c r="C700"/>
  <c r="E631"/>
  <c r="H15" i="44"/>
  <c r="F15"/>
  <c r="C550" i="39"/>
  <c r="C465"/>
  <c r="K53" i="43"/>
  <c r="K72"/>
  <c r="K63"/>
  <c r="C95" i="39"/>
  <c r="C59"/>
  <c r="H631"/>
  <c r="I631"/>
  <c r="M34" i="43"/>
  <c r="D95" i="39"/>
  <c r="D174"/>
  <c r="F36" i="43"/>
  <c r="K60"/>
  <c r="H24" i="44"/>
  <c r="M22" i="43"/>
  <c r="I74"/>
  <c r="F95" i="39"/>
  <c r="F59"/>
  <c r="E95"/>
  <c r="D284"/>
  <c r="D423"/>
  <c r="D323"/>
  <c r="M15" i="43"/>
  <c r="E59" i="39"/>
  <c r="F631"/>
  <c r="J631"/>
  <c r="C631"/>
  <c r="G631"/>
  <c r="E18" i="45" l="1"/>
  <c r="E552" i="39"/>
  <c r="J15" i="44"/>
  <c r="H20"/>
  <c r="C552" i="39"/>
  <c r="C757"/>
  <c r="F633"/>
  <c r="G74" i="43"/>
  <c r="H14" i="44" l="1"/>
  <c r="F14"/>
  <c r="D15"/>
  <c r="L15" s="1"/>
  <c r="G633" i="39"/>
  <c r="F18" i="45"/>
  <c r="D592" i="39"/>
  <c r="F592"/>
  <c r="H592"/>
  <c r="J592"/>
  <c r="E592"/>
  <c r="G592"/>
  <c r="I592"/>
  <c r="E17" i="45" l="1"/>
  <c r="F594" i="39"/>
  <c r="D14" i="44" s="1"/>
  <c r="J14"/>
  <c r="H633" i="39"/>
  <c r="G18" i="45"/>
  <c r="G594" i="39" l="1"/>
  <c r="G17" i="45" s="1"/>
  <c r="F17"/>
  <c r="L14" i="44"/>
  <c r="I633" i="39"/>
  <c r="H18" i="45"/>
  <c r="H32" i="44"/>
  <c r="E43" i="45"/>
  <c r="H594" i="39" l="1"/>
  <c r="H17" i="45" s="1"/>
  <c r="J552" i="39"/>
  <c r="F552"/>
  <c r="I552"/>
  <c r="H552"/>
  <c r="D552"/>
  <c r="F32" i="44"/>
  <c r="J32" s="1"/>
  <c r="G552" i="39"/>
  <c r="J633"/>
  <c r="I18" i="45"/>
  <c r="D43"/>
  <c r="I594" i="39" l="1"/>
  <c r="I17" i="45" s="1"/>
  <c r="F554" i="39"/>
  <c r="K633"/>
  <c r="J18" i="45"/>
  <c r="C502" i="39"/>
  <c r="K18" i="45" l="1"/>
  <c r="J594" i="39"/>
  <c r="J17" i="45" s="1"/>
  <c r="G554" i="39"/>
  <c r="D32" i="44"/>
  <c r="L32" s="1"/>
  <c r="F43" i="45"/>
  <c r="K594" i="39" l="1"/>
  <c r="K17" i="45" s="1"/>
  <c r="H554" i="39"/>
  <c r="H43" i="45" s="1"/>
  <c r="G43"/>
  <c r="I554" i="39" l="1"/>
  <c r="I43" i="45" s="1"/>
  <c r="J554" i="39" l="1"/>
  <c r="J43" i="45" s="1"/>
  <c r="K554" i="39" l="1"/>
  <c r="J423"/>
  <c r="F423"/>
  <c r="H423"/>
  <c r="K43" i="45" l="1"/>
  <c r="F425" i="39"/>
  <c r="J13" i="44"/>
  <c r="I423" i="39"/>
  <c r="E423"/>
  <c r="G423"/>
  <c r="D13" i="44" l="1"/>
  <c r="L13" s="1"/>
  <c r="E16" i="45"/>
  <c r="G425" i="39"/>
  <c r="F16" i="45"/>
  <c r="E368" i="39"/>
  <c r="H425" l="1"/>
  <c r="H16" i="45" s="1"/>
  <c r="G16"/>
  <c r="G284" i="39"/>
  <c r="I425" l="1"/>
  <c r="I16" i="45" s="1"/>
  <c r="F20" i="44"/>
  <c r="F284" i="39"/>
  <c r="H284"/>
  <c r="C284"/>
  <c r="G291"/>
  <c r="J425" l="1"/>
  <c r="J16" i="45" s="1"/>
  <c r="H291" i="39"/>
  <c r="F291"/>
  <c r="J20" i="44"/>
  <c r="E174" i="39"/>
  <c r="C174"/>
  <c r="K425" l="1"/>
  <c r="F293"/>
  <c r="E184"/>
  <c r="E31" i="45"/>
  <c r="C184" i="39"/>
  <c r="K16" i="45" l="1"/>
  <c r="G293" i="39"/>
  <c r="D20" i="44"/>
  <c r="H293" i="39" l="1"/>
  <c r="E140" l="1"/>
  <c r="E14" i="45" l="1"/>
  <c r="D140" i="39"/>
  <c r="J99" l="1"/>
  <c r="I99"/>
  <c r="H99"/>
  <c r="G99"/>
  <c r="F99"/>
  <c r="E99"/>
  <c r="D99"/>
  <c r="C99"/>
  <c r="D104" l="1"/>
  <c r="C104"/>
  <c r="E104"/>
  <c r="H18" i="44"/>
  <c r="D101" i="39"/>
  <c r="F101"/>
  <c r="F103" s="1"/>
  <c r="C101"/>
  <c r="E101"/>
  <c r="E21" i="45" l="1"/>
  <c r="J63" i="39"/>
  <c r="I63"/>
  <c r="H63"/>
  <c r="G63"/>
  <c r="F63"/>
  <c r="E63"/>
  <c r="D63"/>
  <c r="C63"/>
  <c r="F21" i="45" l="1"/>
  <c r="F104" i="39"/>
  <c r="D68"/>
  <c r="C68"/>
  <c r="E68"/>
  <c r="H17" i="44"/>
  <c r="D18"/>
  <c r="D65" i="39"/>
  <c r="F65"/>
  <c r="C65"/>
  <c r="E65"/>
  <c r="E20" i="45" l="1"/>
  <c r="F67" i="39"/>
  <c r="F20" i="45" l="1"/>
  <c r="F68" i="39"/>
  <c r="D17" i="44"/>
  <c r="M13" i="43"/>
  <c r="E17" i="39" l="1"/>
  <c r="E702" s="1"/>
  <c r="G455"/>
  <c r="G800" l="1"/>
  <c r="I14" i="43"/>
  <c r="G105" i="40"/>
  <c r="G13"/>
  <c r="G44"/>
  <c r="G320" i="39"/>
  <c r="I29" i="43" s="1"/>
  <c r="G133" i="40"/>
  <c r="G462" i="39"/>
  <c r="G807" s="1"/>
  <c r="G506"/>
  <c r="H455"/>
  <c r="H105" i="40"/>
  <c r="H44"/>
  <c r="H462" i="39"/>
  <c r="H807" s="1"/>
  <c r="H320"/>
  <c r="G107" i="40"/>
  <c r="K74"/>
  <c r="C15"/>
  <c r="J457" i="39"/>
  <c r="J802" s="1"/>
  <c r="I457"/>
  <c r="I802" s="1"/>
  <c r="H457"/>
  <c r="H802" s="1"/>
  <c r="G457"/>
  <c r="E71" i="40"/>
  <c r="G802" i="39" l="1"/>
  <c r="H800"/>
  <c r="L14" i="43"/>
  <c r="D71"/>
  <c r="G761" i="39"/>
  <c r="D52" i="43"/>
  <c r="H133" i="40"/>
  <c r="H13"/>
  <c r="H506" i="39"/>
  <c r="E457"/>
  <c r="E802" s="1"/>
  <c r="G17"/>
  <c r="H107" i="40"/>
  <c r="I455" i="39"/>
  <c r="I174"/>
  <c r="H174"/>
  <c r="J174"/>
  <c r="I320"/>
  <c r="G174"/>
  <c r="I800" l="1"/>
  <c r="H761"/>
  <c r="H184"/>
  <c r="J184"/>
  <c r="I184"/>
  <c r="I10" i="43"/>
  <c r="T869" i="36"/>
  <c r="I506" i="39"/>
  <c r="I105" i="40"/>
  <c r="I462" i="39"/>
  <c r="I807" s="1"/>
  <c r="I44" i="40"/>
  <c r="I133"/>
  <c r="G184" i="39"/>
  <c r="F24" i="44"/>
  <c r="I13" i="40"/>
  <c r="H17" i="39"/>
  <c r="F174"/>
  <c r="J455"/>
  <c r="I107" i="40"/>
  <c r="J320" i="39"/>
  <c r="E15"/>
  <c r="E700" s="1"/>
  <c r="J800" l="1"/>
  <c r="I761"/>
  <c r="E68" i="43"/>
  <c r="J44" i="40"/>
  <c r="J105"/>
  <c r="J133"/>
  <c r="J462" i="39"/>
  <c r="J807" s="1"/>
  <c r="I17"/>
  <c r="J13" i="40"/>
  <c r="K506" i="39"/>
  <c r="J506"/>
  <c r="F184"/>
  <c r="F186" s="1"/>
  <c r="J24" i="44"/>
  <c r="J107" i="40"/>
  <c r="K761" i="39" l="1"/>
  <c r="J761"/>
  <c r="T93" i="36"/>
  <c r="K44" i="40" s="1"/>
  <c r="K47" s="1"/>
  <c r="J17" i="39"/>
  <c r="T114" i="36"/>
  <c r="K455" i="39"/>
  <c r="T833" i="36"/>
  <c r="T871" s="1"/>
  <c r="K462" i="39"/>
  <c r="K807" s="1"/>
  <c r="K13" i="40"/>
  <c r="T1124" i="36"/>
  <c r="T1125" s="1"/>
  <c r="T570"/>
  <c r="K320" i="39"/>
  <c r="K323" s="1"/>
  <c r="E56" i="42"/>
  <c r="G56"/>
  <c r="H56"/>
  <c r="I56"/>
  <c r="J56"/>
  <c r="E55"/>
  <c r="G55"/>
  <c r="H55"/>
  <c r="I55"/>
  <c r="J55"/>
  <c r="H763" i="39"/>
  <c r="I763"/>
  <c r="J763"/>
  <c r="K800" l="1"/>
  <c r="K803" s="1"/>
  <c r="K458"/>
  <c r="C18" i="42"/>
  <c r="E18"/>
  <c r="K28"/>
  <c r="K13"/>
  <c r="E19"/>
  <c r="C19"/>
  <c r="G186" i="39"/>
  <c r="F31" i="45"/>
  <c r="K465" i="39"/>
  <c r="K812"/>
  <c r="F71" i="43"/>
  <c r="G763" i="39"/>
  <c r="K50" i="42"/>
  <c r="D24" i="44"/>
  <c r="L24" s="1"/>
  <c r="T873" i="36"/>
  <c r="K16" i="40"/>
  <c r="K17" i="39"/>
  <c r="E763"/>
  <c r="E765" s="1"/>
  <c r="K107" i="40"/>
  <c r="C56" i="42"/>
  <c r="C55"/>
  <c r="G57" i="39"/>
  <c r="C19" i="43" s="1"/>
  <c r="M19" s="1"/>
  <c r="G93" i="39"/>
  <c r="C20" i="43" s="1"/>
  <c r="M20" s="1"/>
  <c r="T875" i="36" l="1"/>
  <c r="E23" i="39"/>
  <c r="E709" s="1"/>
  <c r="C592"/>
  <c r="C423"/>
  <c r="K467"/>
  <c r="K814"/>
  <c r="E770"/>
  <c r="E767"/>
  <c r="T1087" i="36"/>
  <c r="T1089" s="1"/>
  <c r="H186" i="39"/>
  <c r="G31" i="45"/>
  <c r="H72" i="40"/>
  <c r="G59" i="39"/>
  <c r="G95"/>
  <c r="H93"/>
  <c r="H57"/>
  <c r="E58" i="42" l="1"/>
  <c r="G19"/>
  <c r="G18"/>
  <c r="G65" i="39"/>
  <c r="F17" i="44"/>
  <c r="J17" s="1"/>
  <c r="L17" s="1"/>
  <c r="I186" i="39"/>
  <c r="H31" i="45"/>
  <c r="G101" i="39"/>
  <c r="F18" i="44"/>
  <c r="J18" s="1"/>
  <c r="L18" s="1"/>
  <c r="I72" i="40"/>
  <c r="H59" i="39"/>
  <c r="H95"/>
  <c r="I57"/>
  <c r="I93"/>
  <c r="H19" i="42" l="1"/>
  <c r="H18"/>
  <c r="H65" i="39"/>
  <c r="G103"/>
  <c r="G104" s="1"/>
  <c r="G67"/>
  <c r="G68" s="1"/>
  <c r="H101"/>
  <c r="H757"/>
  <c r="I757"/>
  <c r="J186"/>
  <c r="I31" i="45"/>
  <c r="J72" i="40"/>
  <c r="I59" i="39"/>
  <c r="I95"/>
  <c r="G72" i="40"/>
  <c r="T1133" i="36" l="1"/>
  <c r="I19" i="42"/>
  <c r="I18"/>
  <c r="G21" i="45"/>
  <c r="H103" i="39"/>
  <c r="H104" s="1"/>
  <c r="H67"/>
  <c r="K186"/>
  <c r="I65"/>
  <c r="G20" i="45"/>
  <c r="I101" i="39"/>
  <c r="J757"/>
  <c r="L33" i="43"/>
  <c r="J31" i="45"/>
  <c r="E72" i="40"/>
  <c r="J57" i="39"/>
  <c r="J93"/>
  <c r="K757"/>
  <c r="J68" i="43"/>
  <c r="H378" i="39"/>
  <c r="I378"/>
  <c r="J378"/>
  <c r="E284"/>
  <c r="E24" l="1"/>
  <c r="E710" s="1"/>
  <c r="K72" i="40"/>
  <c r="T1188" i="36"/>
  <c r="T1199" s="1"/>
  <c r="H20" i="45"/>
  <c r="H68" i="39"/>
  <c r="J18" i="42"/>
  <c r="J19"/>
  <c r="H21" i="45"/>
  <c r="I67" i="39"/>
  <c r="I68" s="1"/>
  <c r="K31" i="45"/>
  <c r="I103" i="39"/>
  <c r="I104" s="1"/>
  <c r="T290" i="36"/>
  <c r="K57" i="39"/>
  <c r="K59" s="1"/>
  <c r="T896" i="36"/>
  <c r="K502" i="39"/>
  <c r="T308" i="36"/>
  <c r="K93" i="39"/>
  <c r="K95" s="1"/>
  <c r="J59"/>
  <c r="J95"/>
  <c r="K32" i="42" l="1"/>
  <c r="I20" i="45"/>
  <c r="K65" i="39"/>
  <c r="J101"/>
  <c r="I21" i="45"/>
  <c r="K101" i="39"/>
  <c r="J65"/>
  <c r="E323"/>
  <c r="T298" i="36"/>
  <c r="K18" i="42"/>
  <c r="T316" i="36"/>
  <c r="K19" i="42"/>
  <c r="F323" i="39"/>
  <c r="T300" i="36" l="1"/>
  <c r="T318"/>
  <c r="T1052"/>
  <c r="E28" i="42"/>
  <c r="T1051" i="36"/>
  <c r="J103" i="39"/>
  <c r="J67"/>
  <c r="J68" s="1"/>
  <c r="I323"/>
  <c r="J323"/>
  <c r="G323"/>
  <c r="L29" i="43"/>
  <c r="M29" s="1"/>
  <c r="G167" i="40"/>
  <c r="J104" i="39" l="1"/>
  <c r="J21" i="45"/>
  <c r="K103" i="39"/>
  <c r="K104" s="1"/>
  <c r="J20" i="45"/>
  <c r="K67" i="39"/>
  <c r="K68" s="1"/>
  <c r="F27" i="44"/>
  <c r="G27" i="39"/>
  <c r="G716" l="1"/>
  <c r="K21" i="45"/>
  <c r="K20"/>
  <c r="J48" i="43"/>
  <c r="J74" s="1"/>
  <c r="H167" i="40"/>
  <c r="I167"/>
  <c r="J167"/>
  <c r="E27" i="39"/>
  <c r="E716" s="1"/>
  <c r="J27" l="1"/>
  <c r="J716" s="1"/>
  <c r="H27"/>
  <c r="H716" s="1"/>
  <c r="I27"/>
  <c r="I716" s="1"/>
  <c r="E29" i="42"/>
  <c r="F368" i="39"/>
  <c r="G372"/>
  <c r="D68" i="43" l="1"/>
  <c r="G327" i="39"/>
  <c r="E502"/>
  <c r="H372"/>
  <c r="H327"/>
  <c r="D67" i="43" l="1"/>
  <c r="I372" i="39"/>
  <c r="I327"/>
  <c r="L30" i="43" l="1"/>
  <c r="L36" s="1"/>
  <c r="J372" i="39"/>
  <c r="J327"/>
  <c r="J280"/>
  <c r="I280"/>
  <c r="G138" l="1"/>
  <c r="F51" i="43"/>
  <c r="K51" s="1"/>
  <c r="K327" i="39"/>
  <c r="K333" s="1"/>
  <c r="F140"/>
  <c r="H323"/>
  <c r="I284"/>
  <c r="J284"/>
  <c r="H11" i="44" l="1"/>
  <c r="J11" s="1"/>
  <c r="J291" i="39"/>
  <c r="I291"/>
  <c r="H138"/>
  <c r="G140"/>
  <c r="F142"/>
  <c r="T740" i="36"/>
  <c r="K372" i="39"/>
  <c r="K379" s="1"/>
  <c r="D11" i="44" l="1"/>
  <c r="L11" s="1"/>
  <c r="C24" i="39"/>
  <c r="C710" s="1"/>
  <c r="K66" i="42"/>
  <c r="K335" i="39"/>
  <c r="I293"/>
  <c r="H140"/>
  <c r="I138"/>
  <c r="T657" i="36"/>
  <c r="K65" i="42"/>
  <c r="G142" i="39"/>
  <c r="F14" i="45"/>
  <c r="T347" i="36"/>
  <c r="T1069"/>
  <c r="T319"/>
  <c r="G702" i="39"/>
  <c r="T659" i="36" l="1"/>
  <c r="T1057"/>
  <c r="J293" i="39"/>
  <c r="I140"/>
  <c r="H142"/>
  <c r="I30" i="43"/>
  <c r="M30" s="1"/>
  <c r="J138" i="39"/>
  <c r="G14" i="45"/>
  <c r="H702" i="39"/>
  <c r="G368"/>
  <c r="K293" l="1"/>
  <c r="H14" i="45"/>
  <c r="I36" i="43"/>
  <c r="I142" i="39"/>
  <c r="F28" i="44"/>
  <c r="J140" i="39"/>
  <c r="K138"/>
  <c r="T349" i="36"/>
  <c r="K49" i="42"/>
  <c r="T301" i="36"/>
  <c r="T1068"/>
  <c r="I702" i="39"/>
  <c r="H368"/>
  <c r="C70" i="42"/>
  <c r="T351" i="36" l="1"/>
  <c r="H16" i="42"/>
  <c r="J53"/>
  <c r="E53"/>
  <c r="I16"/>
  <c r="C16"/>
  <c r="G53"/>
  <c r="G16"/>
  <c r="I53"/>
  <c r="J16"/>
  <c r="E16"/>
  <c r="H53"/>
  <c r="T1053" i="36"/>
  <c r="I25" i="42"/>
  <c r="K140" i="39"/>
  <c r="I14" i="45"/>
  <c r="J142" i="39"/>
  <c r="C53" i="42"/>
  <c r="J702" i="39"/>
  <c r="I368"/>
  <c r="G52" i="42"/>
  <c r="J52"/>
  <c r="G15" l="1"/>
  <c r="I52"/>
  <c r="H15"/>
  <c r="E52"/>
  <c r="I15"/>
  <c r="C15"/>
  <c r="J15"/>
  <c r="E15"/>
  <c r="H52"/>
  <c r="J14" i="45"/>
  <c r="K142" i="39"/>
  <c r="D631"/>
  <c r="J368"/>
  <c r="K14" i="45" l="1"/>
  <c r="K702" i="39"/>
  <c r="C52" i="42"/>
  <c r="I33" l="1"/>
  <c r="C33"/>
  <c r="J33"/>
  <c r="E33"/>
  <c r="G33"/>
  <c r="H33"/>
  <c r="K368" i="39"/>
  <c r="T742" i="36"/>
  <c r="K29" i="42"/>
  <c r="T744" i="36" l="1"/>
  <c r="T1058"/>
  <c r="K381" i="39"/>
  <c r="C763"/>
  <c r="T1078" i="36" l="1"/>
  <c r="C32" i="42"/>
  <c r="C507" i="39"/>
  <c r="D515"/>
  <c r="E69" i="42"/>
  <c r="H502" i="39"/>
  <c r="I502"/>
  <c r="J502"/>
  <c r="D502"/>
  <c r="C762" l="1"/>
  <c r="C765" s="1"/>
  <c r="C510"/>
  <c r="C516" s="1"/>
  <c r="J32" i="42"/>
  <c r="H32"/>
  <c r="C69"/>
  <c r="I32"/>
  <c r="E512" i="39"/>
  <c r="D512"/>
  <c r="F502"/>
  <c r="E515"/>
  <c r="E42" i="45" l="1"/>
  <c r="C512" i="39"/>
  <c r="C770"/>
  <c r="C767"/>
  <c r="G507"/>
  <c r="G510" s="1"/>
  <c r="C515"/>
  <c r="G762" l="1"/>
  <c r="G765" s="1"/>
  <c r="T1107" i="36"/>
  <c r="G69" i="42"/>
  <c r="E71" i="43"/>
  <c r="K71" s="1"/>
  <c r="H507" i="39"/>
  <c r="H510" s="1"/>
  <c r="F512"/>
  <c r="F514" l="1"/>
  <c r="H762"/>
  <c r="H765" s="1"/>
  <c r="H31" i="44"/>
  <c r="H69" i="42"/>
  <c r="I507" i="39"/>
  <c r="I510" s="1"/>
  <c r="T1077" i="36"/>
  <c r="F516" i="39" l="1"/>
  <c r="F42" i="45"/>
  <c r="H767" i="39"/>
  <c r="F515"/>
  <c r="D31" i="44"/>
  <c r="H512" i="39"/>
  <c r="I762"/>
  <c r="I765" s="1"/>
  <c r="I69" i="42"/>
  <c r="J507" i="39"/>
  <c r="J510" s="1"/>
  <c r="I767" l="1"/>
  <c r="I512"/>
  <c r="J762"/>
  <c r="J765" s="1"/>
  <c r="J69" i="42"/>
  <c r="T937" i="36"/>
  <c r="K507" i="39"/>
  <c r="K510" s="1"/>
  <c r="C457"/>
  <c r="C802" s="1"/>
  <c r="E456"/>
  <c r="E801" l="1"/>
  <c r="E803" s="1"/>
  <c r="E458"/>
  <c r="J767"/>
  <c r="J512"/>
  <c r="C812"/>
  <c r="K762"/>
  <c r="K765" s="1"/>
  <c r="J464"/>
  <c r="J809" s="1"/>
  <c r="T939" i="36"/>
  <c r="K69" i="42"/>
  <c r="E464" i="39"/>
  <c r="E809" s="1"/>
  <c r="H464"/>
  <c r="H809" s="1"/>
  <c r="I464"/>
  <c r="I809" s="1"/>
  <c r="G464"/>
  <c r="G809" s="1"/>
  <c r="E52" i="43"/>
  <c r="H456" i="39"/>
  <c r="G456"/>
  <c r="G458" s="1"/>
  <c r="J456"/>
  <c r="I456"/>
  <c r="C456"/>
  <c r="C458" s="1"/>
  <c r="I801" l="1"/>
  <c r="I458"/>
  <c r="H801"/>
  <c r="H458"/>
  <c r="J801"/>
  <c r="J458"/>
  <c r="C801"/>
  <c r="C803" s="1"/>
  <c r="G801"/>
  <c r="G803" s="1"/>
  <c r="G812"/>
  <c r="C817"/>
  <c r="K767"/>
  <c r="T1100" i="36"/>
  <c r="K512" i="39"/>
  <c r="C13" i="42"/>
  <c r="H13"/>
  <c r="G13"/>
  <c r="J13"/>
  <c r="I13"/>
  <c r="E13"/>
  <c r="E465" i="39"/>
  <c r="E812"/>
  <c r="H465"/>
  <c r="H812"/>
  <c r="J465"/>
  <c r="J812"/>
  <c r="I465"/>
  <c r="I812"/>
  <c r="F52" i="43"/>
  <c r="K52" s="1"/>
  <c r="G465" i="39"/>
  <c r="H12" i="44" s="1"/>
  <c r="F12"/>
  <c r="J14" i="43"/>
  <c r="M14" s="1"/>
  <c r="D470" i="39"/>
  <c r="C470"/>
  <c r="C51" i="42"/>
  <c r="I803" i="39" l="1"/>
  <c r="H803"/>
  <c r="J803"/>
  <c r="G814"/>
  <c r="G816" s="1"/>
  <c r="E817"/>
  <c r="C814"/>
  <c r="H14" i="42"/>
  <c r="I14"/>
  <c r="C50"/>
  <c r="J14"/>
  <c r="E14"/>
  <c r="E467" i="39"/>
  <c r="J467"/>
  <c r="I467"/>
  <c r="H467"/>
  <c r="E814"/>
  <c r="J50" i="42"/>
  <c r="H50"/>
  <c r="I50"/>
  <c r="G50"/>
  <c r="E50"/>
  <c r="J36" i="43"/>
  <c r="G467" i="39"/>
  <c r="E470"/>
  <c r="D467"/>
  <c r="C467"/>
  <c r="F467"/>
  <c r="C702"/>
  <c r="J814" l="1"/>
  <c r="H814"/>
  <c r="I814"/>
  <c r="G817"/>
  <c r="E15" i="45"/>
  <c r="J12" i="44"/>
  <c r="F469" i="39"/>
  <c r="D12" i="44" s="1"/>
  <c r="J374" i="39"/>
  <c r="J379" s="1"/>
  <c r="I374"/>
  <c r="I379" s="1"/>
  <c r="E374"/>
  <c r="H374"/>
  <c r="H379" s="1"/>
  <c r="G374"/>
  <c r="C374"/>
  <c r="D379"/>
  <c r="C14" i="42"/>
  <c r="C377" i="39"/>
  <c r="C715" s="1"/>
  <c r="C368"/>
  <c r="D368"/>
  <c r="H816" l="1"/>
  <c r="T1103" i="36"/>
  <c r="E379" i="39"/>
  <c r="G29" i="42"/>
  <c r="I29"/>
  <c r="C29"/>
  <c r="H29"/>
  <c r="C66"/>
  <c r="J66"/>
  <c r="I66"/>
  <c r="H66"/>
  <c r="G66"/>
  <c r="I381" i="39"/>
  <c r="D384"/>
  <c r="H381"/>
  <c r="J381"/>
  <c r="F15" i="45"/>
  <c r="E66" i="42"/>
  <c r="G379" i="39"/>
  <c r="F68" i="43"/>
  <c r="K68" s="1"/>
  <c r="F470" i="39"/>
  <c r="L12" i="44"/>
  <c r="G469" i="39"/>
  <c r="C379"/>
  <c r="F379"/>
  <c r="D381"/>
  <c r="I816" l="1"/>
  <c r="H817"/>
  <c r="E381"/>
  <c r="E384"/>
  <c r="J29" i="42"/>
  <c r="F381" i="39"/>
  <c r="G470"/>
  <c r="E37" i="45"/>
  <c r="C384" i="39"/>
  <c r="G381"/>
  <c r="H28" i="44"/>
  <c r="J28" s="1"/>
  <c r="H469" i="39"/>
  <c r="G15" i="45"/>
  <c r="C381" i="39"/>
  <c r="J816" l="1"/>
  <c r="I817"/>
  <c r="G329"/>
  <c r="H28" i="42"/>
  <c r="J28"/>
  <c r="J329" i="39"/>
  <c r="J333" s="1"/>
  <c r="H329"/>
  <c r="H333" s="1"/>
  <c r="I28" i="42"/>
  <c r="G28"/>
  <c r="H470" i="39"/>
  <c r="F383"/>
  <c r="I329"/>
  <c r="I333" s="1"/>
  <c r="E67" i="43"/>
  <c r="I469" i="39"/>
  <c r="H15" i="45"/>
  <c r="C323" i="39"/>
  <c r="K816" l="1"/>
  <c r="J817"/>
  <c r="G333"/>
  <c r="F67" i="43"/>
  <c r="K67" s="1"/>
  <c r="J21" i="42"/>
  <c r="C21"/>
  <c r="G58"/>
  <c r="G21"/>
  <c r="H58"/>
  <c r="I21"/>
  <c r="J58"/>
  <c r="C28"/>
  <c r="H21"/>
  <c r="I58"/>
  <c r="C65"/>
  <c r="E65"/>
  <c r="J65"/>
  <c r="I65"/>
  <c r="H65"/>
  <c r="G65"/>
  <c r="F37" i="45"/>
  <c r="D28" i="44"/>
  <c r="L28" s="1"/>
  <c r="F384" i="39"/>
  <c r="I470"/>
  <c r="G383"/>
  <c r="C338"/>
  <c r="J469"/>
  <c r="I15" i="45"/>
  <c r="C335" i="39"/>
  <c r="C62" i="42"/>
  <c r="K817" i="39" l="1"/>
  <c r="C289"/>
  <c r="T1076" i="36"/>
  <c r="H25" i="42"/>
  <c r="C25"/>
  <c r="C58"/>
  <c r="J25"/>
  <c r="E335" i="39"/>
  <c r="I335"/>
  <c r="D335"/>
  <c r="H383"/>
  <c r="G37" i="45"/>
  <c r="G384" i="39"/>
  <c r="H335"/>
  <c r="J335"/>
  <c r="J470"/>
  <c r="E291"/>
  <c r="T876" i="36"/>
  <c r="T1093"/>
  <c r="G25" i="42"/>
  <c r="K469" i="39"/>
  <c r="J15" i="45"/>
  <c r="G335" i="39"/>
  <c r="H27" i="44"/>
  <c r="J27" s="1"/>
  <c r="E338" i="39"/>
  <c r="D338"/>
  <c r="F335"/>
  <c r="F25" i="45"/>
  <c r="L20" i="44"/>
  <c r="F337" i="39" l="1"/>
  <c r="T1075" i="36"/>
  <c r="T745"/>
  <c r="I383" i="39"/>
  <c r="H37" i="45"/>
  <c r="H384" i="39"/>
  <c r="K15" i="45"/>
  <c r="E36"/>
  <c r="E25"/>
  <c r="D291" i="39"/>
  <c r="C291"/>
  <c r="K470"/>
  <c r="G25" i="45"/>
  <c r="D184" i="39"/>
  <c r="F338" l="1"/>
  <c r="J383"/>
  <c r="I37" i="45"/>
  <c r="I384" i="39"/>
  <c r="G337"/>
  <c r="D27" i="44"/>
  <c r="L27" s="1"/>
  <c r="F36" i="45"/>
  <c r="J23" i="44"/>
  <c r="H25" i="45"/>
  <c r="M25" i="43"/>
  <c r="K383" i="39" l="1"/>
  <c r="J37" i="45"/>
  <c r="J384" i="39"/>
  <c r="H337"/>
  <c r="H338" s="1"/>
  <c r="G338"/>
  <c r="G36" i="45"/>
  <c r="I25"/>
  <c r="H36" l="1"/>
  <c r="I337" i="39"/>
  <c r="I338" s="1"/>
  <c r="K37" i="45"/>
  <c r="K384" i="39"/>
  <c r="L23" i="44"/>
  <c r="J25" i="45"/>
  <c r="G49" i="42"/>
  <c r="H49"/>
  <c r="I49"/>
  <c r="J49"/>
  <c r="E49"/>
  <c r="G12" l="1"/>
  <c r="J12"/>
  <c r="I12"/>
  <c r="C12"/>
  <c r="H12"/>
  <c r="E12"/>
  <c r="T660" i="36"/>
  <c r="T1074"/>
  <c r="J337" i="39"/>
  <c r="I36" i="45"/>
  <c r="K25"/>
  <c r="E36" i="43"/>
  <c r="C140" i="39"/>
  <c r="K337" l="1"/>
  <c r="J36" i="45"/>
  <c r="J338" i="39"/>
  <c r="T1071" i="36"/>
  <c r="C49" i="42"/>
  <c r="K36" i="45" l="1"/>
  <c r="K338" i="39"/>
  <c r="T1095" i="36"/>
  <c r="T1073"/>
  <c r="C27" i="39" l="1"/>
  <c r="C716" s="1"/>
  <c r="C73" i="40"/>
  <c r="E45"/>
  <c r="G45"/>
  <c r="H45"/>
  <c r="I45"/>
  <c r="J45"/>
  <c r="C46"/>
  <c r="E46"/>
  <c r="G46"/>
  <c r="H46"/>
  <c r="I46"/>
  <c r="J46"/>
  <c r="G24" i="39" l="1"/>
  <c r="I74" i="40"/>
  <c r="H73"/>
  <c r="H74"/>
  <c r="G73"/>
  <c r="G25" i="39" s="1"/>
  <c r="G711" s="1"/>
  <c r="G74" i="40"/>
  <c r="J73"/>
  <c r="E73"/>
  <c r="E25" i="39" s="1"/>
  <c r="E711" s="1"/>
  <c r="E135" i="40"/>
  <c r="J74"/>
  <c r="E74"/>
  <c r="I73"/>
  <c r="F16"/>
  <c r="C168"/>
  <c r="C71"/>
  <c r="G47"/>
  <c r="D47"/>
  <c r="C135"/>
  <c r="C136" s="1"/>
  <c r="E47"/>
  <c r="C45"/>
  <c r="C47" s="1"/>
  <c r="D108"/>
  <c r="C74"/>
  <c r="F108"/>
  <c r="G16"/>
  <c r="J47"/>
  <c r="I47"/>
  <c r="C108"/>
  <c r="I16"/>
  <c r="G108"/>
  <c r="H16"/>
  <c r="E108"/>
  <c r="H47"/>
  <c r="J108"/>
  <c r="I108"/>
  <c r="J16"/>
  <c r="F47"/>
  <c r="H108"/>
  <c r="G710" i="39" l="1"/>
  <c r="C23"/>
  <c r="C709" s="1"/>
  <c r="C25"/>
  <c r="C711" s="1"/>
  <c r="C26"/>
  <c r="C712" s="1"/>
  <c r="E26"/>
  <c r="E712" s="1"/>
  <c r="D48" i="43"/>
  <c r="D74" s="1"/>
  <c r="E136" i="40"/>
  <c r="C16"/>
  <c r="G71"/>
  <c r="G135"/>
  <c r="D136"/>
  <c r="F75"/>
  <c r="C75"/>
  <c r="D75"/>
  <c r="E75"/>
  <c r="D168"/>
  <c r="F136"/>
  <c r="E16"/>
  <c r="D16"/>
  <c r="I24" i="39" l="1"/>
  <c r="H24"/>
  <c r="G26"/>
  <c r="C46" i="42"/>
  <c r="C72" s="1"/>
  <c r="T1070" i="36"/>
  <c r="C717" i="39"/>
  <c r="H71" i="40"/>
  <c r="H135"/>
  <c r="D28" i="39"/>
  <c r="C28"/>
  <c r="G136" i="40"/>
  <c r="G75"/>
  <c r="E11" i="39"/>
  <c r="E696" s="1"/>
  <c r="H710" l="1"/>
  <c r="I710"/>
  <c r="F48" i="43"/>
  <c r="F74" s="1"/>
  <c r="G712" i="39"/>
  <c r="H26"/>
  <c r="C33"/>
  <c r="C722"/>
  <c r="I71" i="40"/>
  <c r="I135"/>
  <c r="D33" i="39"/>
  <c r="H75" i="40"/>
  <c r="E717" i="39"/>
  <c r="H712" l="1"/>
  <c r="J24"/>
  <c r="I26"/>
  <c r="E722"/>
  <c r="E48" i="43"/>
  <c r="J135" i="40"/>
  <c r="I75"/>
  <c r="J71"/>
  <c r="E168"/>
  <c r="E28" i="39"/>
  <c r="F168" i="40"/>
  <c r="C11" i="39"/>
  <c r="C696" s="1"/>
  <c r="J710" l="1"/>
  <c r="I712"/>
  <c r="J26"/>
  <c r="T160" i="36"/>
  <c r="T1182"/>
  <c r="K71" i="40"/>
  <c r="J75"/>
  <c r="K135"/>
  <c r="C18" i="39"/>
  <c r="C704" s="1"/>
  <c r="F28"/>
  <c r="J712" l="1"/>
  <c r="K105" i="40"/>
  <c r="T188" i="36"/>
  <c r="K26" i="39"/>
  <c r="C9" i="42"/>
  <c r="C35" s="1"/>
  <c r="E46"/>
  <c r="E72" s="1"/>
  <c r="C20" i="39"/>
  <c r="C706"/>
  <c r="C719" s="1"/>
  <c r="G11"/>
  <c r="G696" s="1"/>
  <c r="K75" i="40"/>
  <c r="D46" i="45"/>
  <c r="E74" i="43"/>
  <c r="K712" i="39" l="1"/>
  <c r="K108" i="40"/>
  <c r="C30" i="39"/>
  <c r="C10" i="43"/>
  <c r="C36" s="1"/>
  <c r="H11" i="39"/>
  <c r="H696" s="1"/>
  <c r="E12"/>
  <c r="E697" s="1"/>
  <c r="T1198" i="36" l="1"/>
  <c r="T1201" s="1"/>
  <c r="K133" i="40"/>
  <c r="T226" i="36"/>
  <c r="I11" i="39"/>
  <c r="I696" s="1"/>
  <c r="E20"/>
  <c r="E706"/>
  <c r="E9" i="45"/>
  <c r="E46" s="1"/>
  <c r="E33" i="39"/>
  <c r="F20"/>
  <c r="T1190" i="36" l="1"/>
  <c r="K24" i="39"/>
  <c r="E719"/>
  <c r="F30"/>
  <c r="F32" s="1"/>
  <c r="E30"/>
  <c r="J11"/>
  <c r="J696" s="1"/>
  <c r="D36" i="43"/>
  <c r="D20" i="39"/>
  <c r="E9" i="42"/>
  <c r="K710" i="39" l="1"/>
  <c r="K11"/>
  <c r="K696" s="1"/>
  <c r="T1132" i="36"/>
  <c r="T1135" s="1"/>
  <c r="T1158" s="1"/>
  <c r="E35" i="42"/>
  <c r="D30" i="39"/>
  <c r="D8" i="44" l="1"/>
  <c r="D34" s="1"/>
  <c r="T1141" i="36"/>
  <c r="T1142" s="1"/>
  <c r="T1136"/>
  <c r="F33" i="39"/>
  <c r="F9" i="45"/>
  <c r="F46" s="1"/>
  <c r="T1159" i="36" l="1"/>
  <c r="H134" i="40" l="1"/>
  <c r="H25" i="39" s="1"/>
  <c r="H711" s="1"/>
  <c r="H136" i="40" l="1"/>
  <c r="I134" l="1"/>
  <c r="I25" i="39" s="1"/>
  <c r="I711" s="1"/>
  <c r="T232" i="36"/>
  <c r="T234" s="1"/>
  <c r="J134" i="40"/>
  <c r="J25" i="39" s="1"/>
  <c r="J711" s="1"/>
  <c r="K134" i="40"/>
  <c r="K25" i="39" s="1"/>
  <c r="K711" s="1"/>
  <c r="J136" i="40" l="1"/>
  <c r="I136"/>
  <c r="K136"/>
  <c r="H10" i="43" l="1"/>
  <c r="G701" i="39"/>
  <c r="P1170" i="36" l="1"/>
  <c r="P1181" s="1"/>
  <c r="P1183" s="1"/>
  <c r="P276"/>
  <c r="P45"/>
  <c r="P56" s="1"/>
  <c r="G163" i="40"/>
  <c r="G168" s="1"/>
  <c r="G15" i="39" l="1"/>
  <c r="G20" s="1"/>
  <c r="P1172" i="36"/>
  <c r="G23" i="39"/>
  <c r="G709" s="1"/>
  <c r="P278" i="36"/>
  <c r="G9" i="42"/>
  <c r="C48" i="43" l="1"/>
  <c r="G28" i="39"/>
  <c r="G10" i="43"/>
  <c r="M10" s="1"/>
  <c r="G700" i="39"/>
  <c r="G706" s="1"/>
  <c r="G46" i="42"/>
  <c r="G72" s="1"/>
  <c r="P280" i="36"/>
  <c r="G717" i="39"/>
  <c r="F8" i="44"/>
  <c r="P1050" i="36" l="1"/>
  <c r="P1064" s="1"/>
  <c r="G36" i="43"/>
  <c r="C74"/>
  <c r="K48"/>
  <c r="H8" i="44"/>
  <c r="H34" s="1"/>
  <c r="G30" i="39"/>
  <c r="G32" s="1"/>
  <c r="P282" i="36"/>
  <c r="G719" i="39"/>
  <c r="J8" i="44" l="1"/>
  <c r="L8" s="1"/>
  <c r="K74" i="43"/>
  <c r="P1067" i="36"/>
  <c r="P283"/>
  <c r="G33" i="39"/>
  <c r="G9" i="45"/>
  <c r="G721" i="39"/>
  <c r="P1081" i="36" l="1"/>
  <c r="G722" i="39"/>
  <c r="S1170" i="36"/>
  <c r="S1181" s="1"/>
  <c r="S1183" s="1"/>
  <c r="T1170"/>
  <c r="T1181" s="1"/>
  <c r="T1183" s="1"/>
  <c r="Q1170"/>
  <c r="Q1172" s="1"/>
  <c r="R1170"/>
  <c r="R1172" s="1"/>
  <c r="S276"/>
  <c r="R276"/>
  <c r="R278" s="1"/>
  <c r="T276"/>
  <c r="K163" i="40"/>
  <c r="K168" s="1"/>
  <c r="I163"/>
  <c r="I168" s="1"/>
  <c r="H163"/>
  <c r="H168" s="1"/>
  <c r="T45" i="36"/>
  <c r="S45"/>
  <c r="J15" i="39" s="1"/>
  <c r="J163" i="40"/>
  <c r="J168" s="1"/>
  <c r="R45" i="36"/>
  <c r="Q45"/>
  <c r="Q56" s="1"/>
  <c r="Q276"/>
  <c r="H15" i="39" l="1"/>
  <c r="H700" s="1"/>
  <c r="H706" s="1"/>
  <c r="Q1181" i="36"/>
  <c r="Q1183" s="1"/>
  <c r="I23" i="39"/>
  <c r="H23"/>
  <c r="H28" s="1"/>
  <c r="J23"/>
  <c r="J709" s="1"/>
  <c r="J717" s="1"/>
  <c r="K23"/>
  <c r="K28" s="1"/>
  <c r="S278" i="36"/>
  <c r="H9" i="42"/>
  <c r="I46"/>
  <c r="I72" s="1"/>
  <c r="J700" i="39"/>
  <c r="J706" s="1"/>
  <c r="J20"/>
  <c r="T56" i="36"/>
  <c r="Q278"/>
  <c r="T278"/>
  <c r="R56"/>
  <c r="R1181"/>
  <c r="R1183" s="1"/>
  <c r="S56"/>
  <c r="S1172"/>
  <c r="K15" i="39"/>
  <c r="I15"/>
  <c r="T1172" i="36"/>
  <c r="Q280" l="1"/>
  <c r="H20" i="39"/>
  <c r="I28"/>
  <c r="I709"/>
  <c r="I717" s="1"/>
  <c r="K709"/>
  <c r="K717" s="1"/>
  <c r="H709"/>
  <c r="H717" s="1"/>
  <c r="H719" s="1"/>
  <c r="H721" s="1"/>
  <c r="J28"/>
  <c r="J46" i="42"/>
  <c r="J72" s="1"/>
  <c r="R280" i="36"/>
  <c r="I9" i="42"/>
  <c r="I35" s="1"/>
  <c r="J719" i="39"/>
  <c r="H35" i="42"/>
  <c r="K20" i="39"/>
  <c r="K700"/>
  <c r="K706" s="1"/>
  <c r="K46" i="42"/>
  <c r="K72" s="1"/>
  <c r="T280" i="36"/>
  <c r="K9" i="42"/>
  <c r="K35" s="1"/>
  <c r="S280" i="36"/>
  <c r="J9" i="42"/>
  <c r="J35" s="1"/>
  <c r="I20" i="39"/>
  <c r="I700"/>
  <c r="I706" s="1"/>
  <c r="H46" i="42"/>
  <c r="Q282" i="36" l="1"/>
  <c r="Q1050"/>
  <c r="Q1064" s="1"/>
  <c r="H30" i="39"/>
  <c r="H32" s="1"/>
  <c r="H33" s="1"/>
  <c r="J30"/>
  <c r="R1050" i="36"/>
  <c r="R1064" s="1"/>
  <c r="K30" i="39"/>
  <c r="H722"/>
  <c r="I30"/>
  <c r="S1050" i="36"/>
  <c r="S1064" s="1"/>
  <c r="T1050"/>
  <c r="T1064" s="1"/>
  <c r="H72" i="42"/>
  <c r="I719" i="39"/>
  <c r="I721" s="1"/>
  <c r="K719"/>
  <c r="Q1067" i="36" l="1"/>
  <c r="Q283"/>
  <c r="R282"/>
  <c r="H9" i="45"/>
  <c r="J721" i="39"/>
  <c r="I722"/>
  <c r="I32"/>
  <c r="R1067" i="36" l="1"/>
  <c r="Q1081"/>
  <c r="S282"/>
  <c r="R283"/>
  <c r="K721" i="39"/>
  <c r="J722"/>
  <c r="I33"/>
  <c r="J32"/>
  <c r="I9" i="45"/>
  <c r="R1081" i="36" l="1"/>
  <c r="S283"/>
  <c r="S1067"/>
  <c r="T282"/>
  <c r="K722" i="39"/>
  <c r="J9" i="45"/>
  <c r="J33" i="39"/>
  <c r="K32"/>
  <c r="S1081" i="36" l="1"/>
  <c r="T1067"/>
  <c r="T283"/>
  <c r="K9" i="45"/>
  <c r="K33" i="39"/>
  <c r="T1081" i="36" l="1"/>
  <c r="P896"/>
  <c r="G498" i="39"/>
  <c r="P939" i="36" l="1"/>
  <c r="G502" i="39"/>
  <c r="G753"/>
  <c r="G757" s="1"/>
  <c r="H33" i="43"/>
  <c r="G32" i="42"/>
  <c r="F31" i="44" l="1"/>
  <c r="J31" s="1"/>
  <c r="P941" i="36"/>
  <c r="G767" i="39"/>
  <c r="G769" s="1"/>
  <c r="G512"/>
  <c r="P1100" i="36"/>
  <c r="P1103" s="1"/>
  <c r="G35" i="42"/>
  <c r="H36" i="43"/>
  <c r="M33"/>
  <c r="P944" i="36" l="1"/>
  <c r="F34" i="44"/>
  <c r="P942" i="36"/>
  <c r="P1106"/>
  <c r="Q941"/>
  <c r="G514" i="39"/>
  <c r="G516" s="1"/>
  <c r="L31" i="44"/>
  <c r="L34" s="1"/>
  <c r="J34"/>
  <c r="H769" i="39"/>
  <c r="G770"/>
  <c r="M36" i="43"/>
  <c r="Q1106" i="36" l="1"/>
  <c r="Q944"/>
  <c r="R941"/>
  <c r="Q942"/>
  <c r="P1109"/>
  <c r="G42" i="45"/>
  <c r="G46" s="1"/>
  <c r="H514" i="39"/>
  <c r="H516" s="1"/>
  <c r="G515"/>
  <c r="H770"/>
  <c r="I769"/>
  <c r="Q1109" i="36" l="1"/>
  <c r="R944"/>
  <c r="S941"/>
  <c r="S1106" s="1"/>
  <c r="R1106"/>
  <c r="R942"/>
  <c r="H42" i="45"/>
  <c r="H46" s="1"/>
  <c r="H515" i="39"/>
  <c r="I514"/>
  <c r="I516" s="1"/>
  <c r="I770"/>
  <c r="J769"/>
  <c r="S944" i="36" l="1"/>
  <c r="R1109"/>
  <c r="T941"/>
  <c r="S942"/>
  <c r="J514" i="39"/>
  <c r="J516" s="1"/>
  <c r="I42" i="45"/>
  <c r="I46" s="1"/>
  <c r="I515" i="39"/>
  <c r="J770"/>
  <c r="K769"/>
  <c r="S1109" i="36"/>
  <c r="T942" l="1"/>
  <c r="T944"/>
  <c r="T1106"/>
  <c r="T1109" s="1"/>
  <c r="J515" i="39"/>
  <c r="K514"/>
  <c r="K516" s="1"/>
  <c r="J42" i="45"/>
  <c r="J46" s="1"/>
  <c r="K770" i="39"/>
  <c r="K515" l="1"/>
  <c r="K42" i="45"/>
  <c r="K46" s="1"/>
</calcChain>
</file>

<file path=xl/sharedStrings.xml><?xml version="1.0" encoding="utf-8"?>
<sst xmlns="http://schemas.openxmlformats.org/spreadsheetml/2006/main" count="2997" uniqueCount="1426">
  <si>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</si>
  <si>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</si>
  <si>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</si>
  <si>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</si>
  <si>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</si>
  <si>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</si>
  <si>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</si>
  <si>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</si>
  <si>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</si>
  <si>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</si>
  <si>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</si>
  <si>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</si>
  <si>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</si>
  <si>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</si>
  <si>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</si>
  <si>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</si>
  <si>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</si>
  <si>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</si>
  <si>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</si>
  <si>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</si>
  <si>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</si>
  <si>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</si>
  <si>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</si>
  <si>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</si>
  <si>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</si>
  <si>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</si>
  <si>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</si>
  <si>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</si>
  <si>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</si>
  <si>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</si>
  <si>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</si>
  <si>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</si>
  <si>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</si>
  <si>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</si>
  <si>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</si>
  <si>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</si>
  <si>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</si>
  <si>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</si>
  <si>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</si>
  <si>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</si>
  <si>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</si>
  <si>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</si>
  <si>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</si>
  <si>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</si>
  <si>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</si>
  <si>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</si>
  <si>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</si>
  <si>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</si>
  <si>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</si>
  <si>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</si>
  <si>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</si>
  <si>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</si>
  <si>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</si>
  <si>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</si>
  <si>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</si>
  <si>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</si>
  <si>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</si>
  <si>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</si>
  <si>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</si>
  <si>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</si>
  <si>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</si>
  <si>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</si>
  <si>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</si>
  <si>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01-110-50-00-5020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</si>
  <si>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</si>
  <si>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</si>
  <si>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</si>
  <si>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</si>
  <si>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</si>
  <si>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</si>
  <si>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</si>
  <si>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</si>
  <si>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</si>
  <si>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</si>
  <si>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</si>
  <si>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</si>
  <si>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</si>
  <si>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</si>
  <si>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</si>
  <si>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</si>
  <si>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</si>
  <si>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</si>
  <si>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</si>
  <si>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</si>
  <si>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</si>
  <si>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</si>
  <si>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</si>
  <si>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</si>
  <si>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</si>
  <si>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</si>
  <si>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</si>
  <si>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</si>
  <si>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</si>
  <si>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</si>
  <si>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</si>
  <si>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</si>
  <si>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</si>
  <si>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</si>
  <si>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</si>
  <si>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</si>
  <si>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</si>
  <si>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</si>
  <si>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</si>
  <si>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</si>
  <si>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</si>
  <si>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</si>
  <si>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</si>
  <si>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</si>
  <si>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</si>
  <si>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</si>
  <si>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</si>
  <si>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</si>
  <si>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</si>
  <si>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</si>
  <si>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</si>
  <si>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</si>
  <si>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</si>
  <si>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</si>
  <si>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</si>
  <si>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</si>
  <si>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</si>
  <si>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</si>
  <si>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</si>
  <si>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</si>
  <si>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</si>
  <si>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</si>
  <si>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</si>
  <si>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LEGAL SERVICES</t>
  </si>
  <si>
    <t>TRAINING &amp; CONFERENCE</t>
  </si>
  <si>
    <t>01-210-56-00-5696</t>
  </si>
  <si>
    <t>01-210-56-00-5695</t>
  </si>
  <si>
    <t>01-210-56-00-5635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</si>
  <si>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</si>
  <si>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</si>
  <si>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</si>
  <si>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</si>
  <si>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</si>
  <si>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</si>
  <si>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</si>
  <si>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</si>
  <si>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</si>
  <si>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</si>
  <si>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</si>
  <si>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</si>
  <si>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</si>
  <si>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</si>
  <si>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</si>
  <si>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01-220-56-00-5645</t>
  </si>
  <si>
    <t>01-220-56-00-5635</t>
  </si>
  <si>
    <t>01-220-56-00-5620</t>
  </si>
  <si>
    <t>01-220-56-00-5610</t>
  </si>
  <si>
    <t>01-410-50-00-5020</t>
  </si>
  <si>
    <t>01-410-50-00-5010</t>
  </si>
  <si>
    <t>01-410-52-00-5214</t>
  </si>
  <si>
    <t>01-410-52-00-5212</t>
  </si>
  <si>
    <t>01-410-54-00-5485</t>
  </si>
  <si>
    <t>01-410-54-00-5462</t>
  </si>
  <si>
    <t>01-410-54-00-5440</t>
  </si>
  <si>
    <t>01-410-54-00-5412</t>
  </si>
  <si>
    <t>01-410-56-00-5695</t>
  </si>
  <si>
    <t>01-410-56-00-5626</t>
  </si>
  <si>
    <t>01-410-56-00-5620</t>
  </si>
  <si>
    <t>01-410-56-00-5600</t>
  </si>
  <si>
    <t>MOSQUITO CONTROL</t>
  </si>
  <si>
    <t>HANGING BASKETS</t>
  </si>
  <si>
    <t>SIDEWALK CONSTRUCTION</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</si>
  <si>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</si>
  <si>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</si>
  <si>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</si>
  <si>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</si>
  <si>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</si>
  <si>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</si>
  <si>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</si>
  <si>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</si>
  <si>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</si>
  <si>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</si>
  <si>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</si>
  <si>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</si>
  <si>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</si>
  <si>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</si>
  <si>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</si>
  <si>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</si>
  <si>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</si>
  <si>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</si>
  <si>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</si>
  <si>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</si>
  <si>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</si>
  <si>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</si>
  <si>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</si>
  <si>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</si>
  <si>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</si>
  <si>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</si>
  <si>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</si>
  <si>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</si>
  <si>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</si>
  <si>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</si>
  <si>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</si>
  <si>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</si>
  <si>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</si>
  <si>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</si>
  <si>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01-210-54-00-5484</t>
  </si>
  <si>
    <t>01-210-54-00-5460</t>
  </si>
  <si>
    <t>01-220-54-00-5460</t>
  </si>
  <si>
    <t>01-640-54-00-5456</t>
  </si>
  <si>
    <t>01-640-54-00-5481</t>
  </si>
  <si>
    <t>TRANSFER TO DEBT SERVICE</t>
  </si>
  <si>
    <t>TRANSFER TO WATER</t>
  </si>
  <si>
    <t>TRANSFER TO SEWER</t>
  </si>
  <si>
    <t>TRANSFER FROM SEWER</t>
  </si>
  <si>
    <t>01-000-46-00-4685</t>
  </si>
  <si>
    <t>REIMB - CABLE CONSORTIUM</t>
  </si>
  <si>
    <t>01-210-56-00-5640</t>
  </si>
  <si>
    <t>01-210-54-00-5495</t>
  </si>
  <si>
    <t>01-410-56-00-5640</t>
  </si>
  <si>
    <t xml:space="preserve">LOCAL USE TAX                                              </t>
  </si>
  <si>
    <t>01-000-48-00-4845</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</si>
  <si>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</si>
  <si>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</si>
  <si>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</si>
  <si>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</si>
  <si>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</si>
  <si>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</si>
  <si>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</si>
  <si>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</si>
  <si>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</si>
  <si>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</si>
  <si>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</si>
  <si>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</si>
  <si>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</si>
  <si>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</si>
  <si>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</si>
  <si>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</si>
  <si>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</si>
  <si>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</si>
  <si>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</si>
  <si>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</si>
  <si>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</si>
  <si>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</si>
  <si>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</si>
  <si>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</si>
  <si>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</si>
  <si>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</si>
  <si>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</si>
  <si>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FY 2016</t>
  </si>
  <si>
    <t>FY 2017</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</si>
  <si>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</si>
  <si>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</si>
  <si>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</si>
  <si>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</si>
  <si>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</si>
  <si>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</si>
  <si>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</si>
  <si>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</si>
  <si>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</si>
  <si>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</si>
  <si>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</si>
  <si>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</si>
  <si>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</si>
  <si>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15-155-56-00-5619</t>
  </si>
  <si>
    <t>SIGNS</t>
  </si>
  <si>
    <t>15-155-56-00-5633</t>
  </si>
  <si>
    <t>COLD PATCH</t>
  </si>
  <si>
    <t>15-155-56-00-5634</t>
  </si>
  <si>
    <t>HOT PATCH</t>
  </si>
  <si>
    <t>15-155-60-00-6072</t>
  </si>
  <si>
    <t>DOWNTOWN PARKING LOT</t>
  </si>
  <si>
    <t>GAME FARM ROAD PROJECT</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</si>
  <si>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</si>
  <si>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</si>
  <si>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</si>
  <si>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</si>
  <si>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</si>
  <si>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</si>
  <si>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</si>
  <si>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</si>
  <si>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</si>
  <si>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</si>
  <si>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</si>
  <si>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</si>
  <si>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</si>
  <si>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BOND PROCEEDS</t>
  </si>
  <si>
    <t>23-230-60-00-6041</t>
  </si>
  <si>
    <t>23-230-60-00-6073</t>
  </si>
  <si>
    <t>23-230-60-00-6075</t>
  </si>
  <si>
    <t>RIVER ROAD BRIDGE PROJECT</t>
  </si>
  <si>
    <t>23-230-97-00-8000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</si>
  <si>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</si>
  <si>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</si>
  <si>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</si>
  <si>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</si>
  <si>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</si>
  <si>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</si>
  <si>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</si>
  <si>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</si>
  <si>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</si>
  <si>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</si>
  <si>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</si>
  <si>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</si>
  <si>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</si>
  <si>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</si>
  <si>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</si>
  <si>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</si>
  <si>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</si>
  <si>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</si>
  <si>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</si>
  <si>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</si>
  <si>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</si>
  <si>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</si>
  <si>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</si>
  <si>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</si>
  <si>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</si>
  <si>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</si>
  <si>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</si>
  <si>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</si>
  <si>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</si>
  <si>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</si>
  <si>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</si>
  <si>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</si>
  <si>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</si>
  <si>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</si>
  <si>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</si>
  <si>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</si>
  <si>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</si>
  <si>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51-510-54-00-5499</t>
  </si>
  <si>
    <t>51-510-56-00-5600</t>
  </si>
  <si>
    <t>51-510-56-00-5620</t>
  </si>
  <si>
    <t>51-510-56-00-5630</t>
  </si>
  <si>
    <t>51-510-56-00-5635</t>
  </si>
  <si>
    <t>51-510-56-00-5638</t>
  </si>
  <si>
    <t>TREATMENT FACILITY SUPPLIES</t>
  </si>
  <si>
    <t>51-510-56-00-5640</t>
  </si>
  <si>
    <t>51-510-56-00-5664</t>
  </si>
  <si>
    <t>51-510-56-00-5695</t>
  </si>
  <si>
    <t>51-510-60-00-6079</t>
  </si>
  <si>
    <t>Debt Service - 2007A Bond</t>
  </si>
  <si>
    <t>51-510-83-00-8000</t>
  </si>
  <si>
    <t>51-510-83-00-8050</t>
  </si>
  <si>
    <t>Debt Service - 2003 Debt Certificates</t>
  </si>
  <si>
    <t>51-510-86-00-8000</t>
  </si>
  <si>
    <t>51-510-86-00-8050</t>
  </si>
  <si>
    <t>Debt Service - 2006A Refunding Debt Certificates</t>
  </si>
  <si>
    <t>51-510-87-00-8000</t>
  </si>
  <si>
    <t>51-510-87-00-8050</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</si>
  <si>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</si>
  <si>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</si>
  <si>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</si>
  <si>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</si>
  <si>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</si>
  <si>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</si>
  <si>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</si>
  <si>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</si>
  <si>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</si>
  <si>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</si>
  <si>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</si>
  <si>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</si>
  <si>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</si>
  <si>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</si>
  <si>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</si>
  <si>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</si>
  <si>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</si>
  <si>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</si>
  <si>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</si>
  <si>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</si>
  <si>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</si>
  <si>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</si>
  <si>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</si>
  <si>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</si>
  <si>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</si>
  <si>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</si>
  <si>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</si>
  <si>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</si>
  <si>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</si>
  <si>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</si>
  <si>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</si>
  <si>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52-520-56-00-5635</t>
  </si>
  <si>
    <t>52-520-56-00-5640</t>
  </si>
  <si>
    <t>52-520-56-00-5695</t>
  </si>
  <si>
    <t>52-520-60-00-6079</t>
  </si>
  <si>
    <t>52-520-75-00-7500</t>
  </si>
  <si>
    <t>LENNAR - RAINTREE SEWER RECPATURE</t>
  </si>
  <si>
    <t>Debt Service - 2004B Bond</t>
  </si>
  <si>
    <t>52-520-84-00-8000</t>
  </si>
  <si>
    <t>52-520-84-00-8050</t>
  </si>
  <si>
    <t>52-520-90-00-8000</t>
  </si>
  <si>
    <t>52-520-90-00-8050</t>
  </si>
  <si>
    <t>Debt Service - 2011 Refunding Bond</t>
  </si>
  <si>
    <t>Debt Service - IEPA Loan L17-115300</t>
  </si>
  <si>
    <t>52-520-96-00-8000</t>
  </si>
  <si>
    <t>52-520-96-00-8050</t>
  </si>
  <si>
    <t>72-000-47-00-4703</t>
  </si>
  <si>
    <t>AUTUMN CREEK</t>
  </si>
  <si>
    <t>72-000-47-00-4704</t>
  </si>
  <si>
    <t>BLACKBERRY WOODS</t>
  </si>
  <si>
    <t>72-720-60-00-6032</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</si>
  <si>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</si>
  <si>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</si>
  <si>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</si>
  <si>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</si>
  <si>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</si>
  <si>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</si>
  <si>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</si>
  <si>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</si>
  <si>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</si>
  <si>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</si>
  <si>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</si>
  <si>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</si>
  <si>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</si>
  <si>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</si>
  <si>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</si>
  <si>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</si>
  <si>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</si>
  <si>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</si>
  <si>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</si>
  <si>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</si>
  <si>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</si>
  <si>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</si>
  <si>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</si>
  <si>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</si>
  <si>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</si>
  <si>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</si>
  <si>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</si>
  <si>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</si>
  <si>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</si>
  <si>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</si>
  <si>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</si>
  <si>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</si>
  <si>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</si>
  <si>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</si>
  <si>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</si>
  <si>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</si>
  <si>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</si>
  <si>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</si>
  <si>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</si>
  <si>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</si>
  <si>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</si>
  <si>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</si>
  <si>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</si>
  <si>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</si>
  <si>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</si>
  <si>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82-000-48-00-4824</t>
  </si>
  <si>
    <t>DVD RENTAL INCOME</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</si>
  <si>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</si>
  <si>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</si>
  <si>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</si>
  <si>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</si>
  <si>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</si>
  <si>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</si>
  <si>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</si>
  <si>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</si>
  <si>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</si>
  <si>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</si>
  <si>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</si>
  <si>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</si>
  <si>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</si>
  <si>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</si>
  <si>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</si>
  <si>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</si>
  <si>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</si>
  <si>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</si>
  <si>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</si>
  <si>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</si>
  <si>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</si>
  <si>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</si>
  <si>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82-820-56-00-5635</t>
  </si>
  <si>
    <t>82-820-56-00-5671</t>
  </si>
  <si>
    <t>LIBRARY PROGRAMMING</t>
  </si>
  <si>
    <t>82-820-56-00-5676</t>
  </si>
  <si>
    <t>EMPLOYEE RECOGNITION</t>
  </si>
  <si>
    <t>AUDIO BOOKS</t>
  </si>
  <si>
    <t>82-820-56-00-5684</t>
  </si>
  <si>
    <t>82-820-56-00-5685</t>
  </si>
  <si>
    <t>DVD'S</t>
  </si>
  <si>
    <t>Debt Service - 2006 Bond</t>
  </si>
  <si>
    <t>Library Debt Service</t>
  </si>
  <si>
    <t>87-000-45-00-4500</t>
  </si>
  <si>
    <t>Countryside TIF</t>
  </si>
  <si>
    <t>87-870-54-00-5498</t>
  </si>
  <si>
    <t>Debt Service - 2005 Bond</t>
  </si>
  <si>
    <t>87-870-80-00-8050</t>
  </si>
  <si>
    <t>Downtown TIF</t>
  </si>
  <si>
    <t>88-880-60-00-6079</t>
  </si>
  <si>
    <t>Revenue</t>
  </si>
  <si>
    <t>Finance</t>
  </si>
  <si>
    <t>Police</t>
  </si>
  <si>
    <t>Expenditures</t>
  </si>
  <si>
    <t>Surplus(Deficit)</t>
  </si>
  <si>
    <t>Expenses</t>
  </si>
  <si>
    <t>Fund Balance</t>
  </si>
  <si>
    <t>01-640-99-00-9982</t>
  </si>
  <si>
    <t>TRANSFER TO LIBRARY OPERATIONS</t>
  </si>
  <si>
    <t>82-000-49-00-4901</t>
  </si>
  <si>
    <t>Administration</t>
  </si>
  <si>
    <t>Fund Balance Equiv</t>
  </si>
  <si>
    <t>GENERAL FUND - 01</t>
  </si>
  <si>
    <t>Fox Hill SSA - 11</t>
  </si>
  <si>
    <t>Sunflower SSA - 12</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</si>
  <si>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</si>
  <si>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</si>
  <si>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</si>
  <si>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</si>
  <si>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</si>
  <si>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</si>
  <si>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</si>
  <si>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</si>
  <si>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</si>
  <si>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</si>
  <si>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</si>
  <si>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</si>
  <si>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</si>
  <si>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</si>
  <si>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</si>
  <si>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</si>
  <si>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</si>
  <si>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</si>
  <si>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</si>
  <si>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</si>
  <si>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</si>
  <si>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</si>
  <si>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</si>
  <si>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</si>
  <si>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</si>
  <si>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</si>
  <si>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</si>
  <si>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</si>
  <si>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</si>
  <si>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</si>
  <si>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</si>
  <si>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</si>
  <si>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</si>
  <si>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</si>
  <si>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</si>
  <si>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</si>
  <si>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</si>
  <si>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</si>
  <si>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</si>
  <si>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</si>
  <si>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</si>
  <si>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</si>
  <si>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</si>
  <si>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</si>
  <si>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</si>
  <si>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</si>
  <si>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</si>
  <si>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</si>
  <si>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</si>
  <si>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</si>
  <si>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</si>
  <si>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</si>
  <si>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</si>
  <si>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</si>
  <si>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</si>
  <si>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</si>
  <si>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</si>
  <si>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</si>
  <si>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01-220-50-00-5015</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</si>
  <si>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</si>
  <si>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</si>
  <si>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</si>
  <si>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</si>
  <si>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</si>
  <si>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</si>
  <si>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</si>
  <si>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</si>
  <si>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</si>
  <si>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</si>
  <si>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</si>
  <si>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</si>
  <si>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</si>
  <si>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</si>
  <si>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</si>
  <si>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</si>
  <si>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</si>
  <si>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</si>
  <si>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</si>
  <si>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</si>
  <si>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</si>
  <si>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</si>
  <si>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</si>
  <si>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</si>
  <si>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</si>
  <si>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</si>
  <si>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</si>
  <si>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79-795-56-00-5640</t>
  </si>
  <si>
    <t>79-795-56-00-5695</t>
  </si>
  <si>
    <t>SEIZED VEHICLE PROCEEDS</t>
  </si>
  <si>
    <t>OTHER LICENSES &amp; PERMITS</t>
  </si>
  <si>
    <t>01-110-54-00-5485</t>
  </si>
  <si>
    <t>01-210-54-00-5485</t>
  </si>
  <si>
    <t>01-220-54-00-5485</t>
  </si>
  <si>
    <t>12-000-45-00-4500</t>
  </si>
  <si>
    <t>42-000-45-00-4500</t>
  </si>
  <si>
    <t>51-000-46-00-4690</t>
  </si>
  <si>
    <t>01-000-40-00-4044</t>
  </si>
  <si>
    <t>23-230-60-00-6094</t>
  </si>
  <si>
    <t>KENCOM</t>
  </si>
  <si>
    <t>01-640-54-00-5449</t>
  </si>
  <si>
    <t>88-880-54-00-5466</t>
  </si>
  <si>
    <t>88-880-60-00-6000</t>
  </si>
  <si>
    <t>PROJECT COSTS</t>
  </si>
  <si>
    <t>72-000-41-00-4175</t>
  </si>
  <si>
    <t>01-640-54-00-5450</t>
  </si>
  <si>
    <t>INFORMATION TECHNOLOGY SERVICES</t>
  </si>
  <si>
    <t>GRANDE RESERVE PARK A</t>
  </si>
  <si>
    <t>GRANDE RESERVE PARK B</t>
  </si>
  <si>
    <t>72-720-60-00-6046</t>
  </si>
  <si>
    <t>72-720-60-00-6047</t>
  </si>
  <si>
    <t>79-000-48-00-4825</t>
  </si>
  <si>
    <t>79-790-54-00-5495</t>
  </si>
  <si>
    <t>88-000-45-00-4500</t>
  </si>
  <si>
    <t>84-000-45-00-4500</t>
  </si>
  <si>
    <t>82-820-52-00-5231</t>
  </si>
  <si>
    <t>CITY</t>
  </si>
  <si>
    <t>Park &amp; Recreation</t>
  </si>
  <si>
    <t xml:space="preserve">Park &amp; Rec </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</si>
  <si>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</si>
  <si>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</si>
  <si>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</si>
  <si>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</si>
  <si>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</si>
  <si>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</si>
  <si>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</si>
  <si>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</si>
  <si>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</si>
  <si>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</si>
  <si>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</si>
  <si>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</si>
  <si>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</si>
  <si>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</si>
  <si>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</si>
  <si>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</si>
  <si>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</si>
  <si>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</si>
  <si>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</si>
  <si>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</si>
  <si>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</si>
  <si>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</si>
  <si>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Non-Abatement of Debt Service</t>
  </si>
  <si>
    <t>23-000-41-00-4178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</si>
  <si>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</si>
  <si>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</si>
  <si>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</si>
  <si>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</si>
  <si>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</si>
  <si>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</si>
  <si>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</si>
  <si>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</si>
  <si>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</si>
  <si>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</si>
  <si>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</si>
  <si>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</si>
  <si>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</si>
  <si>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</si>
  <si>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</si>
  <si>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</si>
  <si>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</si>
  <si>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</si>
  <si>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t>
  </si>
  <si>
    <t>MDT - ALERTS FEE</t>
  </si>
  <si>
    <t>01-210-56-00-5650</t>
  </si>
  <si>
    <t>COMMUNITY SERVICES</t>
  </si>
  <si>
    <t>OFFENDER REGISTRATION FEES</t>
  </si>
  <si>
    <t>ELECTED OFFICIAL - GROUP HEALTH INSURANCE</t>
  </si>
  <si>
    <t>ELECTED OFFICIAL - GROUP LIFE INSURANCE</t>
  </si>
  <si>
    <t>ELECTED OFFICIAL - DENTAL INSURANCE</t>
  </si>
  <si>
    <t>ELECTED OFFICIAL - VISION INSURANCE</t>
  </si>
  <si>
    <t>Motor Fuel Tax</t>
  </si>
  <si>
    <t>Police Capital</t>
  </si>
  <si>
    <t>City Wide Capital</t>
  </si>
  <si>
    <t>City</t>
  </si>
  <si>
    <t>Net Ins Costs</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</si>
  <si>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</si>
  <si>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</si>
  <si>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</si>
  <si>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</si>
  <si>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</si>
  <si>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</si>
  <si>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</si>
  <si>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</si>
  <si>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</si>
  <si>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</si>
  <si>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</si>
  <si>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</si>
  <si>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</si>
  <si>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</si>
  <si>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</si>
  <si>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</si>
  <si>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</si>
  <si>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</si>
  <si>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</si>
  <si>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</si>
  <si>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</si>
  <si>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</si>
  <si>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</si>
  <si>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</si>
  <si>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</si>
  <si>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</si>
  <si>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</si>
  <si>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</si>
  <si>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</si>
  <si>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</si>
  <si>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</si>
  <si>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</si>
  <si>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</si>
  <si>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</si>
  <si>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</si>
  <si>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</si>
  <si>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</si>
  <si>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</si>
  <si>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</si>
  <si>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</si>
  <si>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</si>
  <si>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</si>
  <si>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</si>
  <si>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</si>
  <si>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</si>
  <si>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</si>
  <si>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</si>
  <si>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</si>
  <si>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</si>
  <si>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</si>
  <si>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</si>
  <si>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</si>
  <si>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</si>
  <si>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</si>
  <si>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</si>
  <si>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</si>
  <si>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</si>
  <si>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</si>
  <si>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</si>
  <si>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</si>
  <si>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</si>
  <si>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</si>
  <si>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</si>
  <si>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</si>
  <si>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</si>
  <si>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</si>
  <si>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</si>
  <si>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</si>
  <si>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</si>
  <si>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</si>
  <si>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</si>
  <si>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</si>
  <si>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</si>
  <si>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</si>
  <si>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</si>
  <si>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</si>
  <si>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</si>
  <si>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</si>
  <si>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</si>
  <si>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</si>
  <si>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</si>
  <si>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</si>
  <si>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</si>
  <si>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</si>
  <si>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</si>
  <si>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</si>
  <si>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</si>
  <si>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</si>
  <si>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</si>
  <si>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</si>
  <si>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</si>
  <si>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</si>
  <si>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</si>
  <si>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</si>
  <si>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</si>
  <si>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</si>
  <si>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</si>
  <si>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</si>
  <si>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</si>
  <si>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</si>
  <si>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</si>
  <si>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</si>
  <si>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</si>
  <si>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</si>
  <si>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</si>
  <si>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</si>
  <si>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</si>
  <si>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</si>
  <si>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</si>
  <si>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</si>
  <si>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</si>
  <si>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</si>
  <si>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</si>
  <si>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</si>
  <si>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</si>
  <si>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</si>
  <si>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</si>
  <si>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</si>
  <si>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</si>
  <si>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</si>
  <si>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</si>
  <si>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</si>
  <si>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</si>
  <si>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</si>
  <si>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</si>
  <si>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</si>
  <si>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</si>
  <si>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</si>
  <si>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BUILD PROGRAM</t>
  </si>
  <si>
    <t>51-000-42-00-4216</t>
  </si>
  <si>
    <t>51-510-54-00-5405</t>
  </si>
  <si>
    <t>52-000-42-00-4216</t>
  </si>
  <si>
    <t>52-520-54-00-5405</t>
  </si>
  <si>
    <t>Motor Fuel Tax  - 15</t>
  </si>
  <si>
    <t>Cash Flow - Fund Balance</t>
  </si>
  <si>
    <t>TOTAL REVENUES</t>
  </si>
  <si>
    <t>TOTAL EXPENDITURES</t>
  </si>
  <si>
    <t>52-520-92-00-8000</t>
  </si>
  <si>
    <t>52-520-92-00-8050</t>
  </si>
  <si>
    <t xml:space="preserve">KENNEDY RD BIKE TRAIL </t>
  </si>
  <si>
    <t>PARK RENTALS</t>
  </si>
  <si>
    <t>51-000-48-00-4820</t>
  </si>
  <si>
    <t xml:space="preserve">RENTAL INCOME </t>
  </si>
  <si>
    <t>52-520-99-00-9951</t>
  </si>
  <si>
    <t>23-000-49-00-4905</t>
  </si>
  <si>
    <t>Kendall County Loan - River Road Bridge</t>
  </si>
  <si>
    <t>Route 47 Expansion Project</t>
  </si>
  <si>
    <t>ELECTRONIC CITATION FEES</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</si>
  <si>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</si>
  <si>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</si>
  <si>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</si>
  <si>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</si>
  <si>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</si>
  <si>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</si>
  <si>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</si>
  <si>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</si>
  <si>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</si>
  <si>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</si>
  <si>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</si>
  <si>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</si>
  <si>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</si>
  <si>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</si>
  <si>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</si>
  <si>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</si>
  <si>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</si>
  <si>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</si>
  <si>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Total Finance</t>
  </si>
  <si>
    <t xml:space="preserve">Total Police </t>
  </si>
  <si>
    <t xml:space="preserve">Total Public Works </t>
  </si>
  <si>
    <t>Total Admin Services &amp; Transfers</t>
  </si>
  <si>
    <t xml:space="preserve">Library Capital </t>
  </si>
  <si>
    <t>SALARIES &amp; WAGES</t>
  </si>
  <si>
    <t>01-110-50-00-5015</t>
  </si>
  <si>
    <t>EXCISE TAX</t>
  </si>
  <si>
    <t>23-230-60-00-6058</t>
  </si>
  <si>
    <t xml:space="preserve">US 34 (IL 47 / ORCHARD RD) PROJECT </t>
  </si>
  <si>
    <t>23-230-60-00-6059</t>
  </si>
  <si>
    <t>79-000-48-00-4843</t>
  </si>
  <si>
    <t>TRANSFER TO PARKS &amp; RECREATION</t>
  </si>
  <si>
    <t>01-640-99-00-9916</t>
  </si>
  <si>
    <t>23-000-42-00-4218</t>
  </si>
  <si>
    <t>DEVELOPMENT FEES - MUNICIPAL BLDG</t>
  </si>
  <si>
    <t>Vehicle &amp; Equipment - 25</t>
  </si>
  <si>
    <t>DEVELOPMENT FEES - POLICE CAPITAL</t>
  </si>
  <si>
    <t>DEVELOPMENT FEES - PW CAPITAL</t>
  </si>
  <si>
    <t>25-205-54-00-5495</t>
  </si>
  <si>
    <t>25-205-60-00-6060</t>
  </si>
  <si>
    <t>25-205-60-00-6070</t>
  </si>
  <si>
    <t>25-215-54-00-5405</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</si>
  <si>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</si>
  <si>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</si>
  <si>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</si>
  <si>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</si>
  <si>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</si>
  <si>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</si>
  <si>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</si>
  <si>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</si>
  <si>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</si>
  <si>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</si>
  <si>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</si>
  <si>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</si>
  <si>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</si>
  <si>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</si>
  <si>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</si>
  <si>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</si>
  <si>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</si>
  <si>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Total Public Works</t>
  </si>
  <si>
    <t>Account Number</t>
  </si>
  <si>
    <t>185 Wolf Street Building</t>
  </si>
  <si>
    <t>Parks &amp; Recreation Capital</t>
  </si>
  <si>
    <t>Fund Balance Equivalent</t>
  </si>
  <si>
    <t>01-110-54-00-5460</t>
  </si>
  <si>
    <t>15-155-54-00-5438</t>
  </si>
  <si>
    <t>SALT STORAGE</t>
  </si>
  <si>
    <t>84-840-54-00-5460</t>
  </si>
  <si>
    <t>DEVELOPMENT FEES - PARK CAPITAL</t>
  </si>
  <si>
    <t>MISCELLANEOUS INCOME - PW CAPITAL</t>
  </si>
  <si>
    <t>INVESTMENT EARNINGS - PARK CAPITAL</t>
  </si>
  <si>
    <t>MISCELLANEOUS INCOME - POLICE CAPITAL</t>
  </si>
  <si>
    <t>LATE PENALTIES - GARBAGE</t>
  </si>
  <si>
    <t>15-000-46-00-4690</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</si>
  <si>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</si>
  <si>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</si>
  <si>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</si>
  <si>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</si>
  <si>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</si>
  <si>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</si>
  <si>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</si>
  <si>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</si>
  <si>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</si>
  <si>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</si>
  <si>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</si>
  <si>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</si>
  <si>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15-155-60-00-6089</t>
  </si>
  <si>
    <t>CANNONBALL LAFO PROJECT</t>
  </si>
  <si>
    <t>01-410-54-00-5435</t>
  </si>
  <si>
    <t>TRAFFIC SIGNAL MAINTENANCE</t>
  </si>
  <si>
    <t>ADJUDICATION SERVICES</t>
  </si>
  <si>
    <t>Fund Balance - Police Capital</t>
  </si>
  <si>
    <t>Fund Balance - Public Works Capital</t>
  </si>
  <si>
    <t>Fund Balance - Parks &amp; Rec Capital</t>
  </si>
  <si>
    <t>12-112-54-00-5416</t>
  </si>
  <si>
    <t>POND MAINTENANCE</t>
  </si>
  <si>
    <t>TRAIL MAINTENANCE</t>
  </si>
  <si>
    <t>11-111-54-00-5417</t>
  </si>
  <si>
    <t>FY 2019</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</si>
  <si>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</si>
  <si>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</si>
  <si>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</si>
  <si>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</si>
  <si>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</si>
  <si>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</si>
  <si>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</si>
  <si>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</si>
  <si>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</si>
  <si>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</si>
  <si>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</si>
  <si>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</si>
  <si>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</si>
  <si>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</si>
  <si>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</si>
  <si>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</si>
  <si>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</si>
  <si>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</si>
  <si>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</si>
  <si>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</si>
  <si>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</si>
  <si>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</si>
  <si>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</si>
  <si>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</si>
  <si>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</si>
  <si>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</si>
  <si>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</si>
  <si>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Yorkville Parks and Recreation - Consolidated Budget</t>
  </si>
  <si>
    <t xml:space="preserve">BUSINESS DISTRICT REBATE </t>
  </si>
  <si>
    <t>79-795-54-00-5460</t>
  </si>
  <si>
    <t>FY 2020</t>
  </si>
  <si>
    <t>FY 2021</t>
  </si>
  <si>
    <t>FY 2022</t>
  </si>
  <si>
    <t>FY 2023</t>
  </si>
  <si>
    <t>23-230-60-00-6048</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</si>
  <si>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</si>
  <si>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</si>
  <si>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</si>
  <si>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</si>
  <si>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</si>
  <si>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Total City</t>
  </si>
  <si>
    <t>Total City Capped</t>
  </si>
  <si>
    <t>Building Permits Revenue</t>
  </si>
  <si>
    <t>23-230-60-00-6025</t>
  </si>
  <si>
    <t>TRAVEL &amp; LODGING</t>
  </si>
  <si>
    <t>PRINTING &amp; DUPLICATING</t>
  </si>
  <si>
    <t>DUES &amp; SUBSCRIPTIONS</t>
  </si>
  <si>
    <t>REPAIR &amp; MAINTENANCE</t>
  </si>
  <si>
    <t>OUTSIDE REPAIR &amp; MAINTENANCE</t>
  </si>
  <si>
    <t>BOOKS &amp; PUBLICATIONS</t>
  </si>
  <si>
    <t>METERS &amp; PARTS</t>
  </si>
  <si>
    <t>ATHLETICS &amp; FITNESS</t>
  </si>
  <si>
    <t>SPONSORSHIPS &amp; DONATIONS</t>
  </si>
  <si>
    <t>COMPACT DISCS &amp; OTHER MUSIC</t>
  </si>
  <si>
    <t>ROAD TO BETTER ROADS PROGRAM</t>
  </si>
  <si>
    <t>Water Operations</t>
  </si>
  <si>
    <t>Sewer Operations</t>
  </si>
  <si>
    <t>51-510-60-00-6025</t>
  </si>
  <si>
    <t>52-520-60-00-6025</t>
  </si>
  <si>
    <t>01-110-50-00-5010</t>
  </si>
  <si>
    <t>23-000-46-00-4660</t>
  </si>
  <si>
    <t>REIMB - PUSH FOR THE PATH</t>
  </si>
  <si>
    <t>VIDEO GAMING TAX</t>
  </si>
  <si>
    <t>23-000-46-00-4620</t>
  </si>
  <si>
    <t>REIMB - PULTE (AUTUMN CREEK)</t>
  </si>
  <si>
    <t>23-230-60-00-6007</t>
  </si>
  <si>
    <t>KENNEDY RD - AUTUMN CREEK</t>
  </si>
  <si>
    <t>Debt Service - 2003A IRBB Debt Certificates</t>
  </si>
  <si>
    <t>SALE OF CAPITAL ASSETS - POLICE CAPITAL</t>
  </si>
  <si>
    <t>SALE OF CAPITAL ASSETS</t>
  </si>
  <si>
    <t>INTEREST EXPENSE</t>
  </si>
  <si>
    <t>OUTSIDE REPAIR &amp; MAINTENCE</t>
  </si>
  <si>
    <t>51-510-54-00-5495</t>
  </si>
  <si>
    <t>52-520-54-00-5495</t>
  </si>
  <si>
    <t>23-216-54-00-5446</t>
  </si>
  <si>
    <t>23-216-56-00-5656</t>
  </si>
  <si>
    <t>15-155-60-00-6004</t>
  </si>
  <si>
    <t>BASELINE ROAD BRIDGE REPAIRS</t>
  </si>
  <si>
    <t>51-510-56-00-5665</t>
  </si>
  <si>
    <t>JULIE SUPPLIES</t>
  </si>
  <si>
    <t>E-BOOKS SUBSCRIPTION</t>
  </si>
  <si>
    <t>SALE OF CAPITAL ASSETS - PW CAPITAL</t>
  </si>
  <si>
    <t>25-225-60-00-6070</t>
  </si>
  <si>
    <t>12-000-40-00-4000</t>
  </si>
  <si>
    <t xml:space="preserve">PROPERTY TAXES                        </t>
  </si>
  <si>
    <t>11-000-40-00-4000</t>
  </si>
  <si>
    <t xml:space="preserve">PROPERTY TAXES                             </t>
  </si>
  <si>
    <t>42-000-40-00-4000</t>
  </si>
  <si>
    <t>82-000-40-00-4000</t>
  </si>
  <si>
    <t xml:space="preserve">PROPERTY TAXES                         </t>
  </si>
  <si>
    <t>87-000-40-00-4000</t>
  </si>
  <si>
    <t>88-000-40-00-4000</t>
  </si>
  <si>
    <t>PARKS &amp; RECREATION CHARGEBACK</t>
  </si>
  <si>
    <t>79-790-54-00-5422</t>
  </si>
  <si>
    <t>Parks &amp; Rec Capital Expenditures</t>
  </si>
  <si>
    <t>Parks &amp; Rec Capital Fund Balance</t>
  </si>
  <si>
    <t>23-000-41-00-4161</t>
  </si>
  <si>
    <t>88-880-60-00-6048</t>
  </si>
  <si>
    <t>Principal</t>
  </si>
  <si>
    <t>Interest</t>
  </si>
  <si>
    <t>01-000-41-00-4168</t>
  </si>
  <si>
    <t>LOAN PROCEEDS - RIVER ROAD BRIDGE</t>
  </si>
  <si>
    <t>23-216-54-00-5405</t>
  </si>
  <si>
    <t>25-205-54-00-5405</t>
  </si>
  <si>
    <t>25-225-54-00-5405</t>
  </si>
  <si>
    <t>42-420-54-00-5405</t>
  </si>
  <si>
    <t>72-000-42-00-4216</t>
  </si>
  <si>
    <t>25-000-42-00-4216</t>
  </si>
  <si>
    <t>42-000-42-00-4216</t>
  </si>
  <si>
    <t>72-720-54-00-5405</t>
  </si>
  <si>
    <t>51-510-60-00-6066</t>
  </si>
  <si>
    <t>TRANSFER FROM GENERAL - CW CAPITAL</t>
  </si>
  <si>
    <t>KENDALL AREA TRANSIT</t>
  </si>
  <si>
    <t>15-000-41-00-4184</t>
  </si>
  <si>
    <t>FEDERAL GRANTS - ITEP DOWNTOWN</t>
  </si>
  <si>
    <t>23-230-60-00-6095</t>
  </si>
  <si>
    <t>15-155-54-00-5482</t>
  </si>
  <si>
    <t>STREET LIGHTING</t>
  </si>
  <si>
    <t>72-000-47-00-4736</t>
  </si>
  <si>
    <t>BRIARWOOD</t>
  </si>
  <si>
    <t>EMPLOYER CONTRIBUTION - POLICE PENSION</t>
  </si>
  <si>
    <t>STATE GRANTS - DOWNTOWN PARKING LOT</t>
  </si>
  <si>
    <t>DEVELOPMENT FEES - CW CAPITAL</t>
  </si>
  <si>
    <t>DOWNTOWN STREETSCAPE IMPROVEMENT</t>
  </si>
  <si>
    <t>SUNFLOWER ESTATES - DRAINAGE IMPROVEMENT</t>
  </si>
  <si>
    <t>ROUTE 71 (RTE 47 / ORCHARD RD) PROJECT</t>
  </si>
  <si>
    <t xml:space="preserve">City-Wide </t>
  </si>
  <si>
    <t>Grant Proceeds</t>
  </si>
  <si>
    <t>P4P Proceeds</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</si>
  <si>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</si>
  <si>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</si>
  <si>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</si>
  <si>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</si>
  <si>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 xml:space="preserve">The Administrative Services Department accounts for General Fund expenditures that are shared by all departments and cannot be easily classified in one department or the other.  These expenditures include such items as tax rebates, bad debt, engineering services, corporate legal expenditures and interfund transfers. </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</si>
  <si>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</si>
  <si>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</si>
  <si>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</si>
  <si>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Game Farm Road Project</t>
  </si>
  <si>
    <t>END BUDGET DETAIL WORKSHEET</t>
  </si>
  <si>
    <t>PUBLIC WORKS DEPARTMENT - STREET OPERATIONS / HEALTH &amp; SANITATION</t>
  </si>
  <si>
    <t xml:space="preserve">The City-Wide Capital Fund is used to maintain existing and construct new public and municipal infrastructure, and to fund other improvements that benefit the public.  </t>
  </si>
  <si>
    <t>Public Works - Street Operations</t>
  </si>
  <si>
    <t>Public Works - Health &amp; Sanitation</t>
  </si>
  <si>
    <t>Allocated Insurance Expenditures - Aggregated</t>
  </si>
  <si>
    <t>Aggregated Salary &amp; Wage Information</t>
  </si>
  <si>
    <t>01-410-50-00-5015</t>
  </si>
  <si>
    <t>FEDERAL GRANTS - ITEP KENNEDY RD TRAIL</t>
  </si>
  <si>
    <t>25-000-42-00-4218</t>
  </si>
  <si>
    <t>25-000-42-00-4219</t>
  </si>
  <si>
    <t>25-000-42-00-4215</t>
  </si>
  <si>
    <t>25-000-42-00-4220</t>
  </si>
  <si>
    <t>25-000-43-00-4315</t>
  </si>
  <si>
    <t>25-000-43-00-4316</t>
  </si>
  <si>
    <t>25-000-43-00-4340</t>
  </si>
  <si>
    <t>25-000-44-00-4418</t>
  </si>
  <si>
    <t>25-000-44-00-4420</t>
  </si>
  <si>
    <t>25-000-44-00-4421</t>
  </si>
  <si>
    <t>25-000-44-00-4427</t>
  </si>
  <si>
    <t>25-000-45-00-4522</t>
  </si>
  <si>
    <t>25-000-48-00-4852</t>
  </si>
  <si>
    <t>25-000-48-00-4854</t>
  </si>
  <si>
    <t>25-000-49-00-4920</t>
  </si>
  <si>
    <t>25-000-49-00-4921</t>
  </si>
  <si>
    <t>TRANSFER TO CW BUILDINGS &amp; GROUNDS</t>
  </si>
  <si>
    <t>STATE GRANTS - TRAFFIC SIGNAL MAINTENANCE</t>
  </si>
  <si>
    <t>82-000-44-00-4439</t>
  </si>
  <si>
    <t>MOSER HOLDING COSTS</t>
  </si>
  <si>
    <t>23-230-54-00-5499</t>
  </si>
  <si>
    <t>72-720-60-00-6043</t>
  </si>
  <si>
    <t>BRISTOL BAY REGIONAL PARK</t>
  </si>
  <si>
    <t>87-000-49-00-4902</t>
  </si>
  <si>
    <t>BOND ISSUANCE</t>
  </si>
  <si>
    <t>87-870-54-00-5402</t>
  </si>
  <si>
    <t>BOND ISSUANCE COSTS</t>
  </si>
  <si>
    <t>87-870-99-00-9960</t>
  </si>
  <si>
    <t>PAYMENT TO ESCROW AGENT</t>
  </si>
  <si>
    <t>88-000-48-00-4850</t>
  </si>
  <si>
    <t>23-000-49-00-4923</t>
  </si>
  <si>
    <t>23-000-49-00-4916</t>
  </si>
  <si>
    <t>TRANSFER FROM GENERAL - CW B&amp;G</t>
  </si>
  <si>
    <t>42-420-79-00-8000</t>
  </si>
  <si>
    <t>42-420-79-00-8050</t>
  </si>
  <si>
    <t>2014A Bond</t>
  </si>
  <si>
    <t>23-230-78-00-8000</t>
  </si>
  <si>
    <t>23-230-78-00-8050</t>
  </si>
  <si>
    <t>51-510-94-00-8000</t>
  </si>
  <si>
    <t>51-510-94-00-8050</t>
  </si>
  <si>
    <t>Debt Service - 2014 Refunding Bond</t>
  </si>
  <si>
    <t>Total Debt Service Payments</t>
  </si>
  <si>
    <t>23-230-54-00-5498</t>
  </si>
  <si>
    <t>City-Wide - Building &amp; Grounds Expenditures</t>
  </si>
  <si>
    <t>LIQUOR LICENSES</t>
  </si>
  <si>
    <t>PREMIUM ON BOND ISSUANCE</t>
  </si>
  <si>
    <t>23-000-46-00-4690</t>
  </si>
  <si>
    <t xml:space="preserve">REIMB - MISCELLANEOUS </t>
  </si>
  <si>
    <t>72-000-46-00-4655</t>
  </si>
  <si>
    <t>51-510-54-00-5402</t>
  </si>
  <si>
    <t>23-230-60-00-6018</t>
  </si>
  <si>
    <t>GREENBRIAR POND NATURALIZATION</t>
  </si>
  <si>
    <t xml:space="preserve">The Debt Service Fund accumulates monies for payment of the 2014B bonds, which refinanced the 2005A bonds.  The 2005A bonds were originally issued to finance road improvement projects.  </t>
  </si>
  <si>
    <t>72-000-41-00-4186</t>
  </si>
  <si>
    <t xml:space="preserve">OSLAD GRANT - BRISTOL BAY </t>
  </si>
  <si>
    <t>OSLAD GRANT - RIVERFRONT PARK</t>
  </si>
  <si>
    <t>TREE &amp; STUMP MAINTENANCE</t>
  </si>
  <si>
    <t>BALISTIC VESTS</t>
  </si>
  <si>
    <t>51-510-54-00-5465</t>
  </si>
  <si>
    <t>15-000-41-00-4187</t>
  </si>
  <si>
    <t>23-000-46-00-4606</t>
  </si>
  <si>
    <t>REIMB - COM ED</t>
  </si>
  <si>
    <t>23-230-60-00-6008</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</si>
  <si>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</si>
  <si>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</si>
  <si>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</si>
  <si>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</si>
  <si>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</si>
  <si>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</si>
  <si>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</si>
  <si>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</si>
  <si>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</si>
  <si>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23-230-60-00-6082</t>
  </si>
  <si>
    <t>COUNTRYSIDE PKY IMPROVEMENTS</t>
  </si>
  <si>
    <t>51-510-77-00-8000</t>
  </si>
  <si>
    <t>51-510-77-00-8050</t>
  </si>
  <si>
    <t>51-510-60-00-6082</t>
  </si>
  <si>
    <t>51-000-49-00-4900</t>
  </si>
  <si>
    <t>Aggregated Benefit Information</t>
  </si>
  <si>
    <t>IMRF</t>
  </si>
  <si>
    <t>FICA</t>
  </si>
  <si>
    <t xml:space="preserve">PROPERTY TAXES - 2014B BOND                  </t>
  </si>
  <si>
    <t>BEECHER &amp; CORNEILS ROAD</t>
  </si>
  <si>
    <t>TRANSFER TO CITY-WIDE CAPITAL</t>
  </si>
  <si>
    <t>BLACKBERRY CREEK NATURE PRESERVE</t>
  </si>
  <si>
    <t>72-720-60-00-6067</t>
  </si>
  <si>
    <t>01-640-99-00-9915</t>
  </si>
  <si>
    <t>TRANSFER TO MOTOR FUEL TAX</t>
  </si>
  <si>
    <t>TRANSFER FROM CITY-WIDE CAPITAL</t>
  </si>
  <si>
    <t>15-000-49-00-4901</t>
  </si>
  <si>
    <t>15-000-49-00-4923</t>
  </si>
  <si>
    <t>Countryside Parkway</t>
  </si>
  <si>
    <t>87-870-54-00-5462</t>
  </si>
  <si>
    <t>88-880-54-00-5462</t>
  </si>
  <si>
    <t>Well Rehabs</t>
  </si>
  <si>
    <t>Selected Capital Projects - Aggregated &gt; $500,000</t>
  </si>
  <si>
    <t>25-225-60-00-6068</t>
  </si>
  <si>
    <t>2014B Refunding Bond</t>
  </si>
  <si>
    <t>Debt Service - 2014C Refunding Bond</t>
  </si>
  <si>
    <t>TRAIL IMPROVEMENTS</t>
  </si>
  <si>
    <t>WRIGLEY (RTE 47) EXPANSION</t>
  </si>
  <si>
    <t>STATE GRANTS - EDP WRIGLEY (RTE 47)</t>
  </si>
  <si>
    <t>23-000-41-00-4188</t>
  </si>
  <si>
    <t>23-230-60-00-6009</t>
  </si>
  <si>
    <t>Total Library</t>
  </si>
  <si>
    <t>Grand Total</t>
  </si>
  <si>
    <t>01-000-40-00-4055</t>
  </si>
  <si>
    <t>Selected Capital Projects - Aggregated &gt; $500,000 continued</t>
  </si>
  <si>
    <t>23-230-99-00-9915</t>
  </si>
  <si>
    <t xml:space="preserve">Developer </t>
  </si>
  <si>
    <t>Commitments</t>
  </si>
  <si>
    <t>FEDERAL GRANTS - CANNONBALL LAFO</t>
  </si>
  <si>
    <t>See separate spreadsheet tab for Vehicle &amp; Equipment Fund description.</t>
  </si>
  <si>
    <t>2015A Bond</t>
  </si>
  <si>
    <t>01-410-54-00-5415</t>
  </si>
  <si>
    <t>51-000-49-00-4902</t>
  </si>
  <si>
    <t>51-000-49-00-4903</t>
  </si>
  <si>
    <t>51-510-99-00-9960</t>
  </si>
  <si>
    <t>82-000-46-00-4690</t>
  </si>
  <si>
    <t>84-000-48-00-4850</t>
  </si>
  <si>
    <t>KENDALL CO JUVE PROBATION</t>
  </si>
  <si>
    <t>Developer Commitment</t>
  </si>
  <si>
    <t>Special Service Areas</t>
  </si>
  <si>
    <t>TIF Districts</t>
  </si>
  <si>
    <t>Road &amp; Bridge Tax</t>
  </si>
  <si>
    <t xml:space="preserve">US 34 (CENTER / ELDAMAIN RD) PROJECT </t>
  </si>
  <si>
    <t>23-230-60-00-6016</t>
  </si>
  <si>
    <t>72-000-47-00-4708</t>
  </si>
  <si>
    <t>COUNTRY HILLS</t>
  </si>
  <si>
    <t>72-000-47-00-4711</t>
  </si>
  <si>
    <t>FOX HIGHLANDS DETENTION</t>
  </si>
  <si>
    <t>72-000-47-00-4713</t>
  </si>
  <si>
    <t>PRESTWICK</t>
  </si>
  <si>
    <t>87-000-49-00-4903</t>
  </si>
  <si>
    <t>01-110-54-00-5410</t>
  </si>
  <si>
    <t>01-410-54-00-5482</t>
  </si>
  <si>
    <t>25-000-49-00-4922</t>
  </si>
  <si>
    <t>SALE OF CAPITAL ASSETS - PARK CAPITAL</t>
  </si>
  <si>
    <t>Wrigley Rte 47 (EDP) Expansion</t>
  </si>
  <si>
    <t xml:space="preserve">REIMB - GRANDE RESERVE PARK </t>
  </si>
  <si>
    <t>82-820-56-00-5686</t>
  </si>
  <si>
    <t>Kennedy Road Bike Trail</t>
  </si>
  <si>
    <t>51-510-60-00-6059</t>
  </si>
  <si>
    <t>52-520-60-00-6059</t>
  </si>
  <si>
    <t>87-870-77-00-8000</t>
  </si>
  <si>
    <t>87-870-77-00-8050</t>
  </si>
  <si>
    <t>NEW WORLD &amp; LIVE SCAN</t>
  </si>
  <si>
    <t>01-640-54-00-5418</t>
  </si>
  <si>
    <t>PURCHASING SERVICES</t>
  </si>
  <si>
    <t>52-000-42-00-4224</t>
  </si>
  <si>
    <t>RENEW PROGRAM PERMITS</t>
  </si>
  <si>
    <t>52-520-54-00-5406</t>
  </si>
  <si>
    <t>RENEW PROGRAM</t>
  </si>
  <si>
    <t>01-640-54-00-5421</t>
  </si>
  <si>
    <t>PPRT TAX REBATE</t>
  </si>
  <si>
    <t>23-000-41-00-4169</t>
  </si>
  <si>
    <t>FEDERAL GRANTS -MILL STREET LAFO</t>
  </si>
  <si>
    <t>23-000-42-00-4224</t>
  </si>
  <si>
    <t>23-000-46-00-4607</t>
  </si>
  <si>
    <t>REIMB - BLACKBERRY WOODS</t>
  </si>
  <si>
    <t>23-230-54-00-5406</t>
  </si>
  <si>
    <t>23-230-60-00-6014</t>
  </si>
  <si>
    <t>25-000-42-00-4224</t>
  </si>
  <si>
    <t>25-000-48-00-4855</t>
  </si>
  <si>
    <t>MISCELLANEOUS INCOME - PARK CAPITAL</t>
  </si>
  <si>
    <t>25-205-54-00-5406</t>
  </si>
  <si>
    <t>25-215-54-00-5406</t>
  </si>
  <si>
    <t>25-225-54-00-5406</t>
  </si>
  <si>
    <t>42-000-42-00-4224</t>
  </si>
  <si>
    <t>42-420-54-00-5406</t>
  </si>
  <si>
    <t>82-820-54-00-5421</t>
  </si>
  <si>
    <t>84-000-42-00-4224</t>
  </si>
  <si>
    <t>84-840-54-00-5406</t>
  </si>
  <si>
    <t>15-155-56-00-5642</t>
  </si>
  <si>
    <t>01-640-54-00-5473</t>
  </si>
  <si>
    <t>01-640-54-00-5486</t>
  </si>
  <si>
    <t>STREET LIGHTING SUPPLIES</t>
  </si>
  <si>
    <t>23-000-46-00-4630</t>
  </si>
  <si>
    <t>REIMB - STAGECOACH CROSSING</t>
  </si>
  <si>
    <t>STAGECOACH CROSSING</t>
  </si>
  <si>
    <t>51-510-85-00-8000</t>
  </si>
  <si>
    <t>51-510-85-00-8050</t>
  </si>
  <si>
    <t>01-210-54-00-5488</t>
  </si>
  <si>
    <t>01-410-54-00-5488</t>
  </si>
  <si>
    <t>51-510-54-00-5488</t>
  </si>
  <si>
    <t>52-520-54-00-5488</t>
  </si>
  <si>
    <t>79-790-54-00-5488</t>
  </si>
  <si>
    <t>79-795-54-00-5488</t>
  </si>
  <si>
    <t>01-640-50-00-5016</t>
  </si>
  <si>
    <t>SALARIES - SPECIAL CENSUS</t>
  </si>
  <si>
    <t>01-640-54-00-5478</t>
  </si>
  <si>
    <t>SPECIAL CENSUS</t>
  </si>
  <si>
    <t>72-000-49-00-4910</t>
  </si>
  <si>
    <t>23-000-49-00-4910</t>
  </si>
  <si>
    <t>GC HOUSING RENTAL ASSISTANCE</t>
  </si>
  <si>
    <t>23-230-60-00-6017</t>
  </si>
  <si>
    <t>25-225-54-00-5462</t>
  </si>
  <si>
    <t>23-000-49-00-4951</t>
  </si>
  <si>
    <t>TRANSFER FROM WATER</t>
  </si>
  <si>
    <t>51-510-99-00-9923</t>
  </si>
  <si>
    <t>23-230-60-00-6084</t>
  </si>
  <si>
    <t>23-230-99-00-9951</t>
  </si>
  <si>
    <t>51-000-49-00-4923</t>
  </si>
  <si>
    <t>72-000-47-00-4722</t>
  </si>
  <si>
    <t>GC HOUSING (ANTHONY'S PLACE)</t>
  </si>
  <si>
    <t>23-230-60-00-6011</t>
  </si>
  <si>
    <t>PROPERTY ACQUISITION</t>
  </si>
  <si>
    <t>25-225-60-00-6020</t>
  </si>
  <si>
    <t>BUILDINGS &amp; STRUCTURES</t>
  </si>
  <si>
    <t>52-520-60-00-6066</t>
  </si>
  <si>
    <t>11-111-54-00-5462</t>
  </si>
  <si>
    <t>12-112-54-00-5462</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</si>
  <si>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</si>
  <si>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</si>
  <si>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</si>
  <si>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</si>
  <si>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</si>
  <si>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</si>
  <si>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</si>
  <si>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</si>
  <si>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</si>
  <si>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</si>
  <si>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</si>
  <si>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</si>
  <si>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72-000-47-00-4723</t>
  </si>
  <si>
    <t>WINDETT RIDGE</t>
  </si>
  <si>
    <t>72-720-60-00-6069</t>
  </si>
  <si>
    <t>WINDETT RIDGE PARK</t>
  </si>
  <si>
    <t>51-510-60-00-6081</t>
  </si>
  <si>
    <t>23-230-60-00-6086</t>
  </si>
  <si>
    <t>KENNEDY ROAD IMPROVEMENTS</t>
  </si>
  <si>
    <t>51-510-54-00-5401</t>
  </si>
  <si>
    <t>ADMINISTRATIVE CHARGEBACK</t>
  </si>
  <si>
    <t>52-520-54-00-5401</t>
  </si>
  <si>
    <t>01-000-44-00-4415</t>
  </si>
  <si>
    <t>87-870-54-00-5401</t>
  </si>
  <si>
    <t>88-880-54-00-5401</t>
  </si>
  <si>
    <t>88-880-60-00-6011</t>
  </si>
  <si>
    <t>Rte 71 Water/Sewer Main Replacement</t>
  </si>
  <si>
    <t>79-795-54-00-5422</t>
  </si>
  <si>
    <t>Debt Service - 2016 Refunding Bond</t>
  </si>
  <si>
    <t>23-000-46-00-4608</t>
  </si>
  <si>
    <t>REIMB - KENNEDY ROAD IMPROVEMENTS</t>
  </si>
  <si>
    <t>CENTER &amp; COUNTRYSIDE IMPROVEMENTS</t>
  </si>
  <si>
    <t xml:space="preserve">UB COLLECTION FEES </t>
  </si>
  <si>
    <t>FNBO Loan - 102 E Van Emmon Building</t>
  </si>
  <si>
    <t>Fiscal Year 2019 Budget</t>
  </si>
  <si>
    <t>Fiscal Years 2016 - 2023</t>
  </si>
  <si>
    <t>Fiscal Year 2019</t>
  </si>
  <si>
    <t>11-000-49-00-4910</t>
  </si>
  <si>
    <t>72-000-42-00-4244</t>
  </si>
  <si>
    <t>72-000-47-00-4720</t>
  </si>
  <si>
    <t>WOODWORTH</t>
  </si>
  <si>
    <t>51-000-49-00-4910</t>
  </si>
  <si>
    <t>52-520-60-00-6060</t>
  </si>
  <si>
    <t xml:space="preserve">PROPERTY TAXES - LIBRARY OPS                   </t>
  </si>
  <si>
    <t>PROPERTY TAXES - DEBT SERVICE</t>
  </si>
  <si>
    <t>88-880-60-00-6045</t>
  </si>
  <si>
    <t>The table and graph below present the City's funds in aggregate, similar to that of a private business (for illustrative purposes only).  All budgeted funds are included except for the following:  Park &amp; Recreation Capital portion of Vehicle and Equipment (25); Library Operations (82); Library Capital (84); and Park &amp; Recreation (79).</t>
  </si>
  <si>
    <t>The table and graph below present the Library's funds in aggregate, similar to that of a private business (for illustrative purposes only).  All budgeted Library funds are included:  Library Operations (82); and Library Capital (84).</t>
  </si>
  <si>
    <t>The table and graph below present the Park &amp; Recreation funds in aggregate, similar to that of a private business (for illustrative purposes only).  All budgeted Park &amp; Recreation funds are included:  Parks &amp; Recreation (79); and the Parks &amp; Recreation Capital portion of Vehicle &amp; Equipment Fund (25).</t>
  </si>
  <si>
    <t>82-820-84-00-8000</t>
  </si>
  <si>
    <t>82-820-84-00-8050</t>
  </si>
  <si>
    <t>82-820-99-00-8000</t>
  </si>
  <si>
    <t>82-820-99-00-8050</t>
  </si>
  <si>
    <t>51-510-60-00-6011</t>
  </si>
  <si>
    <t>01-640-54-00-5423</t>
  </si>
  <si>
    <t>Downtown TIF II</t>
  </si>
  <si>
    <t>89-000-40-00-4000</t>
  </si>
  <si>
    <t>89-000-45-00-4500</t>
  </si>
  <si>
    <t>89-890-54-00-5401</t>
  </si>
  <si>
    <t>89-890-54-00-5462</t>
  </si>
  <si>
    <t>89-890-54-00-5466</t>
  </si>
  <si>
    <t>89-890-60-00-6000</t>
  </si>
  <si>
    <t>Downtown TIF Fund II (89)</t>
  </si>
  <si>
    <t>23-216-60-00-6020</t>
  </si>
  <si>
    <t>01-220-54-00-5422</t>
  </si>
  <si>
    <t>General Government Capital</t>
  </si>
  <si>
    <t>Gen Gov Capital Fund Balance</t>
  </si>
  <si>
    <t>25-000-44-00-4419</t>
  </si>
  <si>
    <t>COMMUNITY DEVELOPMENT CHARGEBACK</t>
  </si>
  <si>
    <t>Fund Balance - General Government</t>
  </si>
  <si>
    <t>01-410-56-00-5618</t>
  </si>
  <si>
    <t>01-410-56-00-5619</t>
  </si>
  <si>
    <t>01-410-56-00-5642</t>
  </si>
  <si>
    <t>01-410-54-00-5483</t>
  </si>
  <si>
    <t>52-520-54-00-5483</t>
  </si>
  <si>
    <t>01-410-56-00-5665</t>
  </si>
  <si>
    <t>52-520-56-00-5665</t>
  </si>
  <si>
    <t>23-230-60-00-6019</t>
  </si>
  <si>
    <t>BRISTOL BAY ACCESS ROAD</t>
  </si>
  <si>
    <t>87-870-54-00-5425</t>
  </si>
  <si>
    <t>23-230-60-00-6021</t>
  </si>
  <si>
    <t>PAVILLION ROAD STREAMBANK STABILIZATION</t>
  </si>
  <si>
    <t>01-110-54-00-5424</t>
  </si>
  <si>
    <t>COMPUTER REPLACEMENT CHARGEBACK</t>
  </si>
  <si>
    <t>01-120-54-00-5424</t>
  </si>
  <si>
    <t>01-210-54-00-5424</t>
  </si>
  <si>
    <t>01-220-54-00-5424</t>
  </si>
  <si>
    <t>01-410-54-00-5424</t>
  </si>
  <si>
    <t>51-510-54-00-5424</t>
  </si>
  <si>
    <t>52-520-54-00-5424</t>
  </si>
  <si>
    <t>79-790-54-00-5424</t>
  </si>
  <si>
    <t>79-795-54-00-5424</t>
  </si>
  <si>
    <t>25-000-44-00-4428</t>
  </si>
  <si>
    <t>COMPUTER REPLACEMENT CHARGEBACKS</t>
  </si>
  <si>
    <t>IDOR ADMINISTRATION FEE</t>
  </si>
  <si>
    <t>01-640-52-00-5214</t>
  </si>
  <si>
    <t>FICA CONTRIBUTION - SPECIAL CENSUS</t>
  </si>
  <si>
    <t>72-000-47-00-4707</t>
  </si>
  <si>
    <t>RIVER'S EDGE</t>
  </si>
  <si>
    <t>72-000-47-00-4709</t>
  </si>
  <si>
    <t>SALEK</t>
  </si>
  <si>
    <t>01-410-56-00-5632</t>
  </si>
  <si>
    <t>ASPHALT PATCHING</t>
  </si>
  <si>
    <t>23-000-48-00-4845</t>
  </si>
  <si>
    <t>23-000-46-00-4618</t>
  </si>
  <si>
    <t>REIMB - BRISTOL BAY ANNEX</t>
  </si>
  <si>
    <t>KC TAP Grant</t>
  </si>
  <si>
    <t>FEDERAL GRANTS - ITEP DOWNTOWN HILL</t>
  </si>
  <si>
    <t>88-000-41-00-4163</t>
  </si>
  <si>
    <t>88-880-60-00-6015</t>
  </si>
  <si>
    <t>DOWNTOWN HILL</t>
  </si>
  <si>
    <t>23-230-54-00-5497</t>
  </si>
  <si>
    <t>PROPERTY TAX PAYMENT</t>
  </si>
  <si>
    <t>23-230-60-00-6098</t>
  </si>
  <si>
    <t>BRISTOL BAY SUBDIVISION</t>
  </si>
  <si>
    <t>25-212-56-00-5635</t>
  </si>
  <si>
    <t>25-212-60-00-6070</t>
  </si>
  <si>
    <t>General Government Fund Balance</t>
  </si>
  <si>
    <t>General Government Capital Expenditures</t>
  </si>
  <si>
    <t>79-000-41-00-4175</t>
  </si>
  <si>
    <t>23-230-60-00-6023</t>
  </si>
  <si>
    <t>FOUNTAIN VILLAGE SUBDIVISION</t>
  </si>
  <si>
    <t>23-000-46-00-4621</t>
  </si>
  <si>
    <t>REIMB - FOUNTAIN VILLAGE</t>
  </si>
  <si>
    <t>23-230-56-00-5632</t>
  </si>
  <si>
    <t>23-216-54-00-5482</t>
  </si>
  <si>
    <t>23-216-56-00-5619</t>
  </si>
  <si>
    <t>52-520-60-00-6001</t>
  </si>
  <si>
    <t>SCADA SYSTEM</t>
  </si>
  <si>
    <t>72-720-60-00-6010</t>
  </si>
  <si>
    <t>PARK IMPROVEMENTS</t>
  </si>
  <si>
    <t>72-720-60-00-6013</t>
  </si>
  <si>
    <t>BEECHER PARK</t>
  </si>
  <si>
    <t>52-520-60-00-6070</t>
  </si>
  <si>
    <t>23-216-56-00-5626</t>
  </si>
  <si>
    <t>82-000-40-00-4083</t>
  </si>
  <si>
    <t>Center / Countryside</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</si>
  <si>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Public Works and Parks &amp; Recreation Departments.  </t>
  </si>
  <si>
    <t>Proposed TIF in the downtown area, pending the decision of City Council.</t>
  </si>
  <si>
    <t>Operational Fund Balance %</t>
  </si>
  <si>
    <t>Property Taxes (continued)</t>
  </si>
  <si>
    <t>82-820-56-00-5621</t>
  </si>
  <si>
    <t>CUSTODIAL SUPPLIES</t>
  </si>
  <si>
    <t>LIBRARY OPERATING SUPPLIES</t>
  </si>
  <si>
    <t>23-000-46-00-4624</t>
  </si>
  <si>
    <t>REIMB - WHISPERING MEADOWS</t>
  </si>
  <si>
    <t>23-230-60-00-6034</t>
  </si>
  <si>
    <t>WHISPERING MEADOWS SUBDIVISION</t>
  </si>
  <si>
    <t>01-640-99-00-9923</t>
  </si>
  <si>
    <t>51-510-60-00-6034</t>
  </si>
  <si>
    <t>52-520-60-00-6034</t>
  </si>
</sst>
</file>

<file path=xl/styles.xml><?xml version="1.0" encoding="utf-8"?>
<styleSheet xmlns="http://schemas.openxmlformats.org/spreadsheetml/2006/main">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s>
  <fonts count="65">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i/>
      <sz val="10"/>
      <name val="Times New Roman"/>
      <family val="1"/>
    </font>
    <font>
      <i/>
      <sz val="10"/>
      <color indexed="8"/>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sz val="11"/>
      <color rgb="FFFF0000"/>
      <name val="Times New Roman"/>
      <family val="1"/>
    </font>
    <font>
      <sz val="11"/>
      <color rgb="FFFF0000"/>
      <name val="Times New Roman"/>
      <family val="1"/>
    </font>
    <font>
      <i/>
      <u/>
      <sz val="11"/>
      <color indexed="8"/>
      <name val="Times New Roman"/>
      <family val="1"/>
    </font>
    <font>
      <b/>
      <i/>
      <u/>
      <sz val="11"/>
      <color indexed="8"/>
      <name val="Times New Roman"/>
      <family val="1"/>
    </font>
    <font>
      <sz val="10"/>
      <name val="Arial Black"/>
      <family val="2"/>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u val="singleAccounting"/>
      <sz val="11"/>
      <color theme="0"/>
      <name val="Times New Roman"/>
      <family val="1"/>
    </font>
    <font>
      <b/>
      <sz val="11"/>
      <color rgb="FFFF0000"/>
      <name val="Times New Roman"/>
      <family val="1"/>
    </font>
    <font>
      <b/>
      <i/>
      <u/>
      <sz val="11"/>
      <color theme="0"/>
      <name val="Times New Roman"/>
      <family val="1"/>
    </font>
    <font>
      <sz val="9"/>
      <color theme="0"/>
      <name val="Times New Roman"/>
      <family val="1"/>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color theme="0"/>
      <name val="Times New Roman"/>
      <family val="1"/>
    </font>
    <font>
      <b/>
      <i/>
      <sz val="11"/>
      <color theme="0"/>
      <name val="Times New Roman"/>
      <family val="1"/>
    </font>
    <font>
      <b/>
      <sz val="72"/>
      <name val="Times New Roman"/>
      <family val="1"/>
    </font>
    <font>
      <b/>
      <u val="singleAccounting"/>
      <sz val="11"/>
      <color rgb="FFFF0000"/>
      <name val="Times New Roman"/>
      <family val="1"/>
    </font>
    <font>
      <b/>
      <u val="singleAccounting"/>
      <sz val="11"/>
      <color theme="0"/>
      <name val="Times New Roman"/>
      <family val="1"/>
    </font>
    <font>
      <b/>
      <i/>
      <u/>
      <sz val="9"/>
      <color indexed="8"/>
      <name val="Times New Roman"/>
      <family val="1"/>
    </font>
    <font>
      <sz val="16"/>
      <color theme="0"/>
      <name val="Times New Roman"/>
      <family val="1"/>
    </font>
    <font>
      <i/>
      <u/>
      <sz val="11"/>
      <name val="Times New Roman"/>
      <family val="1"/>
    </font>
    <font>
      <b/>
      <u/>
      <sz val="11"/>
      <color rgb="FFFF0000"/>
      <name val="Times New Roman"/>
      <family val="1"/>
    </font>
    <font>
      <u val="singleAccounting"/>
      <sz val="11"/>
      <color rgb="FFFF0000"/>
      <name val="Times New Roman"/>
      <family val="1"/>
    </font>
    <font>
      <sz val="28"/>
      <color theme="0"/>
      <name val="Times New Roman"/>
      <family val="1"/>
    </font>
    <font>
      <sz val="16"/>
      <name val="Times New Roman"/>
      <family val="1"/>
    </font>
    <font>
      <b/>
      <sz val="9"/>
      <color indexed="8"/>
      <name val="Times New Roman"/>
      <family val="1"/>
    </font>
  </fonts>
  <fills count="8">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9">
    <border>
      <left/>
      <right/>
      <top/>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bottom style="thin">
        <color theme="0"/>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19" fillId="0" borderId="0" applyFont="0" applyFill="0" applyBorder="0" applyAlignment="0" applyProtection="0"/>
  </cellStyleXfs>
  <cellXfs count="922">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0" fontId="3" fillId="0" borderId="0" xfId="0" applyFont="1" applyFill="1" applyAlignment="1">
      <alignment vertical="center"/>
    </xf>
    <xf numFmtId="164" fontId="16" fillId="0" borderId="0" xfId="3"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pplyProtection="1">
      <alignment horizontal="center"/>
    </xf>
    <xf numFmtId="0" fontId="2" fillId="0" borderId="0" xfId="0" applyFont="1" applyFill="1" applyBorder="1" applyAlignment="1"/>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3"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0"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4" xfId="0" applyFont="1" applyFill="1" applyBorder="1" applyAlignment="1">
      <alignment horizontal="center"/>
    </xf>
    <xf numFmtId="0" fontId="3" fillId="0" borderId="0" xfId="0" applyFont="1" applyFill="1" applyAlignment="1">
      <alignment horizontal="left"/>
    </xf>
    <xf numFmtId="0" fontId="2" fillId="0" borderId="3" xfId="0" applyFont="1" applyFill="1" applyBorder="1" applyAlignment="1" applyProtection="1">
      <alignment horizontal="left" indent="1"/>
    </xf>
    <xf numFmtId="0" fontId="2" fillId="0" borderId="0" xfId="0" applyFont="1" applyAlignment="1">
      <alignment horizontal="left" vertical="center" wrapText="1"/>
    </xf>
    <xf numFmtId="164" fontId="2" fillId="0" borderId="0" xfId="3" applyNumberFormat="1" applyFont="1" applyFill="1"/>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4" fillId="0" borderId="0" xfId="0" applyFont="1" applyAlignment="1">
      <alignment vertical="center"/>
    </xf>
    <xf numFmtId="164" fontId="20" fillId="0" borderId="0" xfId="3" applyNumberFormat="1" applyFont="1" applyAlignment="1">
      <alignment horizontal="center" wrapText="1"/>
    </xf>
    <xf numFmtId="164" fontId="21"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3"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6"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6" xfId="0" applyFont="1" applyFill="1" applyBorder="1" applyAlignment="1" applyProtection="1">
      <alignment vertical="center"/>
    </xf>
    <xf numFmtId="164" fontId="3" fillId="0" borderId="6"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37" fontId="2" fillId="0" borderId="4"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3" fillId="0" borderId="6"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Border="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4" xfId="0" applyFont="1" applyFill="1" applyBorder="1" applyAlignment="1" applyProtection="1">
      <alignment horizontal="center"/>
    </xf>
    <xf numFmtId="37" fontId="2" fillId="0" borderId="4"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3" applyNumberFormat="1" applyFont="1" applyFill="1" applyBorder="1" applyAlignment="1" applyProtection="1">
      <alignment vertical="center"/>
    </xf>
    <xf numFmtId="164" fontId="18" fillId="0" borderId="0" xfId="3" applyNumberFormat="1" applyFont="1" applyFill="1" applyBorder="1" applyAlignment="1" applyProtection="1">
      <alignment vertical="center"/>
    </xf>
    <xf numFmtId="164" fontId="18" fillId="0" borderId="0" xfId="3" applyNumberFormat="1" applyFont="1" applyFill="1" applyBorder="1" applyAlignment="1">
      <alignment vertical="center"/>
    </xf>
    <xf numFmtId="0" fontId="3" fillId="4" borderId="6" xfId="0" applyFont="1" applyFill="1" applyBorder="1" applyAlignment="1" applyProtection="1">
      <alignment vertical="center"/>
    </xf>
    <xf numFmtId="41" fontId="3" fillId="4" borderId="6" xfId="0" applyNumberFormat="1" applyFont="1" applyFill="1" applyBorder="1" applyAlignment="1" applyProtection="1">
      <alignment vertical="center"/>
    </xf>
    <xf numFmtId="164" fontId="3" fillId="4" borderId="6" xfId="3" applyNumberFormat="1" applyFont="1" applyFill="1" applyBorder="1" applyAlignment="1" applyProtection="1">
      <alignment vertical="center"/>
    </xf>
    <xf numFmtId="37" fontId="2" fillId="0" borderId="0" xfId="0" applyNumberFormat="1" applyFont="1" applyFill="1" applyAlignment="1" applyProtection="1"/>
    <xf numFmtId="0" fontId="27" fillId="0" borderId="0" xfId="0" applyFont="1" applyAlignment="1"/>
    <xf numFmtId="0" fontId="28" fillId="0" borderId="0" xfId="0" applyFont="1" applyFill="1" applyAlignment="1"/>
    <xf numFmtId="0" fontId="27" fillId="0" borderId="0" xfId="0" applyFont="1" applyFill="1" applyAlignment="1"/>
    <xf numFmtId="0" fontId="20" fillId="0" borderId="0" xfId="0" applyFont="1" applyFill="1" applyAlignment="1">
      <alignment horizontal="center"/>
    </xf>
    <xf numFmtId="0" fontId="26"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0" fontId="27" fillId="0" borderId="0" xfId="0" applyFont="1" applyBorder="1" applyAlignment="1"/>
    <xf numFmtId="164" fontId="2" fillId="0" borderId="3" xfId="3" applyNumberFormat="1" applyFont="1" applyFill="1" applyBorder="1" applyAlignment="1">
      <alignment vertical="center"/>
    </xf>
    <xf numFmtId="164" fontId="2" fillId="0" borderId="3" xfId="3" applyNumberFormat="1" applyFont="1" applyBorder="1" applyAlignment="1">
      <alignment vertical="center"/>
    </xf>
    <xf numFmtId="0" fontId="29" fillId="0" borderId="0" xfId="0" applyFont="1" applyAlignment="1">
      <alignment horizontal="center"/>
    </xf>
    <xf numFmtId="0" fontId="29" fillId="0" borderId="0" xfId="0" applyFont="1" applyFill="1" applyAlignment="1">
      <alignment vertical="center"/>
    </xf>
    <xf numFmtId="0" fontId="3" fillId="0" borderId="0" xfId="0" applyFont="1" applyFill="1" applyBorder="1" applyAlignment="1"/>
    <xf numFmtId="0" fontId="3" fillId="0" borderId="7" xfId="0" applyFont="1" applyFill="1" applyBorder="1" applyAlignment="1" applyProtection="1">
      <alignment horizontal="left" indent="1"/>
    </xf>
    <xf numFmtId="0" fontId="14" fillId="0" borderId="0" xfId="0" applyFont="1" applyBorder="1">
      <alignment vertical="top"/>
    </xf>
    <xf numFmtId="0" fontId="3" fillId="0" borderId="6" xfId="0" applyFont="1" applyFill="1" applyBorder="1" applyAlignment="1" applyProtection="1">
      <alignment horizontal="left" indent="1"/>
    </xf>
    <xf numFmtId="0" fontId="3" fillId="0" borderId="6" xfId="0" applyFont="1" applyFill="1" applyBorder="1" applyAlignment="1" applyProtection="1">
      <alignment horizontal="left" indent="1" shrinkToFit="1"/>
    </xf>
    <xf numFmtId="0" fontId="39" fillId="0" borderId="0" xfId="0" applyFont="1" applyAlignment="1"/>
    <xf numFmtId="0" fontId="39"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0" fontId="0" fillId="0" borderId="0" xfId="0" applyAlignment="1">
      <alignment vertical="top"/>
    </xf>
    <xf numFmtId="164" fontId="3" fillId="0" borderId="0" xfId="3" applyNumberFormat="1" applyFont="1" applyFill="1" applyBorder="1"/>
    <xf numFmtId="164" fontId="3" fillId="0" borderId="5" xfId="3" applyNumberFormat="1" applyFont="1" applyFill="1" applyBorder="1" applyAlignment="1">
      <alignment vertical="center"/>
    </xf>
    <xf numFmtId="0" fontId="0" fillId="0" borderId="0" xfId="0" applyAlignment="1">
      <alignment vertical="center"/>
    </xf>
    <xf numFmtId="0" fontId="3" fillId="0" borderId="6"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4" applyNumberFormat="1" applyFont="1" applyFill="1" applyBorder="1" applyAlignment="1">
      <alignment vertical="center"/>
    </xf>
    <xf numFmtId="164" fontId="0" fillId="0" borderId="0" xfId="3" applyNumberFormat="1" applyFont="1" applyFill="1" applyAlignment="1">
      <alignment vertical="center"/>
    </xf>
    <xf numFmtId="164" fontId="0" fillId="0" borderId="0" xfId="3" applyNumberFormat="1" applyFont="1" applyAlignment="1">
      <alignment vertical="center"/>
    </xf>
    <xf numFmtId="0" fontId="2" fillId="0" borderId="4" xfId="0" applyFont="1" applyFill="1" applyBorder="1" applyAlignment="1">
      <alignment vertical="center"/>
    </xf>
    <xf numFmtId="164" fontId="2" fillId="0" borderId="0" xfId="3" applyNumberFormat="1" applyFont="1" applyFill="1" applyBorder="1" applyAlignment="1" applyProtection="1">
      <alignment horizontal="center" vertical="center"/>
    </xf>
    <xf numFmtId="10" fontId="2" fillId="0" borderId="0" xfId="4" applyNumberFormat="1" applyFont="1" applyFill="1" applyBorder="1" applyAlignment="1">
      <alignment vertical="center"/>
    </xf>
    <xf numFmtId="0" fontId="2" fillId="0" borderId="3" xfId="1" applyFont="1" applyFill="1" applyBorder="1" applyAlignment="1">
      <alignment vertical="center"/>
    </xf>
    <xf numFmtId="0" fontId="18" fillId="0" borderId="0" xfId="1" applyFont="1" applyFill="1" applyBorder="1" applyAlignment="1">
      <alignment vertical="center"/>
    </xf>
    <xf numFmtId="164" fontId="18" fillId="0" borderId="5" xfId="3" applyNumberFormat="1" applyFont="1" applyFill="1" applyBorder="1" applyAlignment="1">
      <alignment vertical="center"/>
    </xf>
    <xf numFmtId="166" fontId="2" fillId="0" borderId="0" xfId="4" applyNumberFormat="1" applyFont="1" applyFill="1" applyBorder="1" applyAlignment="1">
      <alignment vertical="center"/>
    </xf>
    <xf numFmtId="0" fontId="6" fillId="6"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41" fontId="2" fillId="0" borderId="0" xfId="3" applyNumberFormat="1" applyFont="1" applyFill="1" applyAlignment="1" applyProtection="1">
      <alignment vertical="center"/>
      <protection locked="0"/>
    </xf>
    <xf numFmtId="41" fontId="2" fillId="6" borderId="0" xfId="3"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0" borderId="1" xfId="3" applyNumberFormat="1" applyFont="1" applyFill="1" applyBorder="1" applyAlignment="1" applyProtection="1">
      <alignment vertical="center"/>
      <protection locked="0"/>
    </xf>
    <xf numFmtId="41" fontId="2" fillId="6" borderId="1" xfId="3" applyNumberFormat="1" applyFont="1" applyFill="1" applyBorder="1" applyAlignment="1" applyProtection="1">
      <alignment vertical="center"/>
      <protection locked="0"/>
    </xf>
    <xf numFmtId="0" fontId="18" fillId="0" borderId="0" xfId="0" applyFont="1" applyFill="1" applyAlignment="1" applyProtection="1">
      <alignment vertical="center"/>
      <protection locked="0"/>
    </xf>
    <xf numFmtId="0" fontId="18" fillId="0" borderId="0" xfId="0" applyFont="1" applyFill="1" applyAlignment="1" applyProtection="1">
      <alignment horizontal="left" vertical="center"/>
      <protection locked="0"/>
    </xf>
    <xf numFmtId="41" fontId="2" fillId="0" borderId="0" xfId="3" applyNumberFormat="1" applyFont="1" applyFill="1" applyBorder="1" applyAlignment="1" applyProtection="1">
      <alignment vertical="center"/>
      <protection locked="0"/>
    </xf>
    <xf numFmtId="41" fontId="2" fillId="0" borderId="2" xfId="3" applyNumberFormat="1" applyFont="1" applyFill="1" applyBorder="1" applyAlignment="1" applyProtection="1">
      <alignment vertical="center"/>
      <protection locked="0"/>
    </xf>
    <xf numFmtId="41" fontId="2" fillId="6" borderId="2" xfId="3" applyNumberFormat="1" applyFont="1" applyFill="1" applyBorder="1" applyAlignment="1" applyProtection="1">
      <alignment vertical="center"/>
      <protection locked="0"/>
    </xf>
    <xf numFmtId="41" fontId="2" fillId="6" borderId="0" xfId="3" applyNumberFormat="1" applyFont="1" applyFill="1" applyBorder="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0" fontId="30" fillId="0" borderId="0" xfId="0" applyFont="1" applyFill="1" applyAlignment="1" applyProtection="1">
      <alignment vertical="center"/>
      <protection locked="0"/>
    </xf>
    <xf numFmtId="41" fontId="16" fillId="0" borderId="0" xfId="3" applyNumberFormat="1" applyFont="1" applyFill="1" applyAlignment="1" applyProtection="1">
      <alignment vertical="center"/>
      <protection locked="0"/>
    </xf>
    <xf numFmtId="41" fontId="16" fillId="0" borderId="0" xfId="3" applyNumberFormat="1" applyFont="1" applyFill="1" applyBorder="1" applyAlignment="1" applyProtection="1">
      <alignment vertical="center"/>
      <protection locked="0"/>
    </xf>
    <xf numFmtId="41" fontId="16" fillId="6" borderId="0" xfId="3" applyNumberFormat="1" applyFont="1" applyFill="1" applyBorder="1" applyAlignment="1" applyProtection="1">
      <alignmen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0" fontId="9" fillId="0" borderId="0" xfId="0" applyFont="1" applyFill="1" applyAlignment="1" applyProtection="1">
      <alignment vertical="center"/>
      <protection locked="0"/>
    </xf>
    <xf numFmtId="41" fontId="2" fillId="0" borderId="0" xfId="3" applyNumberFormat="1" applyFont="1" applyFill="1" applyAlignment="1" applyProtection="1">
      <alignment horizontal="right" vertical="center"/>
      <protection locked="0"/>
    </xf>
    <xf numFmtId="41" fontId="2" fillId="6" borderId="0" xfId="3" applyNumberFormat="1" applyFont="1" applyFill="1" applyAlignment="1" applyProtection="1">
      <alignment horizontal="right" vertical="center"/>
      <protection locked="0"/>
    </xf>
    <xf numFmtId="164" fontId="2" fillId="0" borderId="0" xfId="3" applyNumberFormat="1" applyFont="1" applyFill="1" applyAlignment="1" applyProtection="1">
      <alignment vertical="center"/>
      <protection locked="0"/>
    </xf>
    <xf numFmtId="41" fontId="16" fillId="6" borderId="0" xfId="3" applyNumberFormat="1" applyFont="1" applyFill="1" applyAlignment="1" applyProtection="1">
      <alignment vertical="center"/>
      <protection locked="0"/>
    </xf>
    <xf numFmtId="41" fontId="16" fillId="0" borderId="1" xfId="3" applyNumberFormat="1" applyFont="1" applyFill="1" applyBorder="1" applyAlignment="1" applyProtection="1">
      <alignment vertical="center"/>
      <protection locked="0"/>
    </xf>
    <xf numFmtId="41" fontId="16" fillId="6" borderId="1" xfId="3" applyNumberFormat="1" applyFont="1" applyFill="1" applyBorder="1" applyAlignment="1" applyProtection="1">
      <alignment vertical="center"/>
      <protection locked="0"/>
    </xf>
    <xf numFmtId="41" fontId="3" fillId="6" borderId="0" xfId="3"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protection locked="0"/>
    </xf>
    <xf numFmtId="41" fontId="6" fillId="0" borderId="0" xfId="3" applyNumberFormat="1" applyFont="1" applyFill="1" applyAlignment="1" applyProtection="1">
      <alignment horizontal="right" vertical="center"/>
      <protection locked="0"/>
    </xf>
    <xf numFmtId="41" fontId="16" fillId="0" borderId="2" xfId="3" applyNumberFormat="1" applyFont="1" applyFill="1" applyBorder="1" applyAlignment="1" applyProtection="1">
      <alignment vertical="center"/>
      <protection locked="0"/>
    </xf>
    <xf numFmtId="41" fontId="16" fillId="6" borderId="2" xfId="3" applyNumberFormat="1" applyFont="1" applyFill="1" applyBorder="1" applyAlignment="1" applyProtection="1">
      <alignment vertical="center"/>
      <protection locked="0"/>
    </xf>
    <xf numFmtId="0" fontId="31" fillId="0" borderId="0" xfId="0" applyFont="1" applyFill="1" applyAlignment="1" applyProtection="1">
      <alignment vertical="center"/>
      <protection locked="0"/>
    </xf>
    <xf numFmtId="0" fontId="35" fillId="0" borderId="0" xfId="0"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41" fontId="6" fillId="0" borderId="0" xfId="3" applyNumberFormat="1" applyFont="1" applyFill="1" applyAlignment="1" applyProtection="1">
      <alignment vertical="center"/>
      <protection locked="0"/>
    </xf>
    <xf numFmtId="41" fontId="6" fillId="6" borderId="0" xfId="3" applyNumberFormat="1" applyFont="1" applyFill="1" applyAlignment="1" applyProtection="1">
      <alignment vertical="center"/>
      <protection locked="0"/>
    </xf>
    <xf numFmtId="41" fontId="6" fillId="6" borderId="0" xfId="3" applyNumberFormat="1" applyFont="1" applyFill="1" applyAlignment="1" applyProtection="1">
      <alignment horizontal="right" vertical="center"/>
      <protection locked="0"/>
    </xf>
    <xf numFmtId="164" fontId="2" fillId="0" borderId="0" xfId="3" applyNumberFormat="1" applyFont="1" applyFill="1" applyBorder="1" applyAlignment="1" applyProtection="1">
      <alignment vertical="center"/>
      <protection locked="0"/>
    </xf>
    <xf numFmtId="41" fontId="7" fillId="0" borderId="0" xfId="3" applyNumberFormat="1" applyFont="1" applyFill="1" applyAlignment="1" applyProtection="1">
      <alignment vertical="center"/>
      <protection locked="0"/>
    </xf>
    <xf numFmtId="41" fontId="7" fillId="6" borderId="0" xfId="3" applyNumberFormat="1" applyFont="1" applyFill="1" applyAlignment="1" applyProtection="1">
      <alignment vertical="center"/>
      <protection locked="0"/>
    </xf>
    <xf numFmtId="43" fontId="6" fillId="0" borderId="0" xfId="3" applyFont="1" applyFill="1" applyAlignment="1" applyProtection="1">
      <alignment vertical="center"/>
      <protection locked="0"/>
    </xf>
    <xf numFmtId="41" fontId="17" fillId="6" borderId="0" xfId="3" applyNumberFormat="1" applyFont="1" applyFill="1" applyAlignment="1" applyProtection="1">
      <alignment horizontal="right" vertical="center"/>
      <protection locked="0"/>
    </xf>
    <xf numFmtId="164" fontId="18" fillId="0" borderId="0" xfId="3" applyNumberFormat="1" applyFont="1" applyFill="1" applyAlignment="1" applyProtection="1">
      <alignment vertical="center"/>
      <protection locked="0"/>
    </xf>
    <xf numFmtId="41" fontId="16" fillId="6" borderId="0" xfId="3" applyNumberFormat="1" applyFont="1" applyFill="1" applyAlignment="1" applyProtection="1">
      <alignment horizontal="right" vertical="center"/>
      <protection locked="0"/>
    </xf>
    <xf numFmtId="164" fontId="10" fillId="0" borderId="0" xfId="3" applyNumberFormat="1" applyFont="1" applyFill="1" applyAlignment="1" applyProtection="1">
      <alignment vertical="center"/>
      <protection locked="0"/>
    </xf>
    <xf numFmtId="43" fontId="6" fillId="0" borderId="0" xfId="0" applyNumberFormat="1" applyFont="1" applyFill="1" applyAlignment="1" applyProtection="1">
      <alignment vertical="center"/>
      <protection locked="0"/>
    </xf>
    <xf numFmtId="41" fontId="17" fillId="6" borderId="0" xfId="3" applyNumberFormat="1" applyFont="1" applyFill="1" applyAlignment="1" applyProtection="1">
      <alignment vertical="center"/>
      <protection locked="0"/>
    </xf>
    <xf numFmtId="0" fontId="7" fillId="0" borderId="0" xfId="0" applyFont="1" applyFill="1" applyAlignment="1" applyProtection="1">
      <alignment wrapText="1"/>
      <protection locked="0"/>
    </xf>
    <xf numFmtId="0" fontId="13"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38" fillId="0" borderId="0" xfId="0" applyFont="1" applyFill="1" applyAlignment="1" applyProtection="1">
      <alignment vertical="center"/>
    </xf>
    <xf numFmtId="41" fontId="2" fillId="0" borderId="0" xfId="3" applyNumberFormat="1" applyFont="1" applyFill="1" applyAlignment="1" applyProtection="1">
      <alignment vertical="center"/>
    </xf>
    <xf numFmtId="41" fontId="2" fillId="6" borderId="0" xfId="3" applyNumberFormat="1" applyFont="1" applyFill="1" applyAlignment="1" applyProtection="1">
      <alignment vertical="center"/>
    </xf>
    <xf numFmtId="41" fontId="2" fillId="0" borderId="1"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41" fontId="2" fillId="0" borderId="2" xfId="3" applyNumberFormat="1" applyFont="1" applyFill="1" applyBorder="1" applyAlignment="1" applyProtection="1">
      <alignment vertical="center"/>
    </xf>
    <xf numFmtId="41" fontId="2" fillId="6" borderId="0" xfId="3"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16" fillId="0" borderId="0" xfId="3" applyNumberFormat="1" applyFont="1" applyFill="1" applyAlignment="1" applyProtection="1">
      <alignment vertical="center"/>
    </xf>
    <xf numFmtId="41" fontId="16" fillId="0" borderId="0" xfId="3"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2" xfId="3"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3" applyNumberFormat="1" applyFont="1" applyFill="1" applyAlignment="1" applyProtection="1">
      <alignment horizontal="right" vertical="center"/>
    </xf>
    <xf numFmtId="41" fontId="3" fillId="6" borderId="0" xfId="3" applyNumberFormat="1" applyFont="1" applyFill="1" applyAlignment="1" applyProtection="1">
      <alignment vertical="center"/>
    </xf>
    <xf numFmtId="41" fontId="16" fillId="0" borderId="1" xfId="3" applyNumberFormat="1" applyFont="1" applyFill="1" applyBorder="1" applyAlignment="1" applyProtection="1">
      <alignment vertical="center"/>
    </xf>
    <xf numFmtId="41" fontId="3" fillId="6" borderId="0" xfId="3" applyNumberFormat="1" applyFont="1" applyFill="1" applyBorder="1" applyAlignment="1" applyProtection="1">
      <alignment horizontal="right" vertical="center"/>
    </xf>
    <xf numFmtId="41" fontId="6" fillId="0" borderId="0" xfId="3" applyNumberFormat="1" applyFont="1" applyFill="1" applyAlignment="1" applyProtection="1">
      <alignment horizontal="right" vertical="center"/>
    </xf>
    <xf numFmtId="41" fontId="16" fillId="0" borderId="2" xfId="3" applyNumberFormat="1" applyFont="1" applyFill="1" applyBorder="1" applyAlignment="1" applyProtection="1">
      <alignment vertical="center"/>
    </xf>
    <xf numFmtId="41" fontId="3" fillId="6" borderId="0" xfId="3" applyNumberFormat="1" applyFont="1" applyFill="1" applyAlignment="1" applyProtection="1">
      <alignment horizontal="right" vertical="center"/>
    </xf>
    <xf numFmtId="41" fontId="3" fillId="0" borderId="0" xfId="3" applyNumberFormat="1" applyFont="1" applyFill="1" applyAlignment="1" applyProtection="1">
      <alignment horizontal="right" vertical="center"/>
    </xf>
    <xf numFmtId="41" fontId="6" fillId="0" borderId="0" xfId="3" applyNumberFormat="1" applyFont="1" applyFill="1" applyAlignment="1" applyProtection="1">
      <alignment vertical="center"/>
    </xf>
    <xf numFmtId="41" fontId="6" fillId="6" borderId="0" xfId="3" applyNumberFormat="1" applyFont="1" applyFill="1" applyAlignment="1" applyProtection="1">
      <alignment vertical="center"/>
    </xf>
    <xf numFmtId="41" fontId="3" fillId="0" borderId="0" xfId="3" applyNumberFormat="1" applyFont="1" applyFill="1" applyAlignment="1" applyProtection="1">
      <alignment vertical="center"/>
    </xf>
    <xf numFmtId="41" fontId="3" fillId="0" borderId="0" xfId="3" applyNumberFormat="1" applyFont="1" applyFill="1" applyBorder="1" applyAlignment="1" applyProtection="1">
      <alignment horizontal="right" vertical="center"/>
    </xf>
    <xf numFmtId="41" fontId="3" fillId="0" borderId="0" xfId="3" applyNumberFormat="1" applyFont="1" applyFill="1" applyBorder="1" applyAlignment="1" applyProtection="1">
      <alignment vertical="center"/>
    </xf>
    <xf numFmtId="41" fontId="7" fillId="0" borderId="0" xfId="3" applyNumberFormat="1" applyFont="1" applyFill="1" applyAlignment="1" applyProtection="1">
      <alignment vertical="center"/>
    </xf>
    <xf numFmtId="41" fontId="7" fillId="6" borderId="0" xfId="3" applyNumberFormat="1" applyFont="1" applyFill="1" applyAlignment="1" applyProtection="1">
      <alignment vertical="center"/>
    </xf>
    <xf numFmtId="10" fontId="10" fillId="0" borderId="0" xfId="4" applyNumberFormat="1" applyFont="1" applyFill="1" applyAlignment="1" applyProtection="1">
      <alignment vertical="center"/>
    </xf>
    <xf numFmtId="10" fontId="10" fillId="6" borderId="0" xfId="4" applyNumberFormat="1" applyFont="1" applyFill="1" applyAlignment="1" applyProtection="1">
      <alignment vertical="center"/>
    </xf>
    <xf numFmtId="41" fontId="17" fillId="0" borderId="0" xfId="3" applyNumberFormat="1" applyFont="1" applyFill="1" applyAlignment="1" applyProtection="1">
      <alignment horizontal="right" vertical="center"/>
    </xf>
    <xf numFmtId="41" fontId="16" fillId="0" borderId="0" xfId="3" applyNumberFormat="1" applyFont="1" applyFill="1" applyAlignment="1" applyProtection="1">
      <alignment horizontal="right" vertical="center"/>
    </xf>
    <xf numFmtId="41" fontId="33" fillId="0" borderId="0" xfId="3" applyNumberFormat="1" applyFont="1" applyFill="1" applyAlignment="1" applyProtection="1">
      <alignment vertical="center"/>
    </xf>
    <xf numFmtId="41" fontId="33" fillId="6" borderId="0" xfId="3" applyNumberFormat="1" applyFont="1" applyFill="1" applyAlignment="1" applyProtection="1">
      <alignment vertical="center"/>
    </xf>
    <xf numFmtId="41" fontId="7" fillId="0" borderId="7" xfId="3" applyNumberFormat="1" applyFont="1" applyFill="1" applyBorder="1" applyAlignment="1" applyProtection="1">
      <alignment vertical="center"/>
    </xf>
    <xf numFmtId="41" fontId="7" fillId="6" borderId="7" xfId="3" applyNumberFormat="1" applyFont="1" applyFill="1" applyBorder="1" applyAlignment="1" applyProtection="1">
      <alignment vertical="center"/>
    </xf>
    <xf numFmtId="41" fontId="10" fillId="6" borderId="0" xfId="4" applyNumberFormat="1" applyFont="1" applyFill="1" applyAlignment="1" applyProtection="1">
      <alignment vertical="center"/>
    </xf>
    <xf numFmtId="41" fontId="17" fillId="0" borderId="0" xfId="3" applyNumberFormat="1" applyFont="1" applyFill="1" applyAlignment="1" applyProtection="1">
      <alignment vertical="center"/>
    </xf>
    <xf numFmtId="41" fontId="17" fillId="6" borderId="0" xfId="3" applyNumberFormat="1" applyFont="1" applyFill="1" applyAlignment="1" applyProtection="1">
      <alignment vertical="center"/>
    </xf>
    <xf numFmtId="41" fontId="3" fillId="6" borderId="0" xfId="3"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3" applyNumberFormat="1" applyFont="1" applyFill="1" applyAlignment="1" applyProtection="1">
      <alignment horizontal="center" vertical="center"/>
    </xf>
    <xf numFmtId="41" fontId="7" fillId="6" borderId="0" xfId="3" applyNumberFormat="1" applyFont="1" applyFill="1" applyAlignment="1" applyProtection="1">
      <alignment horizontal="center" vertical="center"/>
    </xf>
    <xf numFmtId="41" fontId="10" fillId="0" borderId="0" xfId="3" applyNumberFormat="1" applyFont="1" applyFill="1" applyAlignment="1" applyProtection="1">
      <alignment vertical="center"/>
    </xf>
    <xf numFmtId="41" fontId="10" fillId="6" borderId="0" xfId="3"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32" fillId="0" borderId="0" xfId="3" applyNumberFormat="1" applyFont="1" applyFill="1" applyAlignment="1" applyProtection="1">
      <alignment vertical="center"/>
    </xf>
    <xf numFmtId="41" fontId="32" fillId="6" borderId="0" xfId="3" applyNumberFormat="1" applyFont="1" applyFill="1" applyAlignment="1" applyProtection="1">
      <alignment vertical="center"/>
    </xf>
    <xf numFmtId="168"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5" fontId="7" fillId="0" borderId="0" xfId="0" applyNumberFormat="1" applyFont="1" applyFill="1" applyAlignment="1" applyProtection="1">
      <alignment vertical="center"/>
    </xf>
    <xf numFmtId="164" fontId="7" fillId="0" borderId="0" xfId="3" applyNumberFormat="1" applyFont="1" applyFill="1" applyAlignment="1" applyProtection="1">
      <alignment vertical="center"/>
    </xf>
    <xf numFmtId="10" fontId="7" fillId="0" borderId="0" xfId="4"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4"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3"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7"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37" fillId="0" borderId="0" xfId="0" applyFont="1" applyFill="1" applyAlignment="1" applyProtection="1">
      <alignment vertical="center"/>
    </xf>
    <xf numFmtId="41" fontId="3" fillId="0" borderId="0" xfId="0" applyNumberFormat="1" applyFont="1" applyFill="1" applyAlignment="1" applyProtection="1">
      <alignment vertical="center"/>
    </xf>
    <xf numFmtId="164" fontId="6" fillId="0" borderId="0" xfId="3" applyNumberFormat="1" applyFont="1" applyFill="1" applyAlignment="1" applyProtection="1">
      <alignment vertical="center"/>
    </xf>
    <xf numFmtId="164" fontId="7" fillId="0"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10" fillId="0" borderId="0" xfId="0" applyFont="1" applyFill="1" applyAlignment="1" applyProtection="1">
      <alignment horizontal="center" vertical="center"/>
    </xf>
    <xf numFmtId="0" fontId="40" fillId="7" borderId="0" xfId="0" applyFont="1" applyFill="1" applyAlignment="1" applyProtection="1">
      <alignment vertical="center"/>
    </xf>
    <xf numFmtId="0" fontId="41" fillId="7" borderId="0" xfId="0" applyFont="1" applyFill="1" applyAlignment="1" applyProtection="1">
      <alignment vertical="center"/>
    </xf>
    <xf numFmtId="41" fontId="41" fillId="7" borderId="0" xfId="0" applyNumberFormat="1" applyFont="1" applyFill="1" applyAlignment="1" applyProtection="1">
      <alignment vertical="center"/>
    </xf>
    <xf numFmtId="41" fontId="41" fillId="7" borderId="0" xfId="3" applyNumberFormat="1" applyFont="1" applyFill="1" applyAlignment="1" applyProtection="1">
      <alignment vertical="center"/>
    </xf>
    <xf numFmtId="41" fontId="41" fillId="7" borderId="0" xfId="4" applyNumberFormat="1" applyFont="1" applyFill="1" applyAlignment="1" applyProtection="1">
      <alignment vertical="center"/>
    </xf>
    <xf numFmtId="0" fontId="41" fillId="0" borderId="0" xfId="0" applyFont="1" applyFill="1" applyAlignment="1" applyProtection="1">
      <alignment vertical="center"/>
    </xf>
    <xf numFmtId="0" fontId="42" fillId="0" borderId="0" xfId="0" applyFont="1" applyFill="1" applyAlignment="1" applyProtection="1">
      <alignment vertical="center"/>
    </xf>
    <xf numFmtId="41" fontId="42" fillId="0" borderId="0" xfId="0"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vertical="center"/>
    </xf>
    <xf numFmtId="41" fontId="2" fillId="0" borderId="1" xfId="3" applyNumberFormat="1" applyFont="1" applyFill="1" applyBorder="1" applyAlignment="1" applyProtection="1">
      <alignment horizontal="center" vertical="center"/>
      <protection locked="0"/>
    </xf>
    <xf numFmtId="164" fontId="3" fillId="0" borderId="0" xfId="3" applyNumberFormat="1" applyFont="1" applyFill="1" applyBorder="1" applyAlignment="1" applyProtection="1">
      <alignment horizontal="center" vertical="center"/>
    </xf>
    <xf numFmtId="164" fontId="2" fillId="0" borderId="1" xfId="3" applyNumberFormat="1" applyFont="1" applyFill="1" applyBorder="1" applyAlignment="1" applyProtection="1">
      <alignment horizontal="center" vertical="center"/>
      <protection locked="0"/>
    </xf>
    <xf numFmtId="164" fontId="2" fillId="0" borderId="0" xfId="3" applyNumberFormat="1" applyFont="1" applyFill="1" applyBorder="1" applyAlignment="1" applyProtection="1">
      <alignment horizontal="center" vertical="center"/>
      <protection locked="0"/>
    </xf>
    <xf numFmtId="41" fontId="2" fillId="0" borderId="0" xfId="3" applyNumberFormat="1" applyFont="1" applyFill="1" applyBorder="1" applyAlignment="1" applyProtection="1">
      <alignment horizontal="center" vertical="center"/>
      <protection locked="0"/>
    </xf>
    <xf numFmtId="164" fontId="2" fillId="0" borderId="0" xfId="3" applyNumberFormat="1" applyFont="1" applyFill="1" applyAlignment="1" applyProtection="1">
      <alignment horizontal="center" vertical="center"/>
    </xf>
    <xf numFmtId="41" fontId="16" fillId="0" borderId="0" xfId="3" applyNumberFormat="1" applyFont="1" applyFill="1" applyBorder="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8"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34"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168" fontId="7" fillId="0" borderId="0" xfId="0" applyNumberFormat="1" applyFont="1" applyFill="1" applyAlignment="1" applyProtection="1">
      <alignment vertical="center"/>
    </xf>
    <xf numFmtId="0" fontId="48" fillId="0" borderId="0" xfId="0" applyFont="1" applyFill="1" applyAlignment="1" applyProtection="1">
      <alignment vertical="center"/>
    </xf>
    <xf numFmtId="0" fontId="49" fillId="0" borderId="0" xfId="0" applyFont="1" applyFill="1" applyAlignment="1" applyProtection="1">
      <alignment vertical="center"/>
    </xf>
    <xf numFmtId="41" fontId="48" fillId="0" borderId="0" xfId="0" applyNumberFormat="1" applyFont="1" applyFill="1" applyAlignment="1" applyProtection="1">
      <alignment vertical="center"/>
    </xf>
    <xf numFmtId="41" fontId="48" fillId="6" borderId="0" xfId="0" applyNumberFormat="1" applyFont="1" applyFill="1" applyAlignment="1" applyProtection="1">
      <alignment vertical="center"/>
    </xf>
    <xf numFmtId="0" fontId="50" fillId="0" borderId="0" xfId="0" applyFont="1" applyFill="1" applyAlignment="1" applyProtection="1">
      <alignment vertical="center"/>
    </xf>
    <xf numFmtId="0" fontId="51" fillId="0" borderId="0" xfId="0" applyFont="1" applyFill="1" applyAlignment="1" applyProtection="1">
      <alignment vertical="center"/>
    </xf>
    <xf numFmtId="41" fontId="50" fillId="0" borderId="0" xfId="0" applyNumberFormat="1" applyFont="1" applyFill="1" applyAlignment="1" applyProtection="1">
      <alignment vertical="center"/>
    </xf>
    <xf numFmtId="41" fontId="50" fillId="6"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6" fillId="6" borderId="0" xfId="0" applyNumberFormat="1" applyFont="1" applyFill="1" applyAlignment="1" applyProtection="1">
      <alignment vertical="center"/>
      <protection locked="0"/>
    </xf>
    <xf numFmtId="168" fontId="6" fillId="0" borderId="0" xfId="0" applyNumberFormat="1" applyFont="1" applyFill="1" applyAlignment="1" applyProtection="1">
      <alignment vertical="center"/>
      <protection locked="0"/>
    </xf>
    <xf numFmtId="168" fontId="7" fillId="0" borderId="0" xfId="3" applyNumberFormat="1" applyFont="1" applyFill="1" applyAlignment="1" applyProtection="1">
      <alignment vertical="center"/>
    </xf>
    <xf numFmtId="168" fontId="10" fillId="0" borderId="0" xfId="4" applyNumberFormat="1" applyFont="1" applyFill="1" applyAlignment="1" applyProtection="1">
      <alignment vertical="center"/>
    </xf>
    <xf numFmtId="168" fontId="7" fillId="6" borderId="0" xfId="0" applyNumberFormat="1" applyFont="1" applyFill="1" applyAlignment="1" applyProtection="1">
      <alignment vertical="center"/>
      <protection locked="0"/>
    </xf>
    <xf numFmtId="168" fontId="7" fillId="0" borderId="0" xfId="0" applyNumberFormat="1" applyFont="1" applyFill="1" applyAlignment="1" applyProtection="1">
      <alignment vertical="center"/>
      <protection locked="0"/>
    </xf>
    <xf numFmtId="168" fontId="7" fillId="6" borderId="0" xfId="3" applyNumberFormat="1" applyFont="1" applyFill="1" applyAlignment="1" applyProtection="1">
      <alignment vertical="center"/>
      <protection locked="0"/>
    </xf>
    <xf numFmtId="168" fontId="7" fillId="0" borderId="0" xfId="3" applyNumberFormat="1" applyFont="1" applyFill="1" applyAlignment="1" applyProtection="1">
      <alignment vertical="center"/>
      <protection locked="0"/>
    </xf>
    <xf numFmtId="168" fontId="10" fillId="6" borderId="0" xfId="4" applyNumberFormat="1" applyFont="1" applyFill="1" applyAlignment="1" applyProtection="1">
      <alignment vertical="center"/>
      <protection locked="0"/>
    </xf>
    <xf numFmtId="168" fontId="10" fillId="0" borderId="0" xfId="4" applyNumberFormat="1" applyFont="1" applyFill="1" applyAlignment="1" applyProtection="1">
      <alignment vertical="center"/>
      <protection locked="0"/>
    </xf>
    <xf numFmtId="168" fontId="6" fillId="6" borderId="0" xfId="4" applyNumberFormat="1" applyFont="1" applyFill="1" applyAlignment="1" applyProtection="1">
      <alignment vertical="center"/>
      <protection locked="0"/>
    </xf>
    <xf numFmtId="168" fontId="6" fillId="0" borderId="0" xfId="4" applyNumberFormat="1" applyFont="1" applyFill="1" applyAlignment="1" applyProtection="1">
      <alignment vertical="center"/>
      <protection locked="0"/>
    </xf>
    <xf numFmtId="0" fontId="6" fillId="7" borderId="0" xfId="0" applyFont="1" applyFill="1" applyAlignment="1" applyProtection="1">
      <alignment vertical="center"/>
      <protection locked="0"/>
    </xf>
    <xf numFmtId="0" fontId="6" fillId="0" borderId="0" xfId="0" applyFont="1" applyFill="1" applyAlignment="1" applyProtection="1">
      <alignment vertical="center"/>
    </xf>
    <xf numFmtId="0" fontId="36" fillId="0" borderId="0" xfId="0" applyFont="1" applyFill="1" applyAlignment="1" applyProtection="1">
      <alignment horizontal="left" vertical="center" indent="1"/>
    </xf>
    <xf numFmtId="41" fontId="36" fillId="0" borderId="0" xfId="3"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43" fillId="0" borderId="0" xfId="0" applyFont="1" applyFill="1" applyAlignment="1" applyProtection="1">
      <alignment vertical="center"/>
      <protection locked="0"/>
    </xf>
    <xf numFmtId="0" fontId="41" fillId="0" borderId="0" xfId="0" applyFont="1" applyFill="1" applyAlignment="1" applyProtection="1">
      <alignment vertical="center"/>
      <protection locked="0"/>
    </xf>
    <xf numFmtId="0" fontId="3" fillId="0" borderId="0" xfId="0" applyFont="1" applyFill="1" applyAlignment="1" applyProtection="1">
      <alignment horizontal="right" vertical="center"/>
    </xf>
    <xf numFmtId="41" fontId="2" fillId="0" borderId="0" xfId="0" applyNumberFormat="1"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36" fillId="0" borderId="0" xfId="0" applyNumberFormat="1" applyFont="1" applyFill="1" applyAlignment="1" applyProtection="1">
      <alignment vertical="center"/>
    </xf>
    <xf numFmtId="0" fontId="26" fillId="0" borderId="0" xfId="0" applyFont="1" applyFill="1" applyAlignment="1" applyProtection="1">
      <alignment horizontal="left" vertical="center"/>
    </xf>
    <xf numFmtId="0" fontId="6" fillId="0" borderId="0" xfId="0" applyFont="1" applyFill="1" applyAlignment="1" applyProtection="1">
      <alignment vertical="center"/>
    </xf>
    <xf numFmtId="41" fontId="36" fillId="6" borderId="0" xfId="3" applyNumberFormat="1" applyFont="1" applyFill="1" applyAlignment="1" applyProtection="1">
      <alignment vertical="center"/>
    </xf>
    <xf numFmtId="0" fontId="6" fillId="7" borderId="0" xfId="0" applyFont="1" applyFill="1" applyAlignment="1" applyProtection="1">
      <alignment horizontal="center" vertical="center"/>
      <protection locked="0"/>
    </xf>
    <xf numFmtId="0" fontId="20" fillId="0" borderId="0" xfId="0" applyFont="1" applyFill="1" applyAlignment="1">
      <alignment vertical="center"/>
    </xf>
    <xf numFmtId="0" fontId="25" fillId="0" borderId="0" xfId="0" applyFont="1" applyFill="1" applyAlignment="1">
      <alignment vertical="center"/>
    </xf>
    <xf numFmtId="0" fontId="6" fillId="0" borderId="0" xfId="0" applyFont="1" applyFill="1" applyAlignment="1" applyProtection="1">
      <alignment horizontal="left" vertical="center"/>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0" fontId="2" fillId="0" borderId="0" xfId="0" applyFont="1" applyFill="1" applyAlignment="1" applyProtection="1">
      <alignment horizontal="left" vertical="center" indent="1"/>
    </xf>
    <xf numFmtId="0" fontId="2" fillId="0" borderId="0" xfId="0" applyFont="1" applyFill="1" applyBorder="1" applyAlignment="1" applyProtection="1">
      <alignment horizontal="left" vertical="center" indent="1"/>
    </xf>
    <xf numFmtId="0" fontId="2" fillId="0" borderId="0" xfId="1" applyFont="1" applyFill="1" applyBorder="1" applyAlignment="1">
      <alignment horizontal="left" vertical="center" indent="1"/>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164" fontId="41" fillId="0" borderId="0" xfId="3" applyNumberFormat="1" applyFont="1" applyFill="1" applyAlignment="1" applyProtection="1">
      <alignment vertical="center"/>
    </xf>
    <xf numFmtId="0" fontId="54" fillId="0" borderId="0" xfId="0" applyFont="1" applyFill="1" applyAlignment="1" applyProtection="1">
      <alignment vertical="center" textRotation="18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43" fontId="10" fillId="0" borderId="0" xfId="3" applyFont="1" applyFill="1" applyAlignment="1" applyProtection="1">
      <alignment vertical="center"/>
    </xf>
    <xf numFmtId="0" fontId="40" fillId="0" borderId="0" xfId="0" applyFont="1" applyFill="1" applyAlignment="1" applyProtection="1">
      <alignment vertical="center"/>
      <protection locked="0"/>
    </xf>
    <xf numFmtId="0" fontId="40" fillId="0" borderId="0" xfId="0" applyFont="1" applyFill="1" applyAlignment="1" applyProtection="1">
      <alignment horizontal="center" vertical="center"/>
      <protection locked="0"/>
    </xf>
    <xf numFmtId="164" fontId="43" fillId="0" borderId="0" xfId="3" applyNumberFormat="1"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center" vertical="center"/>
    </xf>
    <xf numFmtId="0" fontId="46" fillId="0" borderId="0" xfId="0" applyFont="1" applyFill="1" applyAlignment="1" applyProtection="1">
      <alignment vertical="center"/>
      <protection locked="0"/>
    </xf>
    <xf numFmtId="41" fontId="24" fillId="0" borderId="0" xfId="0" applyNumberFormat="1" applyFont="1" applyFill="1" applyAlignment="1" applyProtection="1">
      <alignment vertical="center"/>
    </xf>
    <xf numFmtId="41" fontId="24" fillId="6" borderId="0" xfId="0" applyNumberFormat="1" applyFont="1" applyFill="1" applyAlignment="1" applyProtection="1">
      <alignment vertical="center"/>
    </xf>
    <xf numFmtId="41" fontId="2" fillId="6" borderId="0" xfId="0" applyNumberFormat="1" applyFont="1" applyFill="1" applyAlignment="1" applyProtection="1">
      <alignment vertical="center"/>
    </xf>
    <xf numFmtId="10" fontId="18" fillId="0" borderId="0" xfId="4" applyNumberFormat="1" applyFont="1" applyFill="1" applyAlignment="1" applyProtection="1">
      <alignment vertical="center"/>
      <protection locked="0"/>
    </xf>
    <xf numFmtId="43" fontId="18" fillId="0" borderId="0" xfId="3"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lignment vertical="center" wrapText="1"/>
    </xf>
    <xf numFmtId="0" fontId="6" fillId="0" borderId="0" xfId="0" applyFont="1" applyAlignment="1">
      <alignment vertical="center" wrapText="1"/>
    </xf>
    <xf numFmtId="0" fontId="6" fillId="0" borderId="0" xfId="0" applyFont="1" applyFill="1" applyAlignment="1" applyProtection="1">
      <alignment vertical="center"/>
    </xf>
    <xf numFmtId="0" fontId="6" fillId="0" borderId="0" xfId="0" applyFont="1" applyAlignment="1">
      <alignment vertical="center"/>
    </xf>
    <xf numFmtId="0" fontId="6" fillId="0" borderId="0" xfId="0" applyFont="1" applyFill="1" applyAlignment="1">
      <alignment vertical="center"/>
    </xf>
    <xf numFmtId="164" fontId="6" fillId="0" borderId="0" xfId="3" applyNumberFormat="1" applyFont="1" applyFill="1" applyAlignment="1">
      <alignment vertical="center" wrapText="1"/>
    </xf>
    <xf numFmtId="164" fontId="6" fillId="0" borderId="0" xfId="3" applyNumberFormat="1" applyFont="1" applyAlignment="1">
      <alignment vertical="center" wrapText="1"/>
    </xf>
    <xf numFmtId="0" fontId="6" fillId="0" borderId="0" xfId="0" applyFont="1" applyAlignment="1">
      <alignment horizontal="left" vertical="center" wrapText="1"/>
    </xf>
    <xf numFmtId="164" fontId="6" fillId="0" borderId="0" xfId="3" applyNumberFormat="1" applyFont="1" applyFill="1" applyAlignment="1">
      <alignment vertical="center"/>
    </xf>
    <xf numFmtId="164" fontId="6" fillId="0" borderId="0" xfId="3" applyNumberFormat="1" applyFont="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4" fontId="41" fillId="0" borderId="0" xfId="3" applyNumberFormat="1" applyFont="1" applyFill="1" applyAlignment="1" applyProtection="1">
      <alignment vertical="center"/>
      <protection locked="0"/>
    </xf>
    <xf numFmtId="43" fontId="41" fillId="0" borderId="0" xfId="3"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16" fillId="0" borderId="0" xfId="0" applyNumberFormat="1" applyFont="1" applyFill="1" applyAlignment="1" applyProtection="1">
      <alignment vertical="center"/>
    </xf>
    <xf numFmtId="41" fontId="16" fillId="6" borderId="0" xfId="0" applyNumberFormat="1" applyFont="1" applyFill="1" applyAlignment="1" applyProtection="1">
      <alignment vertical="center"/>
      <protection locked="0"/>
    </xf>
    <xf numFmtId="0" fontId="7" fillId="0" borderId="0" xfId="0" applyFont="1" applyFill="1" applyAlignment="1" applyProtection="1">
      <alignment horizontal="center" vertical="center"/>
    </xf>
    <xf numFmtId="0" fontId="6" fillId="0" borderId="0" xfId="0" applyFont="1" applyFill="1" applyAlignment="1" applyProtection="1">
      <alignment vertical="center"/>
    </xf>
    <xf numFmtId="0" fontId="3" fillId="0" borderId="0" xfId="0" applyFont="1" applyFill="1" applyAlignment="1" applyProtection="1">
      <alignment horizontal="center" vertical="center"/>
    </xf>
    <xf numFmtId="41" fontId="41" fillId="0" borderId="0" xfId="0" applyNumberFormat="1" applyFont="1" applyFill="1" applyAlignment="1" applyProtection="1">
      <alignment vertical="center"/>
    </xf>
    <xf numFmtId="0" fontId="53"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168" fontId="42" fillId="0" borderId="0" xfId="3" applyNumberFormat="1" applyFont="1" applyFill="1" applyAlignment="1" applyProtection="1">
      <alignment vertical="center"/>
    </xf>
    <xf numFmtId="41" fontId="41" fillId="0" borderId="0" xfId="3" applyNumberFormat="1"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53" fillId="0" borderId="0" xfId="0"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41" fontId="2" fillId="6" borderId="1" xfId="3" applyNumberFormat="1" applyFont="1" applyFill="1" applyBorder="1" applyAlignment="1" applyProtection="1">
      <alignment vertical="center"/>
    </xf>
    <xf numFmtId="0" fontId="18" fillId="0" borderId="0" xfId="0" applyFont="1" applyFill="1" applyAlignment="1" applyProtection="1">
      <alignment horizontal="center" vertical="center"/>
      <protection locked="0"/>
    </xf>
    <xf numFmtId="0" fontId="24" fillId="0" borderId="0" xfId="0" applyFont="1" applyFill="1" applyAlignment="1" applyProtection="1">
      <alignment vertical="center"/>
      <protection locked="0"/>
    </xf>
    <xf numFmtId="0" fontId="2" fillId="0" borderId="0" xfId="0" applyFont="1" applyFill="1" applyAlignment="1" applyProtection="1">
      <alignment horizontal="center" vertical="center"/>
      <protection locked="0"/>
    </xf>
    <xf numFmtId="10" fontId="18" fillId="0" borderId="0" xfId="4" applyNumberFormat="1" applyFont="1" applyFill="1" applyAlignment="1" applyProtection="1">
      <alignment horizontal="center" vertical="center"/>
      <protection locked="0"/>
    </xf>
    <xf numFmtId="0" fontId="37"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37" fillId="0" borderId="0" xfId="0" applyFont="1" applyFill="1" applyAlignment="1" applyProtection="1">
      <alignment horizontal="center" vertical="center"/>
    </xf>
    <xf numFmtId="41" fontId="32" fillId="0"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9" fillId="0" borderId="0" xfId="0" applyFont="1" applyFill="1" applyAlignment="1" applyProtection="1">
      <alignment horizontal="right" vertical="center"/>
    </xf>
    <xf numFmtId="164" fontId="9" fillId="0" borderId="0" xfId="3" applyNumberFormat="1" applyFont="1" applyFill="1" applyAlignment="1" applyProtection="1">
      <alignment vertical="center"/>
    </xf>
    <xf numFmtId="164" fontId="9" fillId="6" borderId="0" xfId="3" applyNumberFormat="1" applyFont="1" applyFill="1" applyAlignment="1" applyProtection="1">
      <alignment vertical="center"/>
    </xf>
    <xf numFmtId="0" fontId="6" fillId="0" borderId="0" xfId="0" applyFont="1" applyFill="1" applyAlignment="1" applyProtection="1">
      <alignment vertical="center"/>
    </xf>
    <xf numFmtId="164" fontId="6" fillId="0" borderId="0" xfId="0" applyNumberFormat="1" applyFont="1" applyFill="1" applyAlignment="1" applyProtection="1">
      <alignment vertical="center"/>
      <protection locked="0"/>
    </xf>
    <xf numFmtId="0" fontId="6" fillId="0" borderId="0" xfId="0" applyFont="1" applyFill="1" applyAlignment="1" applyProtection="1">
      <alignment vertical="center"/>
    </xf>
    <xf numFmtId="41" fontId="41" fillId="6" borderId="0" xfId="3" applyNumberFormat="1" applyFont="1" applyFill="1" applyAlignment="1" applyProtection="1">
      <alignment vertical="center"/>
      <protection locked="0"/>
    </xf>
    <xf numFmtId="41" fontId="41" fillId="6" borderId="0" xfId="0" applyNumberFormat="1" applyFont="1" applyFill="1" applyAlignment="1" applyProtection="1">
      <alignment vertical="center"/>
    </xf>
    <xf numFmtId="41" fontId="16" fillId="6" borderId="0" xfId="0"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10" fontId="6" fillId="0" borderId="0" xfId="4"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43" fontId="43" fillId="0" borderId="0" xfId="3" applyFont="1" applyFill="1" applyAlignment="1" applyProtection="1">
      <alignment vertical="center"/>
      <protection locked="0"/>
    </xf>
    <xf numFmtId="41" fontId="43" fillId="0" borderId="1" xfId="3" applyNumberFormat="1" applyFont="1" applyFill="1" applyBorder="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10" fontId="2" fillId="0" borderId="0" xfId="4" applyNumberFormat="1"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right" vertical="center"/>
    </xf>
    <xf numFmtId="164" fontId="17" fillId="0" borderId="0" xfId="3" applyNumberFormat="1" applyFont="1" applyFill="1" applyAlignment="1" applyProtection="1">
      <alignment vertical="center"/>
    </xf>
    <xf numFmtId="164" fontId="17" fillId="6" borderId="0" xfId="3" applyNumberFormat="1" applyFont="1" applyFill="1" applyAlignment="1" applyProtection="1">
      <alignment vertical="center"/>
    </xf>
    <xf numFmtId="164" fontId="6" fillId="6" borderId="0" xfId="3" applyNumberFormat="1" applyFont="1" applyFill="1" applyAlignment="1" applyProtection="1">
      <alignment vertical="center"/>
    </xf>
    <xf numFmtId="164" fontId="7" fillId="6" borderId="0" xfId="3" applyNumberFormat="1" applyFont="1" applyFill="1" applyAlignment="1" applyProtection="1">
      <alignment vertical="center"/>
    </xf>
    <xf numFmtId="10" fontId="6" fillId="6" borderId="0" xfId="4" applyNumberFormat="1" applyFont="1" applyFill="1" applyAlignment="1" applyProtection="1">
      <alignment vertical="center"/>
    </xf>
    <xf numFmtId="43" fontId="6" fillId="0" borderId="0" xfId="3" applyFont="1" applyFill="1" applyAlignment="1" applyProtection="1">
      <alignment vertical="center"/>
    </xf>
    <xf numFmtId="10" fontId="7" fillId="6" borderId="0" xfId="4" applyNumberFormat="1"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14" fontId="6"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41" fontId="42" fillId="0" borderId="0" xfId="3" applyNumberFormat="1"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167" fontId="10" fillId="0" borderId="0" xfId="5"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37"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41" fontId="42" fillId="6" borderId="0" xfId="3"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10" fontId="9" fillId="0" borderId="0" xfId="4" applyNumberFormat="1" applyFont="1" applyFill="1" applyAlignment="1" applyProtection="1">
      <alignment vertical="center"/>
    </xf>
    <xf numFmtId="10" fontId="9" fillId="6" borderId="0" xfId="4"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9" fontId="10" fillId="0" borderId="0" xfId="4" applyFont="1" applyFill="1" applyAlignment="1" applyProtection="1">
      <alignment vertical="center"/>
      <protection locked="0"/>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3" fillId="6" borderId="0" xfId="0" applyFont="1" applyFill="1" applyBorder="1" applyAlignment="1" applyProtection="1">
      <alignment horizontal="center" vertical="center"/>
    </xf>
    <xf numFmtId="0" fontId="4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41" fillId="0" borderId="0" xfId="0" applyFont="1" applyFill="1" applyAlignment="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164" fontId="17" fillId="0" borderId="0" xfId="3" applyNumberFormat="1" applyFont="1" applyFill="1" applyAlignment="1" applyProtection="1">
      <alignment vertical="center"/>
      <protection locked="0"/>
    </xf>
    <xf numFmtId="0" fontId="40" fillId="0" borderId="0" xfId="0" applyFont="1" applyFill="1" applyBorder="1" applyAlignment="1" applyProtection="1">
      <alignment horizontal="center" vertical="center"/>
      <protection locked="0"/>
    </xf>
    <xf numFmtId="0" fontId="42" fillId="0" borderId="0" xfId="0" applyFont="1" applyFill="1" applyAlignment="1" applyProtection="1">
      <alignment vertical="center"/>
      <protection locked="0"/>
    </xf>
    <xf numFmtId="43" fontId="56" fillId="0" borderId="0" xfId="3" applyFont="1" applyFill="1" applyAlignment="1" applyProtection="1">
      <alignment vertical="center"/>
      <protection locked="0"/>
    </xf>
    <xf numFmtId="164" fontId="42" fillId="0" borderId="0" xfId="0" applyNumberFormat="1" applyFont="1" applyFill="1" applyAlignment="1" applyProtection="1">
      <alignment vertical="center"/>
    </xf>
    <xf numFmtId="164" fontId="44" fillId="0" borderId="0" xfId="3" applyNumberFormat="1" applyFont="1" applyFill="1" applyAlignment="1" applyProtection="1">
      <alignment vertical="center"/>
      <protection locked="0"/>
    </xf>
    <xf numFmtId="164" fontId="42" fillId="0" borderId="0" xfId="3" applyNumberFormat="1" applyFont="1" applyFill="1" applyAlignment="1" applyProtection="1">
      <alignment vertical="center"/>
    </xf>
    <xf numFmtId="10" fontId="43" fillId="0" borderId="0" xfId="4" applyNumberFormat="1"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13" fillId="0" borderId="0" xfId="0" applyFont="1" applyFill="1" applyAlignment="1" applyProtection="1">
      <alignment horizontal="center" vertical="center"/>
      <protection locked="0"/>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41" fontId="17" fillId="0" borderId="0" xfId="3" applyNumberFormat="1" applyFont="1" applyFill="1" applyAlignment="1" applyProtection="1">
      <alignment horizontal="right" vertical="center"/>
      <protection locked="0"/>
    </xf>
    <xf numFmtId="41" fontId="16" fillId="0" borderId="0" xfId="3" applyNumberFormat="1" applyFont="1" applyFill="1" applyAlignment="1" applyProtection="1">
      <alignment horizontal="right" vertical="center"/>
      <protection locked="0"/>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10"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41" fontId="41"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37" fillId="0" borderId="0" xfId="0" applyFont="1" applyFill="1" applyAlignment="1" applyProtection="1">
      <alignment horizontal="center"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41" fontId="16" fillId="0" borderId="0" xfId="0" applyNumberFormat="1" applyFont="1" applyFill="1" applyAlignment="1" applyProtection="1">
      <alignment vertical="center"/>
      <protection locked="0"/>
    </xf>
    <xf numFmtId="43" fontId="2" fillId="0" borderId="0" xfId="3" applyFont="1" applyFill="1" applyAlignment="1" applyProtection="1">
      <alignment vertical="center"/>
      <protection locked="0"/>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58" fillId="0" borderId="0" xfId="0" applyFont="1" applyFill="1" applyAlignment="1" applyProtection="1">
      <alignment vertical="center"/>
    </xf>
    <xf numFmtId="164" fontId="58" fillId="0" borderId="0" xfId="0" applyNumberFormat="1"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164" fontId="6" fillId="6" borderId="0" xfId="3" applyNumberFormat="1" applyFont="1" applyFill="1" applyAlignment="1" applyProtection="1">
      <alignment vertical="center"/>
      <protection locked="0"/>
    </xf>
    <xf numFmtId="0" fontId="2"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lignment vertical="center" wrapText="1"/>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59" fillId="0" borderId="0" xfId="0" applyFont="1" applyFill="1" applyAlignment="1" applyProtection="1">
      <alignment horizontal="center" vertical="center"/>
      <protection locked="0"/>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43" fontId="41" fillId="0" borderId="0" xfId="0" applyNumberFormat="1" applyFont="1" applyFill="1" applyAlignment="1" applyProtection="1">
      <alignment vertical="center"/>
      <protection locked="0"/>
    </xf>
    <xf numFmtId="43" fontId="47" fillId="0" borderId="0" xfId="0" applyNumberFormat="1" applyFont="1" applyFill="1" applyAlignment="1" applyProtection="1">
      <alignment vertical="center"/>
      <protection locked="0"/>
    </xf>
    <xf numFmtId="41" fontId="2" fillId="6" borderId="0" xfId="3" applyNumberFormat="1" applyFont="1" applyFill="1" applyAlignment="1" applyProtection="1">
      <alignment horizontal="righ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43" fontId="10" fillId="0" borderId="0" xfId="3"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41" fontId="18" fillId="0" borderId="0" xfId="4"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9" fontId="7" fillId="0" borderId="0" xfId="4" applyFont="1" applyFill="1" applyAlignment="1" applyProtection="1">
      <alignment vertical="center"/>
    </xf>
    <xf numFmtId="9" fontId="7" fillId="6" borderId="0" xfId="4"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164" fontId="18" fillId="0" borderId="0" xfId="0" applyNumberFormat="1" applyFont="1" applyFill="1" applyAlignment="1" applyProtection="1">
      <alignment vertical="center"/>
      <protection locked="0"/>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lignment vertical="center" shrinkToFit="1"/>
    </xf>
    <xf numFmtId="0" fontId="3"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41" fontId="2" fillId="0" borderId="0" xfId="0" applyNumberFormat="1" applyFont="1" applyFill="1" applyAlignment="1" applyProtection="1">
      <alignment horizontal="center" vertical="center"/>
      <protection locked="0"/>
    </xf>
    <xf numFmtId="0" fontId="2" fillId="7" borderId="0" xfId="0" applyFont="1" applyFill="1" applyAlignment="1" applyProtection="1">
      <alignment horizontal="center" vertical="center"/>
    </xf>
    <xf numFmtId="10" fontId="2" fillId="0" borderId="0" xfId="4" applyNumberFormat="1" applyFont="1" applyFill="1" applyAlignment="1" applyProtection="1">
      <alignment horizontal="center" vertical="center"/>
    </xf>
    <xf numFmtId="0" fontId="2" fillId="7" borderId="0" xfId="0" applyFont="1" applyFill="1" applyAlignment="1" applyProtection="1">
      <alignment horizontal="center" vertical="center"/>
      <protection locked="0"/>
    </xf>
    <xf numFmtId="41" fontId="3" fillId="0" borderId="0" xfId="0" applyNumberFormat="1" applyFont="1" applyFill="1" applyAlignment="1" applyProtection="1">
      <alignment horizontal="center" vertical="center"/>
    </xf>
    <xf numFmtId="9" fontId="3" fillId="0" borderId="0" xfId="4" applyFont="1" applyFill="1" applyAlignment="1" applyProtection="1">
      <alignment horizontal="center" vertical="center"/>
    </xf>
    <xf numFmtId="0" fontId="21" fillId="0" borderId="0" xfId="0" applyFont="1" applyFill="1" applyAlignment="1" applyProtection="1">
      <alignment horizontal="center" vertical="center"/>
    </xf>
    <xf numFmtId="0" fontId="63" fillId="0" borderId="0" xfId="0" applyFont="1" applyFill="1" applyAlignment="1" applyProtection="1">
      <alignment horizontal="center" vertical="center"/>
    </xf>
    <xf numFmtId="41" fontId="2" fillId="7" borderId="0" xfId="0" applyNumberFormat="1" applyFont="1" applyFill="1" applyAlignment="1" applyProtection="1">
      <alignment vertical="center"/>
    </xf>
    <xf numFmtId="164" fontId="18" fillId="0" borderId="0" xfId="3" applyNumberFormat="1" applyFont="1" applyFill="1" applyAlignment="1" applyProtection="1">
      <alignment horizontal="center" vertical="center"/>
    </xf>
    <xf numFmtId="9" fontId="18" fillId="0" borderId="0" xfId="4" applyFont="1" applyFill="1" applyAlignment="1" applyProtection="1">
      <alignment horizontal="center" vertical="center"/>
    </xf>
    <xf numFmtId="41" fontId="18" fillId="0" borderId="0" xfId="0" applyNumberFormat="1"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6"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vertical="center"/>
    </xf>
    <xf numFmtId="41" fontId="17" fillId="0" borderId="0" xfId="3" applyNumberFormat="1" applyFont="1" applyFill="1" applyAlignment="1" applyProtection="1">
      <alignment vertical="center"/>
      <protection locked="0"/>
    </xf>
    <xf numFmtId="0" fontId="18" fillId="0" borderId="0" xfId="0" applyFont="1" applyFill="1" applyAlignment="1" applyProtection="1">
      <alignment vertical="center"/>
    </xf>
    <xf numFmtId="10" fontId="18" fillId="6" borderId="0" xfId="4" applyNumberFormat="1" applyFont="1" applyFill="1" applyBorder="1" applyAlignment="1">
      <alignment vertical="center"/>
    </xf>
    <xf numFmtId="0" fontId="34" fillId="6" borderId="0" xfId="0" applyFont="1" applyFill="1" applyBorder="1" applyAlignment="1" applyProtection="1">
      <alignment horizontal="left" vertical="center"/>
    </xf>
    <xf numFmtId="0" fontId="6" fillId="0" borderId="0" xfId="0" applyFont="1" applyFill="1" applyAlignment="1" applyProtection="1">
      <alignment vertical="center"/>
    </xf>
    <xf numFmtId="0" fontId="9" fillId="0" borderId="0" xfId="0" applyFont="1" applyFill="1" applyAlignment="1" applyProtection="1">
      <alignment horizontal="center" vertical="center"/>
    </xf>
    <xf numFmtId="41" fontId="7" fillId="0" borderId="0" xfId="3" applyNumberFormat="1" applyFont="1" applyFill="1" applyBorder="1" applyAlignment="1" applyProtection="1">
      <alignment vertical="center"/>
    </xf>
    <xf numFmtId="41" fontId="7" fillId="6" borderId="0" xfId="3" applyNumberFormat="1" applyFont="1" applyFill="1" applyBorder="1" applyAlignment="1" applyProtection="1">
      <alignment vertical="center"/>
    </xf>
    <xf numFmtId="9" fontId="64" fillId="6" borderId="0" xfId="4" applyFont="1" applyFill="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xf>
    <xf numFmtId="0" fontId="13"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2" fillId="0" borderId="0" xfId="0" applyFont="1" applyFill="1" applyAlignment="1" applyProtection="1">
      <alignment vertical="center"/>
    </xf>
    <xf numFmtId="0" fontId="40" fillId="0" borderId="0" xfId="0" applyFont="1" applyFill="1" applyAlignment="1" applyProtection="1">
      <alignment horizontal="center" vertical="center"/>
      <protection locked="0"/>
    </xf>
    <xf numFmtId="0" fontId="6" fillId="0" borderId="0" xfId="0" applyFont="1" applyFill="1" applyAlignment="1" applyProtection="1">
      <alignment vertical="center"/>
    </xf>
    <xf numFmtId="0" fontId="46" fillId="0" borderId="0" xfId="0" applyFont="1" applyFill="1" applyAlignment="1" applyProtection="1">
      <alignment vertical="center"/>
    </xf>
    <xf numFmtId="14" fontId="41" fillId="0" borderId="0" xfId="0" applyNumberFormat="1" applyFont="1" applyFill="1" applyAlignment="1" applyProtection="1">
      <alignment vertical="center"/>
      <protection locked="0"/>
    </xf>
    <xf numFmtId="41" fontId="43" fillId="0" borderId="0" xfId="0" applyNumberFormat="1" applyFont="1" applyFill="1" applyAlignment="1" applyProtection="1">
      <alignment vertical="center"/>
    </xf>
    <xf numFmtId="0" fontId="43" fillId="0" borderId="0" xfId="0" applyFont="1" applyFill="1" applyAlignment="1" applyProtection="1">
      <alignment vertical="center"/>
    </xf>
    <xf numFmtId="10" fontId="41" fillId="0" borderId="0" xfId="4" applyNumberFormat="1" applyFont="1" applyFill="1" applyAlignment="1" applyProtection="1">
      <alignment vertical="center"/>
      <protection locked="0"/>
    </xf>
    <xf numFmtId="0" fontId="43" fillId="0" borderId="0" xfId="0" applyFont="1" applyFill="1" applyAlignment="1" applyProtection="1">
      <alignment horizontal="center" vertical="center"/>
      <protection locked="0"/>
    </xf>
    <xf numFmtId="10" fontId="43" fillId="0" borderId="0" xfId="4" applyNumberFormat="1" applyFont="1" applyFill="1" applyAlignment="1" applyProtection="1">
      <alignment horizontal="center" vertical="center"/>
      <protection locked="0"/>
    </xf>
    <xf numFmtId="10" fontId="43" fillId="0" borderId="0" xfId="4" applyNumberFormat="1" applyFont="1" applyFill="1" applyAlignment="1" applyProtection="1">
      <alignment vertical="center"/>
      <protection locked="0"/>
    </xf>
    <xf numFmtId="0" fontId="13" fillId="0" borderId="0" xfId="0" applyFont="1" applyFill="1" applyAlignment="1" applyProtection="1">
      <alignment vertical="center"/>
      <protection locked="0"/>
    </xf>
    <xf numFmtId="0" fontId="60" fillId="0" borderId="0" xfId="0" applyFont="1" applyFill="1" applyBorder="1" applyAlignment="1" applyProtection="1">
      <alignment horizontal="center" vertical="center"/>
      <protection locked="0"/>
    </xf>
    <xf numFmtId="164" fontId="36" fillId="0" borderId="0" xfId="3" applyNumberFormat="1" applyFont="1" applyFill="1" applyAlignment="1" applyProtection="1">
      <alignment vertical="center"/>
      <protection locked="0"/>
    </xf>
    <xf numFmtId="43" fontId="55" fillId="0" borderId="0" xfId="3" applyFont="1" applyFill="1" applyAlignment="1" applyProtection="1">
      <alignment vertical="center"/>
      <protection locked="0"/>
    </xf>
    <xf numFmtId="0" fontId="45" fillId="0" borderId="0" xfId="0" applyFont="1" applyFill="1" applyAlignment="1" applyProtection="1">
      <alignment vertical="center"/>
      <protection locked="0"/>
    </xf>
    <xf numFmtId="164" fontId="45" fillId="0" borderId="0" xfId="0" applyNumberFormat="1" applyFont="1" applyFill="1" applyAlignment="1" applyProtection="1">
      <alignment vertical="center"/>
    </xf>
    <xf numFmtId="43" fontId="36" fillId="0" borderId="0" xfId="3" applyFont="1" applyFill="1" applyAlignment="1" applyProtection="1">
      <alignment vertical="center"/>
      <protection locked="0"/>
    </xf>
    <xf numFmtId="164" fontId="61" fillId="0" borderId="0" xfId="3" applyNumberFormat="1" applyFont="1" applyFill="1" applyAlignment="1" applyProtection="1">
      <alignment vertical="center"/>
      <protection locked="0"/>
    </xf>
    <xf numFmtId="164" fontId="45" fillId="0" borderId="0" xfId="3" applyNumberFormat="1" applyFont="1" applyFill="1" applyAlignment="1" applyProtection="1">
      <alignment vertical="center"/>
    </xf>
    <xf numFmtId="0" fontId="45" fillId="0" borderId="0" xfId="0" applyFont="1" applyFill="1" applyAlignment="1" applyProtection="1">
      <alignment vertical="center"/>
    </xf>
    <xf numFmtId="10" fontId="35" fillId="0" borderId="0" xfId="4" applyNumberFormat="1" applyFont="1" applyFill="1" applyAlignment="1" applyProtection="1">
      <alignment vertical="center"/>
    </xf>
    <xf numFmtId="0" fontId="60" fillId="0" borderId="0" xfId="0" applyFont="1" applyFill="1" applyAlignment="1" applyProtection="1">
      <alignment vertical="center"/>
      <protection locked="0"/>
    </xf>
    <xf numFmtId="1" fontId="46" fillId="0" borderId="0" xfId="0"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41" fontId="18" fillId="0" borderId="0" xfId="0" applyNumberFormat="1" applyFont="1" applyFill="1" applyAlignment="1" applyProtection="1">
      <alignment horizontal="left" vertical="center"/>
      <protection locked="0"/>
    </xf>
    <xf numFmtId="41" fontId="53" fillId="0" borderId="0" xfId="0" applyNumberFormat="1" applyFont="1" applyFill="1" applyAlignment="1" applyProtection="1">
      <alignment vertical="center"/>
      <protection locked="0"/>
    </xf>
    <xf numFmtId="164" fontId="43" fillId="0" borderId="0" xfId="0" applyNumberFormat="1" applyFont="1" applyFill="1" applyAlignment="1" applyProtection="1">
      <alignment vertical="center"/>
      <protection locked="0"/>
    </xf>
    <xf numFmtId="0" fontId="53" fillId="0" borderId="0" xfId="0" applyFont="1" applyFill="1" applyAlignment="1" applyProtection="1">
      <alignment horizontal="center" vertical="center"/>
      <protection locked="0"/>
    </xf>
    <xf numFmtId="164" fontId="43" fillId="0" borderId="0" xfId="3" applyNumberFormat="1" applyFont="1" applyFill="1" applyAlignment="1" applyProtection="1">
      <alignment horizontal="center" vertical="center"/>
      <protection locked="0"/>
    </xf>
    <xf numFmtId="164" fontId="53" fillId="0" borderId="0" xfId="0" applyNumberFormat="1" applyFont="1" applyFill="1" applyAlignment="1" applyProtection="1">
      <alignment horizontal="center" vertical="center"/>
      <protection locked="0"/>
    </xf>
    <xf numFmtId="43" fontId="44" fillId="0" borderId="0" xfId="3" applyFont="1" applyFill="1" applyAlignment="1" applyProtection="1">
      <alignment vertical="center"/>
      <protection locked="0"/>
    </xf>
    <xf numFmtId="14" fontId="43" fillId="0" borderId="0" xfId="0" applyNumberFormat="1" applyFont="1" applyFill="1" applyAlignment="1" applyProtection="1">
      <alignment horizontal="center" vertical="center"/>
      <protection locked="0"/>
    </xf>
    <xf numFmtId="41" fontId="41" fillId="0" borderId="1" xfId="3" applyNumberFormat="1" applyFont="1" applyFill="1" applyBorder="1" applyAlignment="1" applyProtection="1">
      <alignment vertical="center"/>
      <protection locked="0"/>
    </xf>
    <xf numFmtId="164" fontId="42" fillId="0" borderId="0" xfId="3" applyNumberFormat="1" applyFont="1" applyFill="1" applyAlignment="1" applyProtection="1">
      <alignment vertical="center"/>
      <protection locked="0"/>
    </xf>
    <xf numFmtId="164" fontId="43" fillId="0" borderId="0" xfId="3" applyNumberFormat="1" applyFont="1" applyFill="1" applyAlignment="1" applyProtection="1">
      <alignment vertical="center"/>
    </xf>
    <xf numFmtId="164" fontId="43" fillId="0" borderId="0" xfId="3" applyNumberFormat="1" applyFont="1" applyFill="1" applyBorder="1" applyAlignment="1" applyProtection="1">
      <alignment vertical="center"/>
      <protection locked="0"/>
    </xf>
    <xf numFmtId="0" fontId="40" fillId="0" borderId="0" xfId="0" applyFont="1" applyFill="1" applyAlignment="1" applyProtection="1">
      <alignment horizontal="center" vertical="center"/>
    </xf>
    <xf numFmtId="164" fontId="41" fillId="0" borderId="0" xfId="0" applyNumberFormat="1" applyFont="1" applyFill="1" applyAlignment="1" applyProtection="1">
      <alignment vertical="center"/>
    </xf>
    <xf numFmtId="0" fontId="43" fillId="0" borderId="2" xfId="0" applyFont="1" applyFill="1" applyBorder="1" applyAlignment="1" applyProtection="1">
      <alignment vertical="center"/>
    </xf>
    <xf numFmtId="0" fontId="40" fillId="0" borderId="8" xfId="0" applyFont="1" applyFill="1" applyBorder="1" applyAlignment="1" applyProtection="1">
      <alignment vertical="center"/>
      <protection locked="0"/>
    </xf>
    <xf numFmtId="0" fontId="40" fillId="0" borderId="0" xfId="0" applyFont="1" applyFill="1" applyAlignment="1" applyProtection="1">
      <alignment vertical="center"/>
    </xf>
    <xf numFmtId="0" fontId="13" fillId="0" borderId="0" xfId="0" applyFont="1" applyFill="1" applyAlignment="1" applyProtection="1">
      <alignment horizontal="center" vertical="center"/>
      <protection locked="0"/>
    </xf>
    <xf numFmtId="43" fontId="44" fillId="0" borderId="0" xfId="3" applyFont="1" applyFill="1" applyBorder="1" applyAlignment="1" applyProtection="1">
      <alignment vertical="center"/>
      <protection locked="0"/>
    </xf>
    <xf numFmtId="0" fontId="20" fillId="0" borderId="0" xfId="0" applyFont="1" applyFill="1" applyAlignment="1">
      <alignment horizontal="center" vertical="center"/>
    </xf>
    <xf numFmtId="0" fontId="25" fillId="0" borderId="0" xfId="0" applyFont="1" applyFill="1" applyAlignment="1">
      <alignment horizontal="center" vertical="center"/>
    </xf>
    <xf numFmtId="0" fontId="20" fillId="0" borderId="0" xfId="0" applyFont="1" applyAlignment="1">
      <alignment horizontal="center" vertical="center" wrapText="1"/>
    </xf>
    <xf numFmtId="0" fontId="2" fillId="0" borderId="0" xfId="0" applyFont="1" applyFill="1" applyAlignment="1">
      <alignment vertical="center" wrapText="1"/>
    </xf>
    <xf numFmtId="0" fontId="20" fillId="0" borderId="0" xfId="0" applyFont="1" applyAlignment="1">
      <alignment horizontal="center" vertical="center"/>
    </xf>
    <xf numFmtId="0" fontId="20" fillId="0" borderId="0"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Fill="1" applyBorder="1" applyAlignment="1">
      <alignment vertical="center" wrapText="1"/>
    </xf>
    <xf numFmtId="0" fontId="2" fillId="0" borderId="0" xfId="0" applyFont="1" applyFill="1" applyAlignment="1">
      <alignment vertical="top" wrapText="1"/>
    </xf>
    <xf numFmtId="0" fontId="20" fillId="0" borderId="0" xfId="0" applyFont="1" applyFill="1" applyAlignment="1">
      <alignment horizontal="center" vertical="center" wrapText="1"/>
    </xf>
    <xf numFmtId="0" fontId="22" fillId="0" borderId="0" xfId="0" applyFont="1" applyAlignment="1">
      <alignment vertical="center" wrapText="1"/>
    </xf>
    <xf numFmtId="0" fontId="6" fillId="0" borderId="0" xfId="0" applyFont="1" applyBorder="1" applyAlignment="1">
      <alignment vertical="top" wrapText="1"/>
    </xf>
    <xf numFmtId="0" fontId="3" fillId="0" borderId="0" xfId="0" applyFont="1" applyFill="1" applyAlignment="1">
      <alignment horizontal="center" vertical="center" wrapText="1"/>
    </xf>
    <xf numFmtId="0" fontId="34" fillId="0" borderId="0" xfId="0" applyFont="1" applyFill="1" applyAlignment="1">
      <alignment vertical="center" wrapText="1"/>
    </xf>
    <xf numFmtId="0" fontId="6" fillId="0" borderId="0" xfId="0" applyFont="1" applyAlignment="1">
      <alignment vertical="center" wrapText="1"/>
    </xf>
    <xf numFmtId="0" fontId="9" fillId="0" borderId="0" xfId="0" applyFont="1" applyFill="1" applyAlignment="1" applyProtection="1">
      <alignment horizontal="center" vertical="center"/>
    </xf>
    <xf numFmtId="0" fontId="2" fillId="0" borderId="0" xfId="0" applyFont="1" applyFill="1" applyAlignment="1">
      <alignment vertical="center" shrinkToFit="1"/>
    </xf>
    <xf numFmtId="0" fontId="2" fillId="0" borderId="0" xfId="0" applyFont="1" applyFill="1" applyAlignment="1" applyProtection="1">
      <alignment horizontal="left" vertical="center"/>
    </xf>
    <xf numFmtId="0" fontId="37"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40" fillId="7" borderId="0" xfId="0" applyFont="1" applyFill="1" applyAlignment="1" applyProtection="1">
      <alignment horizontal="center" vertical="center"/>
    </xf>
    <xf numFmtId="0" fontId="18" fillId="0" borderId="0" xfId="0" applyFont="1" applyFill="1" applyAlignment="1" applyProtection="1">
      <alignment horizontal="center" vertical="center"/>
    </xf>
    <xf numFmtId="0" fontId="24" fillId="0" borderId="0" xfId="0" applyFont="1" applyFill="1" applyAlignment="1" applyProtection="1">
      <alignment horizontal="center" vertical="center"/>
    </xf>
    <xf numFmtId="0" fontId="7" fillId="0" borderId="0" xfId="0" applyFont="1" applyFill="1" applyAlignment="1" applyProtection="1">
      <alignment horizontal="center" vertical="center" textRotation="180"/>
    </xf>
    <xf numFmtId="0" fontId="6" fillId="0" borderId="0" xfId="0" applyFont="1" applyFill="1" applyAlignment="1" applyProtection="1">
      <alignment horizontal="left" vertical="center"/>
    </xf>
    <xf numFmtId="0" fontId="59"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2" fillId="0" borderId="0" xfId="0" applyFont="1" applyFill="1" applyAlignment="1" applyProtection="1">
      <alignment horizontal="left" vertical="center" shrinkToFit="1"/>
    </xf>
    <xf numFmtId="0" fontId="6" fillId="0" borderId="0" xfId="0" applyFont="1" applyFill="1" applyAlignment="1" applyProtection="1">
      <alignment vertical="center"/>
    </xf>
    <xf numFmtId="0" fontId="2" fillId="0" borderId="0" xfId="0" applyFont="1" applyFill="1" applyAlignment="1" applyProtection="1">
      <alignment vertical="center" shrinkToFit="1"/>
    </xf>
    <xf numFmtId="0" fontId="2" fillId="0" borderId="0" xfId="0" applyFont="1" applyFill="1" applyAlignment="1" applyProtection="1">
      <alignment vertical="center"/>
    </xf>
    <xf numFmtId="0" fontId="13" fillId="0" borderId="0" xfId="0" applyFont="1" applyFill="1" applyAlignment="1" applyProtection="1">
      <alignment horizontal="center" vertical="center"/>
    </xf>
    <xf numFmtId="0" fontId="62" fillId="7" borderId="0" xfId="0" applyFont="1" applyFill="1" applyAlignment="1" applyProtection="1">
      <alignment horizontal="center" vertical="center"/>
      <protection locked="0"/>
    </xf>
    <xf numFmtId="0" fontId="38"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12"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29" fillId="0" borderId="0" xfId="0" applyFont="1" applyFill="1" applyAlignment="1" applyProtection="1">
      <alignment horizontal="lef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50044"/>
          <c:y val="0.11658398950131239"/>
          <c:w val="0.77880157594904464"/>
          <c:h val="0.76270085272722365"/>
        </c:manualLayout>
      </c:layout>
      <c:lineChart>
        <c:grouping val="standard"/>
        <c:ser>
          <c:idx val="0"/>
          <c:order val="0"/>
          <c:val>
            <c:numRef>
              <c:f>'Gen Fd Cover Sheets'!$C$16:$K$16</c:f>
              <c:numCache>
                <c:formatCode>_(* #,##0_);_(* \(#,##0\);_(* "-"??_);_(@_)</c:formatCode>
                <c:ptCount val="9"/>
                <c:pt idx="0">
                  <c:v>665269</c:v>
                </c:pt>
                <c:pt idx="1">
                  <c:v>770180</c:v>
                </c:pt>
                <c:pt idx="2">
                  <c:v>877275</c:v>
                </c:pt>
                <c:pt idx="3">
                  <c:v>871557</c:v>
                </c:pt>
                <c:pt idx="4">
                  <c:v>955899</c:v>
                </c:pt>
                <c:pt idx="5">
                  <c:v>956415</c:v>
                </c:pt>
                <c:pt idx="6">
                  <c:v>990286</c:v>
                </c:pt>
                <c:pt idx="7">
                  <c:v>1024918</c:v>
                </c:pt>
                <c:pt idx="8">
                  <c:v>1062082</c:v>
                </c:pt>
              </c:numCache>
            </c:numRef>
          </c:val>
          <c:extLst xmlns:c16r2="http://schemas.microsoft.com/office/drawing/2015/06/chart">
            <c:ext xmlns:c16="http://schemas.microsoft.com/office/drawing/2014/chart" uri="{C3380CC4-5D6E-409C-BE32-E72D297353CC}">
              <c16:uniqueId val="{00000000-8FEA-4A90-B342-B86BA3692839}"/>
            </c:ext>
          </c:extLst>
        </c:ser>
        <c:marker val="1"/>
        <c:axId val="55117312"/>
        <c:axId val="55149696"/>
      </c:lineChart>
      <c:catAx>
        <c:axId val="55117312"/>
        <c:scaling>
          <c:orientation val="minMax"/>
        </c:scaling>
        <c:axPos val="b"/>
        <c:tickLblPos val="none"/>
        <c:crossAx val="55149696"/>
        <c:crosses val="autoZero"/>
        <c:auto val="1"/>
        <c:lblAlgn val="ctr"/>
        <c:lblOffset val="100"/>
        <c:tickMarkSkip val="1"/>
      </c:catAx>
      <c:valAx>
        <c:axId val="55149696"/>
        <c:scaling>
          <c:orientation val="minMax"/>
        </c:scaling>
        <c:axPos val="l"/>
        <c:numFmt formatCode="\$#,##0_);\(\$#,##0\)" sourceLinked="0"/>
        <c:tickLblPos val="nextTo"/>
        <c:txPr>
          <a:bodyPr rot="0" vert="horz"/>
          <a:lstStyle/>
          <a:p>
            <a:pPr>
              <a:defRPr/>
            </a:pPr>
            <a:endParaRPr lang="en-US"/>
          </a:p>
        </c:txPr>
        <c:crossAx val="55117312"/>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5544"/>
          <c:w val="0.78086433073416839"/>
          <c:h val="0.53840924541128476"/>
        </c:manualLayout>
      </c:layout>
      <c:lineChart>
        <c:grouping val="standard"/>
        <c:ser>
          <c:idx val="0"/>
          <c:order val="0"/>
          <c:dLbls>
            <c:delete val="1"/>
          </c:dLbls>
          <c:val>
            <c:numRef>
              <c:f>'Fund Cover Sheets'!$C$67:$K$67</c:f>
              <c:numCache>
                <c:formatCode>_(* #,##0_);_(* \(#,##0\);_(* "-"??_);_(@_)</c:formatCode>
                <c:ptCount val="9"/>
                <c:pt idx="0">
                  <c:v>-3780</c:v>
                </c:pt>
                <c:pt idx="1">
                  <c:v>14742</c:v>
                </c:pt>
                <c:pt idx="2">
                  <c:v>-21485</c:v>
                </c:pt>
                <c:pt idx="3">
                  <c:v>5408</c:v>
                </c:pt>
                <c:pt idx="4">
                  <c:v>9954</c:v>
                </c:pt>
                <c:pt idx="5">
                  <c:v>-7642</c:v>
                </c:pt>
                <c:pt idx="6">
                  <c:v>-4587</c:v>
                </c:pt>
                <c:pt idx="7">
                  <c:v>-1688</c:v>
                </c:pt>
                <c:pt idx="8">
                  <c:v>1047</c:v>
                </c:pt>
              </c:numCache>
            </c:numRef>
          </c:val>
          <c:extLst xmlns:c16r2="http://schemas.microsoft.com/office/drawing/2015/06/chart">
            <c:ext xmlns:c16="http://schemas.microsoft.com/office/drawing/2014/chart" uri="{C3380CC4-5D6E-409C-BE32-E72D297353CC}">
              <c16:uniqueId val="{00000000-253E-48CE-A8A7-A5F2E8287759}"/>
            </c:ext>
          </c:extLst>
        </c:ser>
        <c:dLbls>
          <c:showVal val="1"/>
        </c:dLbls>
        <c:marker val="1"/>
        <c:axId val="62893056"/>
        <c:axId val="62898944"/>
      </c:lineChart>
      <c:catAx>
        <c:axId val="62893056"/>
        <c:scaling>
          <c:orientation val="minMax"/>
        </c:scaling>
        <c:axPos val="b"/>
        <c:tickLblPos val="none"/>
        <c:crossAx val="62898944"/>
        <c:crosses val="autoZero"/>
        <c:lblAlgn val="ctr"/>
        <c:lblOffset val="100"/>
        <c:tickMarkSkip val="1"/>
      </c:catAx>
      <c:valAx>
        <c:axId val="62898944"/>
        <c:scaling>
          <c:orientation val="minMax"/>
        </c:scaling>
        <c:axPos val="l"/>
        <c:numFmt formatCode="\$#,##0_);\(\$#,##0\)" sourceLinked="0"/>
        <c:tickLblPos val="nextTo"/>
        <c:txPr>
          <a:bodyPr rot="0" vert="horz"/>
          <a:lstStyle/>
          <a:p>
            <a:pPr>
              <a:defRPr/>
            </a:pPr>
            <a:endParaRPr lang="en-US"/>
          </a:p>
        </c:txPr>
        <c:crossAx val="6289305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700453907858967"/>
          <c:y val="0.17990508131504224"/>
          <c:w val="0.76827217160415562"/>
          <c:h val="0.53840924541128476"/>
        </c:manualLayout>
      </c:layout>
      <c:lineChart>
        <c:grouping val="standard"/>
        <c:ser>
          <c:idx val="0"/>
          <c:order val="0"/>
          <c:dLbls>
            <c:delete val="1"/>
          </c:dLbls>
          <c:val>
            <c:numRef>
              <c:f>'Fund Cover Sheets'!$C$103:$K$103</c:f>
              <c:numCache>
                <c:formatCode>_(* #,##0_);_(* \(#,##0\);_(* "-"??_);_(@_)</c:formatCode>
                <c:ptCount val="9"/>
                <c:pt idx="0">
                  <c:v>-31175</c:v>
                </c:pt>
                <c:pt idx="1">
                  <c:v>-15774</c:v>
                </c:pt>
                <c:pt idx="2">
                  <c:v>-35099</c:v>
                </c:pt>
                <c:pt idx="3">
                  <c:v>-25038</c:v>
                </c:pt>
                <c:pt idx="4">
                  <c:v>-28236</c:v>
                </c:pt>
                <c:pt idx="5">
                  <c:v>-25274</c:v>
                </c:pt>
                <c:pt idx="6">
                  <c:v>-19297</c:v>
                </c:pt>
                <c:pt idx="7">
                  <c:v>-14916</c:v>
                </c:pt>
                <c:pt idx="8">
                  <c:v>-10699</c:v>
                </c:pt>
              </c:numCache>
            </c:numRef>
          </c:val>
          <c:extLst xmlns:c16r2="http://schemas.microsoft.com/office/drawing/2015/06/chart">
            <c:ext xmlns:c16="http://schemas.microsoft.com/office/drawing/2014/chart" uri="{C3380CC4-5D6E-409C-BE32-E72D297353CC}">
              <c16:uniqueId val="{00000000-24FF-4143-A5C6-EAC7AB564ED8}"/>
            </c:ext>
          </c:extLst>
        </c:ser>
        <c:dLbls>
          <c:showVal val="1"/>
        </c:dLbls>
        <c:marker val="1"/>
        <c:axId val="63299968"/>
        <c:axId val="63301504"/>
      </c:lineChart>
      <c:catAx>
        <c:axId val="63299968"/>
        <c:scaling>
          <c:orientation val="minMax"/>
        </c:scaling>
        <c:axPos val="b"/>
        <c:tickLblPos val="none"/>
        <c:crossAx val="63301504"/>
        <c:crosses val="autoZero"/>
        <c:lblAlgn val="ctr"/>
        <c:lblOffset val="100"/>
        <c:tickMarkSkip val="1"/>
      </c:catAx>
      <c:valAx>
        <c:axId val="63301504"/>
        <c:scaling>
          <c:orientation val="minMax"/>
        </c:scaling>
        <c:axPos val="l"/>
        <c:numFmt formatCode="\$#,##0_);\(\$#,##0\)" sourceLinked="0"/>
        <c:tickLblPos val="nextTo"/>
        <c:txPr>
          <a:bodyPr rot="0" vert="horz"/>
          <a:lstStyle/>
          <a:p>
            <a:pPr>
              <a:defRPr/>
            </a:pPr>
            <a:endParaRPr lang="en-US"/>
          </a:p>
        </c:txPr>
        <c:crossAx val="6329996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50406"/>
          <c:w val="0.77955108351184565"/>
          <c:h val="0.53840924541128476"/>
        </c:manualLayout>
      </c:layout>
      <c:lineChart>
        <c:grouping val="standard"/>
        <c:ser>
          <c:idx val="0"/>
          <c:order val="0"/>
          <c:dLbls>
            <c:delete val="1"/>
          </c:dLbls>
          <c:val>
            <c:numRef>
              <c:f>'Fund Cover Sheets'!$C$142:$K$142</c:f>
              <c:numCache>
                <c:formatCode>_(* #,##0_);_(* \(#,##0\);_(* "-"??_);_(@_)</c:formatCode>
                <c:ptCount val="9"/>
                <c:pt idx="0">
                  <c:v>883223</c:v>
                </c:pt>
                <c:pt idx="1">
                  <c:v>792224</c:v>
                </c:pt>
                <c:pt idx="2">
                  <c:v>438871</c:v>
                </c:pt>
                <c:pt idx="3">
                  <c:v>584506</c:v>
                </c:pt>
                <c:pt idx="4">
                  <c:v>428536</c:v>
                </c:pt>
                <c:pt idx="5">
                  <c:v>198362</c:v>
                </c:pt>
                <c:pt idx="6">
                  <c:v>87680</c:v>
                </c:pt>
                <c:pt idx="7">
                  <c:v>1190</c:v>
                </c:pt>
                <c:pt idx="8">
                  <c:v>0</c:v>
                </c:pt>
              </c:numCache>
            </c:numRef>
          </c:val>
          <c:extLst xmlns:c16r2="http://schemas.microsoft.com/office/drawing/2015/06/chart">
            <c:ext xmlns:c16="http://schemas.microsoft.com/office/drawing/2014/chart" uri="{C3380CC4-5D6E-409C-BE32-E72D297353CC}">
              <c16:uniqueId val="{00000000-E977-4270-9A64-8E400FF6961B}"/>
            </c:ext>
          </c:extLst>
        </c:ser>
        <c:dLbls>
          <c:showVal val="1"/>
        </c:dLbls>
        <c:marker val="1"/>
        <c:axId val="63776256"/>
        <c:axId val="63777792"/>
      </c:lineChart>
      <c:catAx>
        <c:axId val="63776256"/>
        <c:scaling>
          <c:orientation val="minMax"/>
        </c:scaling>
        <c:axPos val="b"/>
        <c:tickLblPos val="none"/>
        <c:crossAx val="63777792"/>
        <c:crosses val="autoZero"/>
        <c:lblAlgn val="ctr"/>
        <c:lblOffset val="100"/>
        <c:tickMarkSkip val="1"/>
      </c:catAx>
      <c:valAx>
        <c:axId val="63777792"/>
        <c:scaling>
          <c:orientation val="minMax"/>
        </c:scaling>
        <c:axPos val="l"/>
        <c:numFmt formatCode="\$#,##0_);\(\$#,##0\)" sourceLinked="0"/>
        <c:tickLblPos val="nextTo"/>
        <c:txPr>
          <a:bodyPr rot="0" vert="horz"/>
          <a:lstStyle/>
          <a:p>
            <a:pPr>
              <a:defRPr/>
            </a:pPr>
            <a:endParaRPr lang="en-US"/>
          </a:p>
        </c:txPr>
        <c:crossAx val="6377625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598612765719694"/>
          <c:y val="0.1920481394304282"/>
          <c:w val="0.77279173817060176"/>
          <c:h val="0.53840924541128476"/>
        </c:manualLayout>
      </c:layout>
      <c:lineChart>
        <c:grouping val="standard"/>
        <c:ser>
          <c:idx val="0"/>
          <c:order val="0"/>
          <c:dLbls>
            <c:delete val="1"/>
          </c:dLbls>
          <c:val>
            <c:numRef>
              <c:f>'Fund Cover Sheets'!$C$383:$K$383</c:f>
              <c:numCache>
                <c:formatCode>_(* #,##0_);_(* \(#,##0\);_(* "-"??_);_(@_)</c:formatCode>
                <c:ptCount val="9"/>
                <c:pt idx="0">
                  <c:v>1570874</c:v>
                </c:pt>
                <c:pt idx="1">
                  <c:v>1378030</c:v>
                </c:pt>
                <c:pt idx="2">
                  <c:v>913772</c:v>
                </c:pt>
                <c:pt idx="3">
                  <c:v>1334728</c:v>
                </c:pt>
                <c:pt idx="4">
                  <c:v>705765</c:v>
                </c:pt>
                <c:pt idx="5">
                  <c:v>545868</c:v>
                </c:pt>
                <c:pt idx="6">
                  <c:v>520843</c:v>
                </c:pt>
                <c:pt idx="7">
                  <c:v>660489</c:v>
                </c:pt>
                <c:pt idx="8">
                  <c:v>1252306</c:v>
                </c:pt>
              </c:numCache>
            </c:numRef>
          </c:val>
          <c:extLst xmlns:c16r2="http://schemas.microsoft.com/office/drawing/2015/06/chart">
            <c:ext xmlns:c16="http://schemas.microsoft.com/office/drawing/2014/chart" uri="{C3380CC4-5D6E-409C-BE32-E72D297353CC}">
              <c16:uniqueId val="{00000000-C3A5-4A92-A7FF-02A6B785D6BA}"/>
            </c:ext>
          </c:extLst>
        </c:ser>
        <c:dLbls>
          <c:showVal val="1"/>
        </c:dLbls>
        <c:marker val="1"/>
        <c:axId val="63793792"/>
        <c:axId val="63803776"/>
      </c:lineChart>
      <c:catAx>
        <c:axId val="63793792"/>
        <c:scaling>
          <c:orientation val="minMax"/>
        </c:scaling>
        <c:axPos val="b"/>
        <c:tickLblPos val="none"/>
        <c:crossAx val="63803776"/>
        <c:crosses val="autoZero"/>
        <c:lblAlgn val="ctr"/>
        <c:lblOffset val="100"/>
        <c:tickMarkSkip val="1"/>
      </c:catAx>
      <c:valAx>
        <c:axId val="63803776"/>
        <c:scaling>
          <c:orientation val="minMax"/>
        </c:scaling>
        <c:axPos val="l"/>
        <c:numFmt formatCode="\$#,##0_);\(\$#,##0\)" sourceLinked="0"/>
        <c:tickLblPos val="nextTo"/>
        <c:txPr>
          <a:bodyPr rot="0" vert="horz"/>
          <a:lstStyle/>
          <a:p>
            <a:pPr>
              <a:defRPr/>
            </a:pPr>
            <a:endParaRPr lang="en-US"/>
          </a:p>
        </c:txPr>
        <c:crossAx val="6379379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481633698219996"/>
          <c:y val="9.7421490655376728E-3"/>
        </c:manualLayout>
      </c:layout>
    </c:title>
    <c:plotArea>
      <c:layout>
        <c:manualLayout>
          <c:layoutTarget val="inner"/>
          <c:xMode val="edge"/>
          <c:yMode val="edge"/>
          <c:x val="0.21811827667882991"/>
          <c:y val="0.2598715361584828"/>
          <c:w val="0.78100485244222562"/>
          <c:h val="0.53840924541128476"/>
        </c:manualLayout>
      </c:layout>
      <c:lineChart>
        <c:grouping val="standard"/>
        <c:ser>
          <c:idx val="0"/>
          <c:order val="0"/>
          <c:dLbls>
            <c:delete val="1"/>
          </c:dLbls>
          <c:val>
            <c:numRef>
              <c:f>'Fund Cover Sheets'!$C$425:$K$425</c:f>
              <c:numCache>
                <c:formatCode>_(* #,##0_);_(* \(#,##0\);_(* "-"??_);_(@_)</c:formatCode>
                <c:ptCount val="9"/>
                <c:pt idx="0">
                  <c:v>212318</c:v>
                </c:pt>
                <c:pt idx="1">
                  <c:v>250318</c:v>
                </c:pt>
                <c:pt idx="2">
                  <c:v>56726</c:v>
                </c:pt>
                <c:pt idx="3">
                  <c:v>-186751</c:v>
                </c:pt>
                <c:pt idx="4">
                  <c:v>62362</c:v>
                </c:pt>
                <c:pt idx="5">
                  <c:v>24000</c:v>
                </c:pt>
                <c:pt idx="6">
                  <c:v>24000</c:v>
                </c:pt>
                <c:pt idx="7">
                  <c:v>24000</c:v>
                </c:pt>
                <c:pt idx="8">
                  <c:v>0</c:v>
                </c:pt>
              </c:numCache>
            </c:numRef>
          </c:val>
          <c:extLst xmlns:c16r2="http://schemas.microsoft.com/office/drawing/2015/06/chart">
            <c:ext xmlns:c16="http://schemas.microsoft.com/office/drawing/2014/chart" uri="{C3380CC4-5D6E-409C-BE32-E72D297353CC}">
              <c16:uniqueId val="{00000000-2D93-48EE-969D-2A0E7B2BF3F4}"/>
            </c:ext>
          </c:extLst>
        </c:ser>
        <c:dLbls>
          <c:showVal val="1"/>
        </c:dLbls>
        <c:marker val="1"/>
        <c:axId val="63819776"/>
        <c:axId val="63821312"/>
      </c:lineChart>
      <c:catAx>
        <c:axId val="63819776"/>
        <c:scaling>
          <c:orientation val="minMax"/>
        </c:scaling>
        <c:axPos val="b"/>
        <c:tickLblPos val="none"/>
        <c:crossAx val="63821312"/>
        <c:crosses val="autoZero"/>
        <c:lblAlgn val="ctr"/>
        <c:lblOffset val="100"/>
        <c:tickMarkSkip val="1"/>
      </c:catAx>
      <c:valAx>
        <c:axId val="63821312"/>
        <c:scaling>
          <c:orientation val="minMax"/>
        </c:scaling>
        <c:axPos val="l"/>
        <c:numFmt formatCode="\$#,##0_);\(\$#,##0\)" sourceLinked="0"/>
        <c:tickLblPos val="nextTo"/>
        <c:txPr>
          <a:bodyPr rot="0" vert="horz"/>
          <a:lstStyle/>
          <a:p>
            <a:pPr>
              <a:defRPr/>
            </a:pPr>
            <a:endParaRPr lang="en-US"/>
          </a:p>
        </c:txPr>
        <c:crossAx val="6381977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50573"/>
          <c:w val="0.7349666868564505"/>
          <c:h val="0.53840924541128476"/>
        </c:manualLayout>
      </c:layout>
      <c:lineChart>
        <c:grouping val="standard"/>
        <c:ser>
          <c:idx val="0"/>
          <c:order val="0"/>
          <c:dLbls>
            <c:delete val="1"/>
          </c:dLbls>
          <c:val>
            <c:numRef>
              <c:f>'Fund Cover Sheets'!$C$469:$K$469</c:f>
              <c:numCache>
                <c:formatCode>_(* #,##0_);_(* \(#,##0\);_(* "-"??_);_(@_)</c:formatCode>
                <c:ptCount val="9"/>
                <c:pt idx="0">
                  <c:v>500762</c:v>
                </c:pt>
                <c:pt idx="1">
                  <c:v>445875</c:v>
                </c:pt>
                <c:pt idx="2">
                  <c:v>296597</c:v>
                </c:pt>
                <c:pt idx="3">
                  <c:v>411240</c:v>
                </c:pt>
                <c:pt idx="4">
                  <c:v>312946</c:v>
                </c:pt>
                <c:pt idx="5">
                  <c:v>316288</c:v>
                </c:pt>
                <c:pt idx="6">
                  <c:v>324378</c:v>
                </c:pt>
                <c:pt idx="7">
                  <c:v>333192</c:v>
                </c:pt>
                <c:pt idx="8">
                  <c:v>343906</c:v>
                </c:pt>
              </c:numCache>
            </c:numRef>
          </c:val>
          <c:extLst xmlns:c16r2="http://schemas.microsoft.com/office/drawing/2015/06/chart">
            <c:ext xmlns:c16="http://schemas.microsoft.com/office/drawing/2014/chart" uri="{C3380CC4-5D6E-409C-BE32-E72D297353CC}">
              <c16:uniqueId val="{00000000-464E-4368-BB2D-D86F02DADEB1}"/>
            </c:ext>
          </c:extLst>
        </c:ser>
        <c:dLbls>
          <c:showVal val="1"/>
        </c:dLbls>
        <c:marker val="1"/>
        <c:axId val="94389376"/>
        <c:axId val="94390912"/>
      </c:lineChart>
      <c:catAx>
        <c:axId val="94389376"/>
        <c:scaling>
          <c:orientation val="minMax"/>
        </c:scaling>
        <c:axPos val="b"/>
        <c:tickLblPos val="none"/>
        <c:crossAx val="94390912"/>
        <c:crosses val="autoZero"/>
        <c:lblAlgn val="ctr"/>
        <c:lblOffset val="100"/>
        <c:tickMarkSkip val="1"/>
      </c:catAx>
      <c:valAx>
        <c:axId val="94390912"/>
        <c:scaling>
          <c:orientation val="minMax"/>
        </c:scaling>
        <c:axPos val="l"/>
        <c:numFmt formatCode="\$#,##0_);\(\$#,##0\)" sourceLinked="0"/>
        <c:tickLblPos val="nextTo"/>
        <c:txPr>
          <a:bodyPr rot="0" vert="horz"/>
          <a:lstStyle/>
          <a:p>
            <a:pPr>
              <a:defRPr/>
            </a:pPr>
            <a:endParaRPr lang="en-US"/>
          </a:p>
        </c:txPr>
        <c:crossAx val="9438937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Sheets'!$C$514:$K$514</c:f>
              <c:numCache>
                <c:formatCode>_(* #,##0_);_(* \(#,##0\);_(* "-"??_);_(@_)</c:formatCode>
                <c:ptCount val="9"/>
                <c:pt idx="0">
                  <c:v>499355</c:v>
                </c:pt>
                <c:pt idx="1">
                  <c:v>489057</c:v>
                </c:pt>
                <c:pt idx="2">
                  <c:v>396472</c:v>
                </c:pt>
                <c:pt idx="3">
                  <c:v>485393</c:v>
                </c:pt>
                <c:pt idx="4">
                  <c:v>474039</c:v>
                </c:pt>
                <c:pt idx="5">
                  <c:v>455729</c:v>
                </c:pt>
                <c:pt idx="6">
                  <c:v>427699</c:v>
                </c:pt>
                <c:pt idx="7">
                  <c:v>389114</c:v>
                </c:pt>
                <c:pt idx="8">
                  <c:v>339077</c:v>
                </c:pt>
              </c:numCache>
            </c:numRef>
          </c:val>
          <c:extLst xmlns:c16r2="http://schemas.microsoft.com/office/drawing/2015/06/chart">
            <c:ext xmlns:c16="http://schemas.microsoft.com/office/drawing/2014/chart" uri="{C3380CC4-5D6E-409C-BE32-E72D297353CC}">
              <c16:uniqueId val="{00000000-0CA0-44B9-9979-029545A4B1F9}"/>
            </c:ext>
          </c:extLst>
        </c:ser>
        <c:dLbls>
          <c:showVal val="1"/>
        </c:dLbls>
        <c:marker val="1"/>
        <c:axId val="94415104"/>
        <c:axId val="94420992"/>
      </c:lineChart>
      <c:catAx>
        <c:axId val="94415104"/>
        <c:scaling>
          <c:orientation val="minMax"/>
        </c:scaling>
        <c:axPos val="b"/>
        <c:tickLblPos val="none"/>
        <c:crossAx val="94420992"/>
        <c:crosses val="autoZero"/>
        <c:lblAlgn val="ctr"/>
        <c:lblOffset val="100"/>
        <c:tickMarkSkip val="1"/>
      </c:catAx>
      <c:valAx>
        <c:axId val="94420992"/>
        <c:scaling>
          <c:orientation val="minMax"/>
        </c:scaling>
        <c:axPos val="l"/>
        <c:numFmt formatCode="\$#,##0_);\(\$#,##0\)" sourceLinked="0"/>
        <c:tickLblPos val="nextTo"/>
        <c:txPr>
          <a:bodyPr rot="0" vert="horz"/>
          <a:lstStyle/>
          <a:p>
            <a:pPr>
              <a:defRPr/>
            </a:pPr>
            <a:endParaRPr lang="en-US"/>
          </a:p>
        </c:txPr>
        <c:crossAx val="9441510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a:t>
            </a:r>
          </a:p>
        </c:rich>
      </c:tx>
      <c:layout>
        <c:manualLayout>
          <c:xMode val="edge"/>
          <c:yMode val="edge"/>
          <c:x val="0.44182684611232131"/>
          <c:y val="3.0419815613514666E-3"/>
        </c:manualLayout>
      </c:layout>
    </c:title>
    <c:plotArea>
      <c:layout>
        <c:manualLayout>
          <c:layoutTarget val="inner"/>
          <c:xMode val="edge"/>
          <c:yMode val="edge"/>
          <c:x val="0.24012149360237744"/>
          <c:y val="0.17946952610823144"/>
          <c:w val="0.75980253444891765"/>
          <c:h val="0.53840924541128476"/>
        </c:manualLayout>
      </c:layout>
      <c:lineChart>
        <c:grouping val="standard"/>
        <c:ser>
          <c:idx val="0"/>
          <c:order val="0"/>
          <c:dLbls>
            <c:delete val="1"/>
          </c:dLbls>
          <c:val>
            <c:numRef>
              <c:f>'Fund Cover Sheets'!$C$554:$K$554</c:f>
              <c:numCache>
                <c:formatCode>_(* #,##0_);_(* \(#,##0\);_(* "-"??_);_(@_)</c:formatCode>
                <c:ptCount val="9"/>
                <c:pt idx="0">
                  <c:v>14807</c:v>
                </c:pt>
                <c:pt idx="1">
                  <c:v>19904</c:v>
                </c:pt>
                <c:pt idx="2">
                  <c:v>23999</c:v>
                </c:pt>
                <c:pt idx="3">
                  <c:v>40164</c:v>
                </c:pt>
                <c:pt idx="4">
                  <c:v>31274</c:v>
                </c:pt>
                <c:pt idx="5">
                  <c:v>18784</c:v>
                </c:pt>
                <c:pt idx="6">
                  <c:v>6294</c:v>
                </c:pt>
                <c:pt idx="7">
                  <c:v>-6196</c:v>
                </c:pt>
                <c:pt idx="8">
                  <c:v>-18686</c:v>
                </c:pt>
              </c:numCache>
            </c:numRef>
          </c:val>
          <c:extLst xmlns:c16r2="http://schemas.microsoft.com/office/drawing/2015/06/chart">
            <c:ext xmlns:c16="http://schemas.microsoft.com/office/drawing/2014/chart" uri="{C3380CC4-5D6E-409C-BE32-E72D297353CC}">
              <c16:uniqueId val="{00000000-44CB-49C1-BCF6-90C60268E8C5}"/>
            </c:ext>
          </c:extLst>
        </c:ser>
        <c:dLbls>
          <c:showVal val="1"/>
        </c:dLbls>
        <c:marker val="1"/>
        <c:axId val="99560832"/>
        <c:axId val="99570816"/>
      </c:lineChart>
      <c:catAx>
        <c:axId val="99560832"/>
        <c:scaling>
          <c:orientation val="minMax"/>
        </c:scaling>
        <c:axPos val="b"/>
        <c:tickLblPos val="none"/>
        <c:crossAx val="99570816"/>
        <c:crosses val="autoZero"/>
        <c:lblAlgn val="ctr"/>
        <c:lblOffset val="100"/>
        <c:tickMarkSkip val="1"/>
      </c:catAx>
      <c:valAx>
        <c:axId val="99570816"/>
        <c:scaling>
          <c:orientation val="minMax"/>
        </c:scaling>
        <c:axPos val="l"/>
        <c:numFmt formatCode="\$#,##0_);\(\$#,##0\)" sourceLinked="0"/>
        <c:tickLblPos val="nextTo"/>
        <c:txPr>
          <a:bodyPr rot="0" vert="horz"/>
          <a:lstStyle/>
          <a:p>
            <a:pPr>
              <a:defRPr/>
            </a:pPr>
            <a:endParaRPr lang="en-US"/>
          </a:p>
        </c:txPr>
        <c:crossAx val="9956083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26197664313472"/>
          <c:y val="5.0116053729440523E-2"/>
        </c:manualLayout>
      </c:layout>
    </c:title>
    <c:plotArea>
      <c:layout>
        <c:manualLayout>
          <c:layoutTarget val="inner"/>
          <c:xMode val="edge"/>
          <c:yMode val="edge"/>
          <c:x val="0.22734721341084321"/>
          <c:y val="0.17276935860404391"/>
          <c:w val="0.77264522180873318"/>
          <c:h val="0.53840924541128476"/>
        </c:manualLayout>
      </c:layout>
      <c:lineChart>
        <c:grouping val="standard"/>
        <c:ser>
          <c:idx val="0"/>
          <c:order val="0"/>
          <c:dLbls>
            <c:delete val="1"/>
          </c:dLbls>
          <c:val>
            <c:numRef>
              <c:f>'Fund Cover Sheets'!$C$594:$K$594</c:f>
              <c:numCache>
                <c:formatCode>_(* #,##0_);_(* \(#,##0\);_(* "-"??_);_(@_)</c:formatCode>
                <c:ptCount val="9"/>
                <c:pt idx="0">
                  <c:v>-549946</c:v>
                </c:pt>
                <c:pt idx="1">
                  <c:v>-495754</c:v>
                </c:pt>
                <c:pt idx="2">
                  <c:v>-434861</c:v>
                </c:pt>
                <c:pt idx="3">
                  <c:v>-460497</c:v>
                </c:pt>
                <c:pt idx="4">
                  <c:v>-1077343</c:v>
                </c:pt>
                <c:pt idx="5">
                  <c:v>-1032205</c:v>
                </c:pt>
                <c:pt idx="6">
                  <c:v>-812007</c:v>
                </c:pt>
                <c:pt idx="7">
                  <c:v>-579546</c:v>
                </c:pt>
                <c:pt idx="8">
                  <c:v>-332890</c:v>
                </c:pt>
              </c:numCache>
            </c:numRef>
          </c:val>
          <c:extLst xmlns:c16r2="http://schemas.microsoft.com/office/drawing/2015/06/chart">
            <c:ext xmlns:c16="http://schemas.microsoft.com/office/drawing/2014/chart" uri="{C3380CC4-5D6E-409C-BE32-E72D297353CC}">
              <c16:uniqueId val="{00000000-7CF7-4D1F-966E-7C7A26C09DBE}"/>
            </c:ext>
          </c:extLst>
        </c:ser>
        <c:dLbls>
          <c:showVal val="1"/>
        </c:dLbls>
        <c:marker val="1"/>
        <c:axId val="100205312"/>
        <c:axId val="100206848"/>
      </c:lineChart>
      <c:catAx>
        <c:axId val="100205312"/>
        <c:scaling>
          <c:orientation val="minMax"/>
        </c:scaling>
        <c:axPos val="b"/>
        <c:tickLblPos val="none"/>
        <c:crossAx val="100206848"/>
        <c:crosses val="autoZero"/>
        <c:lblAlgn val="ctr"/>
        <c:lblOffset val="100"/>
        <c:tickMarkSkip val="1"/>
      </c:catAx>
      <c:valAx>
        <c:axId val="100206848"/>
        <c:scaling>
          <c:orientation val="minMax"/>
        </c:scaling>
        <c:axPos val="l"/>
        <c:numFmt formatCode="\$#,##0_);\(\$#,##0\)" sourceLinked="0"/>
        <c:tickLblPos val="nextTo"/>
        <c:txPr>
          <a:bodyPr rot="0" vert="horz"/>
          <a:lstStyle/>
          <a:p>
            <a:pPr>
              <a:defRPr/>
            </a:pPr>
            <a:endParaRPr lang="en-US"/>
          </a:p>
        </c:txPr>
        <c:crossAx val="10020531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9038"/>
          <c:y val="4.3242986586475685E-2"/>
        </c:manualLayout>
      </c:layout>
    </c:title>
    <c:plotArea>
      <c:layout>
        <c:manualLayout>
          <c:layoutTarget val="inner"/>
          <c:xMode val="edge"/>
          <c:yMode val="edge"/>
          <c:x val="0.22178090364387537"/>
          <c:y val="0.16606919109985624"/>
          <c:w val="0.77821909635623165"/>
          <c:h val="0.53840924541128476"/>
        </c:manualLayout>
      </c:layout>
      <c:lineChart>
        <c:grouping val="standard"/>
        <c:ser>
          <c:idx val="0"/>
          <c:order val="0"/>
          <c:dLbls>
            <c:delete val="1"/>
          </c:dLbls>
          <c:val>
            <c:numRef>
              <c:f>'Fund Cover Sheets'!$C$633:$K$633</c:f>
              <c:numCache>
                <c:formatCode>_(* #,##0_);_(* \(#,##0\);_(* "-"??_);_(@_)</c:formatCode>
                <c:ptCount val="9"/>
                <c:pt idx="0">
                  <c:v>253703</c:v>
                </c:pt>
                <c:pt idx="1">
                  <c:v>97556</c:v>
                </c:pt>
                <c:pt idx="2">
                  <c:v>-681353</c:v>
                </c:pt>
                <c:pt idx="3">
                  <c:v>-905573</c:v>
                </c:pt>
                <c:pt idx="4">
                  <c:v>-1194280</c:v>
                </c:pt>
                <c:pt idx="5">
                  <c:v>-1599375</c:v>
                </c:pt>
                <c:pt idx="6">
                  <c:v>-1811528</c:v>
                </c:pt>
                <c:pt idx="7">
                  <c:v>-2012565</c:v>
                </c:pt>
                <c:pt idx="8">
                  <c:v>-2002571</c:v>
                </c:pt>
              </c:numCache>
            </c:numRef>
          </c:val>
          <c:extLst xmlns:c16r2="http://schemas.microsoft.com/office/drawing/2015/06/chart">
            <c:ext xmlns:c16="http://schemas.microsoft.com/office/drawing/2014/chart" uri="{C3380CC4-5D6E-409C-BE32-E72D297353CC}">
              <c16:uniqueId val="{00000000-C889-460A-8003-064DD0024F2B}"/>
            </c:ext>
          </c:extLst>
        </c:ser>
        <c:dLbls>
          <c:showVal val="1"/>
        </c:dLbls>
        <c:marker val="1"/>
        <c:axId val="100226944"/>
        <c:axId val="100228480"/>
      </c:lineChart>
      <c:catAx>
        <c:axId val="100226944"/>
        <c:scaling>
          <c:orientation val="minMax"/>
        </c:scaling>
        <c:axPos val="b"/>
        <c:tickLblPos val="none"/>
        <c:crossAx val="100228480"/>
        <c:crosses val="autoZero"/>
        <c:lblAlgn val="ctr"/>
        <c:lblOffset val="100"/>
        <c:tickMarkSkip val="1"/>
      </c:catAx>
      <c:valAx>
        <c:axId val="100228480"/>
        <c:scaling>
          <c:orientation val="minMax"/>
        </c:scaling>
        <c:axPos val="l"/>
        <c:numFmt formatCode="\$#,##0_);\(\$#,##0\)" sourceLinked="0"/>
        <c:tickLblPos val="nextTo"/>
        <c:txPr>
          <a:bodyPr rot="0" vert="horz"/>
          <a:lstStyle/>
          <a:p>
            <a:pPr>
              <a:defRPr/>
            </a:pPr>
            <a:endParaRPr lang="en-US"/>
          </a:p>
        </c:txPr>
        <c:crossAx val="10022694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7754779357742465"/>
          <c:h val="0.79527559055120001"/>
        </c:manualLayout>
      </c:layout>
      <c:lineChart>
        <c:grouping val="standard"/>
        <c:ser>
          <c:idx val="0"/>
          <c:order val="0"/>
          <c:val>
            <c:numRef>
              <c:f>'Gen Fd Cover Sheets'!$C$47:$K$47</c:f>
              <c:numCache>
                <c:formatCode>_(* #,##0_);_(* \(#,##0\);_(* "-"??_);_(@_)</c:formatCode>
                <c:ptCount val="9"/>
                <c:pt idx="0">
                  <c:v>376559</c:v>
                </c:pt>
                <c:pt idx="1">
                  <c:v>399439</c:v>
                </c:pt>
                <c:pt idx="2">
                  <c:v>466157</c:v>
                </c:pt>
                <c:pt idx="3">
                  <c:v>446554</c:v>
                </c:pt>
                <c:pt idx="4">
                  <c:v>490629</c:v>
                </c:pt>
                <c:pt idx="5">
                  <c:v>504580</c:v>
                </c:pt>
                <c:pt idx="6">
                  <c:v>521276</c:v>
                </c:pt>
                <c:pt idx="7">
                  <c:v>540209</c:v>
                </c:pt>
                <c:pt idx="8">
                  <c:v>562145</c:v>
                </c:pt>
              </c:numCache>
            </c:numRef>
          </c:val>
          <c:extLst xmlns:c16r2="http://schemas.microsoft.com/office/drawing/2015/06/chart">
            <c:ext xmlns:c16="http://schemas.microsoft.com/office/drawing/2014/chart" uri="{C3380CC4-5D6E-409C-BE32-E72D297353CC}">
              <c16:uniqueId val="{00000000-396D-430F-B4E8-9CDA23CC9AE1}"/>
            </c:ext>
          </c:extLst>
        </c:ser>
        <c:marker val="1"/>
        <c:axId val="100461568"/>
        <c:axId val="135185152"/>
      </c:lineChart>
      <c:catAx>
        <c:axId val="100461568"/>
        <c:scaling>
          <c:orientation val="minMax"/>
        </c:scaling>
        <c:delete val="1"/>
        <c:axPos val="b"/>
        <c:tickLblPos val="none"/>
        <c:crossAx val="135185152"/>
        <c:crosses val="autoZero"/>
        <c:auto val="1"/>
        <c:lblAlgn val="ctr"/>
        <c:lblOffset val="100"/>
      </c:catAx>
      <c:valAx>
        <c:axId val="135185152"/>
        <c:scaling>
          <c:orientation val="minMax"/>
          <c:min val="0"/>
        </c:scaling>
        <c:axPos val="l"/>
        <c:numFmt formatCode="\$#,##0_);\(\$#,##0\)" sourceLinked="0"/>
        <c:tickLblPos val="nextTo"/>
        <c:txPr>
          <a:bodyPr rot="0" vert="horz"/>
          <a:lstStyle/>
          <a:p>
            <a:pPr>
              <a:defRPr/>
            </a:pPr>
            <a:endParaRPr lang="en-US"/>
          </a:p>
        </c:txPr>
        <c:crossAx val="100461568"/>
        <c:crosses val="autoZero"/>
        <c:crossBetween val="between"/>
        <c:dispUnits>
          <c:builtInUnit val="thousands"/>
          <c:dispUnitsLbl>
            <c:layout>
              <c:manualLayout>
                <c:xMode val="edge"/>
                <c:yMode val="edge"/>
                <c:x val="0.15631141965249154"/>
                <c:y val="0.2230971128609049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50445"/>
          <c:w val="0.77792058543304365"/>
          <c:h val="0.53840924541128476"/>
        </c:manualLayout>
      </c:layout>
      <c:lineChart>
        <c:grouping val="standard"/>
        <c:ser>
          <c:idx val="0"/>
          <c:order val="0"/>
          <c:dLbls>
            <c:delete val="1"/>
          </c:dLbls>
          <c:val>
            <c:numRef>
              <c:f>'Fund Cover Sheets'!$C$293:$K$293</c:f>
              <c:numCache>
                <c:formatCode>_(* #,##0_);_(* \(#,##0\);_(* "-"??_);_(@_)</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7458-4E16-A078-39F2B910F0BA}"/>
            </c:ext>
          </c:extLst>
        </c:ser>
        <c:dLbls>
          <c:showVal val="1"/>
        </c:dLbls>
        <c:marker val="1"/>
        <c:axId val="100244480"/>
        <c:axId val="100246272"/>
      </c:lineChart>
      <c:catAx>
        <c:axId val="100244480"/>
        <c:scaling>
          <c:orientation val="minMax"/>
        </c:scaling>
        <c:axPos val="b"/>
        <c:tickLblPos val="none"/>
        <c:crossAx val="100246272"/>
        <c:crosses val="autoZero"/>
        <c:lblAlgn val="ctr"/>
        <c:lblOffset val="100"/>
        <c:tickMarkSkip val="1"/>
      </c:catAx>
      <c:valAx>
        <c:axId val="100246272"/>
        <c:scaling>
          <c:orientation val="minMax"/>
        </c:scaling>
        <c:axPos val="l"/>
        <c:numFmt formatCode="\$#,##0_);\(\$#,##0\)" sourceLinked="0"/>
        <c:tickLblPos val="nextTo"/>
        <c:txPr>
          <a:bodyPr rot="0" vert="horz"/>
          <a:lstStyle/>
          <a:p>
            <a:pPr>
              <a:defRPr/>
            </a:pPr>
            <a:endParaRPr lang="en-US"/>
          </a:p>
        </c:txPr>
        <c:crossAx val="10024448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7000279788144"/>
          <c:w val="0.7770240258429234"/>
          <c:h val="0.53840924541128476"/>
        </c:manualLayout>
      </c:layout>
      <c:lineChart>
        <c:grouping val="standard"/>
        <c:ser>
          <c:idx val="0"/>
          <c:order val="0"/>
          <c:dLbls>
            <c:delete val="1"/>
          </c:dLbls>
          <c:val>
            <c:numRef>
              <c:f>'Fund Cover Sheets'!$C$186:$K$186</c:f>
              <c:numCache>
                <c:formatCode>_(* #,##0_);_(* \(#,##0\);_(* "-"??_);_(@_)</c:formatCode>
                <c:ptCount val="9"/>
                <c:pt idx="0">
                  <c:v>3003908</c:v>
                </c:pt>
                <c:pt idx="1">
                  <c:v>1355530</c:v>
                </c:pt>
                <c:pt idx="2">
                  <c:v>144741</c:v>
                </c:pt>
                <c:pt idx="3">
                  <c:v>407759</c:v>
                </c:pt>
                <c:pt idx="4">
                  <c:v>-30817</c:v>
                </c:pt>
                <c:pt idx="5">
                  <c:v>-74793</c:v>
                </c:pt>
                <c:pt idx="6">
                  <c:v>-52599</c:v>
                </c:pt>
                <c:pt idx="7">
                  <c:v>14537</c:v>
                </c:pt>
                <c:pt idx="8">
                  <c:v>5853</c:v>
                </c:pt>
              </c:numCache>
            </c:numRef>
          </c:val>
          <c:extLst xmlns:c16r2="http://schemas.microsoft.com/office/drawing/2015/06/chart">
            <c:ext xmlns:c16="http://schemas.microsoft.com/office/drawing/2014/chart" uri="{C3380CC4-5D6E-409C-BE32-E72D297353CC}">
              <c16:uniqueId val="{00000000-92F9-4603-9A0C-760B7471F6CA}"/>
            </c:ext>
          </c:extLst>
        </c:ser>
        <c:dLbls>
          <c:showVal val="1"/>
        </c:dLbls>
        <c:marker val="1"/>
        <c:axId val="101732736"/>
        <c:axId val="101734272"/>
      </c:lineChart>
      <c:catAx>
        <c:axId val="101732736"/>
        <c:scaling>
          <c:orientation val="minMax"/>
        </c:scaling>
        <c:axPos val="b"/>
        <c:tickLblPos val="none"/>
        <c:crossAx val="101734272"/>
        <c:crosses val="autoZero"/>
        <c:lblAlgn val="ctr"/>
        <c:lblOffset val="100"/>
        <c:tickMarkSkip val="1"/>
      </c:catAx>
      <c:valAx>
        <c:axId val="101734272"/>
        <c:scaling>
          <c:orientation val="minMax"/>
        </c:scaling>
        <c:axPos val="l"/>
        <c:numFmt formatCode="\$#,##0_);\(\$#,##0\)" sourceLinked="0"/>
        <c:tickLblPos val="nextTo"/>
        <c:txPr>
          <a:bodyPr rot="0" vert="horz"/>
          <a:lstStyle/>
          <a:p>
            <a:pPr>
              <a:defRPr/>
            </a:pPr>
            <a:endParaRPr lang="en-US"/>
          </a:p>
        </c:txPr>
        <c:crossAx val="10173273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50406"/>
          <c:w val="0.7770240258429234"/>
          <c:h val="0.53840924541128476"/>
        </c:manualLayout>
      </c:layout>
      <c:lineChart>
        <c:grouping val="standard"/>
        <c:ser>
          <c:idx val="0"/>
          <c:order val="0"/>
          <c:dLbls>
            <c:delete val="1"/>
          </c:dLbls>
          <c:val>
            <c:numRef>
              <c:f>'Fund Cover Sheets'!$C$256:$K$256</c:f>
              <c:numCache>
                <c:formatCode>_(* #,##0_);_(* \(#,##0\);_(* "-"??_);_(@_)</c:formatCode>
                <c:ptCount val="9"/>
                <c:pt idx="0">
                  <c:v>1841</c:v>
                </c:pt>
                <c:pt idx="1">
                  <c:v>270407</c:v>
                </c:pt>
                <c:pt idx="2">
                  <c:v>0</c:v>
                </c:pt>
                <c:pt idx="3">
                  <c:v>303435</c:v>
                </c:pt>
                <c:pt idx="4">
                  <c:v>263801</c:v>
                </c:pt>
                <c:pt idx="5">
                  <c:v>266667</c:v>
                </c:pt>
                <c:pt idx="6">
                  <c:v>269533</c:v>
                </c:pt>
                <c:pt idx="7">
                  <c:v>272399</c:v>
                </c:pt>
                <c:pt idx="8">
                  <c:v>271092</c:v>
                </c:pt>
              </c:numCache>
            </c:numRef>
          </c:val>
          <c:extLst xmlns:c16r2="http://schemas.microsoft.com/office/drawing/2015/06/chart">
            <c:ext xmlns:c16="http://schemas.microsoft.com/office/drawing/2014/chart" uri="{C3380CC4-5D6E-409C-BE32-E72D297353CC}">
              <c16:uniqueId val="{00000000-CA7B-4B87-B0C3-B860FB7E4BA8}"/>
            </c:ext>
          </c:extLst>
        </c:ser>
        <c:dLbls>
          <c:showVal val="1"/>
        </c:dLbls>
        <c:marker val="1"/>
        <c:axId val="101742080"/>
        <c:axId val="101743616"/>
      </c:lineChart>
      <c:catAx>
        <c:axId val="101742080"/>
        <c:scaling>
          <c:orientation val="minMax"/>
        </c:scaling>
        <c:axPos val="b"/>
        <c:tickLblPos val="none"/>
        <c:crossAx val="101743616"/>
        <c:crosses val="autoZero"/>
        <c:lblAlgn val="ctr"/>
        <c:lblOffset val="100"/>
        <c:tickMarkSkip val="1"/>
      </c:catAx>
      <c:valAx>
        <c:axId val="101743616"/>
        <c:scaling>
          <c:orientation val="minMax"/>
        </c:scaling>
        <c:axPos val="l"/>
        <c:numFmt formatCode="\$#,##0_);\(\$#,##0\)" sourceLinked="0"/>
        <c:tickLblPos val="nextTo"/>
        <c:txPr>
          <a:bodyPr rot="0" vert="horz"/>
          <a:lstStyle/>
          <a:p>
            <a:pPr>
              <a:defRPr/>
            </a:pPr>
            <a:endParaRPr lang="en-US"/>
          </a:p>
        </c:txPr>
        <c:crossAx val="10174208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50451"/>
          <c:w val="0.77792058543304365"/>
          <c:h val="0.53840924541128476"/>
        </c:manualLayout>
      </c:layout>
      <c:lineChart>
        <c:grouping val="standard"/>
        <c:ser>
          <c:idx val="0"/>
          <c:order val="0"/>
          <c:dLbls>
            <c:delete val="1"/>
          </c:dLbls>
          <c:val>
            <c:numRef>
              <c:f>'Fund Cover Sheets'!$C$337:$K$337</c:f>
              <c:numCache>
                <c:formatCode>_(* #,##0_);_(* \(#,##0\);_(* "-"??_);_(@_)</c:formatCode>
                <c:ptCount val="9"/>
                <c:pt idx="0">
                  <c:v>5196289</c:v>
                </c:pt>
                <c:pt idx="1">
                  <c:v>2826144</c:v>
                </c:pt>
                <c:pt idx="2">
                  <c:v>2285570</c:v>
                </c:pt>
                <c:pt idx="3">
                  <c:v>2290008</c:v>
                </c:pt>
                <c:pt idx="4">
                  <c:v>1952155</c:v>
                </c:pt>
                <c:pt idx="5">
                  <c:v>1280256</c:v>
                </c:pt>
                <c:pt idx="6">
                  <c:v>1117507</c:v>
                </c:pt>
                <c:pt idx="7">
                  <c:v>1779499</c:v>
                </c:pt>
                <c:pt idx="8">
                  <c:v>2931880</c:v>
                </c:pt>
              </c:numCache>
            </c:numRef>
          </c:val>
          <c:extLst xmlns:c16r2="http://schemas.microsoft.com/office/drawing/2015/06/chart">
            <c:ext xmlns:c16="http://schemas.microsoft.com/office/drawing/2014/chart" uri="{C3380CC4-5D6E-409C-BE32-E72D297353CC}">
              <c16:uniqueId val="{00000000-C2B4-48F0-A12F-F60F6CAA9B12}"/>
            </c:ext>
          </c:extLst>
        </c:ser>
        <c:dLbls>
          <c:showVal val="1"/>
        </c:dLbls>
        <c:marker val="1"/>
        <c:axId val="107752064"/>
        <c:axId val="107757952"/>
      </c:lineChart>
      <c:catAx>
        <c:axId val="107752064"/>
        <c:scaling>
          <c:orientation val="minMax"/>
        </c:scaling>
        <c:axPos val="b"/>
        <c:tickLblPos val="none"/>
        <c:crossAx val="107757952"/>
        <c:crosses val="autoZero"/>
        <c:lblAlgn val="ctr"/>
        <c:lblOffset val="100"/>
        <c:tickMarkSkip val="1"/>
      </c:catAx>
      <c:valAx>
        <c:axId val="107757952"/>
        <c:scaling>
          <c:orientation val="minMax"/>
        </c:scaling>
        <c:axPos val="l"/>
        <c:numFmt formatCode="\$#,##0_);\(\$#,##0\)" sourceLinked="0"/>
        <c:tickLblPos val="nextTo"/>
        <c:txPr>
          <a:bodyPr rot="0" vert="horz"/>
          <a:lstStyle/>
          <a:p>
            <a:pPr>
              <a:defRPr/>
            </a:pPr>
            <a:endParaRPr lang="en-US"/>
          </a:p>
        </c:txPr>
        <c:crossAx val="10775206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91279087531976"/>
          <c:y val="0.22514661347785564"/>
          <c:w val="0.7775003970307226"/>
          <c:h val="0.53840924541128476"/>
        </c:manualLayout>
      </c:layout>
      <c:lineChart>
        <c:grouping val="standard"/>
        <c:ser>
          <c:idx val="0"/>
          <c:order val="0"/>
          <c:dLbls>
            <c:delete val="1"/>
          </c:dLbls>
          <c:val>
            <c:numRef>
              <c:f>'Fund Cover Sheets'!$C$721:$K$721</c:f>
              <c:numCache>
                <c:formatCode>_(* #,##0_);_(* \(#,##0\);_(* "-"??_);_(@_)</c:formatCode>
                <c:ptCount val="9"/>
                <c:pt idx="0">
                  <c:v>16227120</c:v>
                </c:pt>
                <c:pt idx="1">
                  <c:v>12417105</c:v>
                </c:pt>
                <c:pt idx="2">
                  <c:v>8050660</c:v>
                </c:pt>
                <c:pt idx="3">
                  <c:v>8822546</c:v>
                </c:pt>
                <c:pt idx="4">
                  <c:v>6293309</c:v>
                </c:pt>
                <c:pt idx="5">
                  <c:v>4469897</c:v>
                </c:pt>
                <c:pt idx="6">
                  <c:v>3894568</c:v>
                </c:pt>
                <c:pt idx="7">
                  <c:v>3779278</c:v>
                </c:pt>
                <c:pt idx="8">
                  <c:v>4459160</c:v>
                </c:pt>
              </c:numCache>
            </c:numRef>
          </c:val>
          <c:extLst xmlns:c16r2="http://schemas.microsoft.com/office/drawing/2015/06/chart">
            <c:ext xmlns:c16="http://schemas.microsoft.com/office/drawing/2014/chart" uri="{C3380CC4-5D6E-409C-BE32-E72D297353CC}">
              <c16:uniqueId val="{00000000-441B-4B01-96D8-35C9E4855F0A}"/>
            </c:ext>
          </c:extLst>
        </c:ser>
        <c:dLbls>
          <c:showVal val="1"/>
        </c:dLbls>
        <c:marker val="1"/>
        <c:axId val="107786240"/>
        <c:axId val="107787776"/>
      </c:lineChart>
      <c:catAx>
        <c:axId val="107786240"/>
        <c:scaling>
          <c:orientation val="minMax"/>
        </c:scaling>
        <c:axPos val="b"/>
        <c:tickLblPos val="none"/>
        <c:crossAx val="107787776"/>
        <c:crosses val="autoZero"/>
        <c:lblAlgn val="ctr"/>
        <c:lblOffset val="100"/>
        <c:tickMarkSkip val="1"/>
      </c:catAx>
      <c:valAx>
        <c:axId val="107787776"/>
        <c:scaling>
          <c:orientation val="minMax"/>
        </c:scaling>
        <c:axPos val="l"/>
        <c:numFmt formatCode="\$#,##0_);\(\$#,##0\)" sourceLinked="0"/>
        <c:tickLblPos val="nextTo"/>
        <c:txPr>
          <a:bodyPr rot="0" vert="horz"/>
          <a:lstStyle/>
          <a:p>
            <a:pPr>
              <a:defRPr/>
            </a:pPr>
            <a:endParaRPr lang="en-US"/>
          </a:p>
        </c:txPr>
        <c:crossAx val="107786240"/>
        <c:crosses val="autoZero"/>
        <c:crossBetween val="between"/>
        <c:dispUnits>
          <c:builtInUnit val="thousands"/>
          <c:dispUnitsLbl>
            <c:layout>
              <c:manualLayout>
                <c:xMode val="edge"/>
                <c:yMode val="edge"/>
                <c:x val="0.13842327257378204"/>
                <c:y val="0.19904545814214442"/>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Sheets'!$C$769:$K$769</c:f>
              <c:numCache>
                <c:formatCode>_(* #,##0_);_(* \(#,##0\);_(* "-"??_);_(@_)</c:formatCode>
                <c:ptCount val="9"/>
                <c:pt idx="0">
                  <c:v>514162</c:v>
                </c:pt>
                <c:pt idx="1">
                  <c:v>508961</c:v>
                </c:pt>
                <c:pt idx="2">
                  <c:v>420471</c:v>
                </c:pt>
                <c:pt idx="3">
                  <c:v>525557</c:v>
                </c:pt>
                <c:pt idx="4">
                  <c:v>505313</c:v>
                </c:pt>
                <c:pt idx="5">
                  <c:v>474513</c:v>
                </c:pt>
                <c:pt idx="6">
                  <c:v>433993</c:v>
                </c:pt>
                <c:pt idx="7">
                  <c:v>382918</c:v>
                </c:pt>
                <c:pt idx="8">
                  <c:v>320391</c:v>
                </c:pt>
              </c:numCache>
            </c:numRef>
          </c:val>
          <c:extLst xmlns:c16r2="http://schemas.microsoft.com/office/drawing/2015/06/chart">
            <c:ext xmlns:c16="http://schemas.microsoft.com/office/drawing/2014/chart" uri="{C3380CC4-5D6E-409C-BE32-E72D297353CC}">
              <c16:uniqueId val="{00000000-BC95-4A90-ACD4-56DD9B42B336}"/>
            </c:ext>
          </c:extLst>
        </c:ser>
        <c:dLbls>
          <c:showVal val="1"/>
        </c:dLbls>
        <c:marker val="1"/>
        <c:axId val="107808256"/>
        <c:axId val="107809792"/>
      </c:lineChart>
      <c:catAx>
        <c:axId val="107808256"/>
        <c:scaling>
          <c:orientation val="minMax"/>
        </c:scaling>
        <c:axPos val="b"/>
        <c:tickLblPos val="none"/>
        <c:crossAx val="107809792"/>
        <c:crosses val="autoZero"/>
        <c:lblAlgn val="ctr"/>
        <c:lblOffset val="100"/>
        <c:tickMarkSkip val="1"/>
      </c:catAx>
      <c:valAx>
        <c:axId val="107809792"/>
        <c:scaling>
          <c:orientation val="minMax"/>
        </c:scaling>
        <c:axPos val="l"/>
        <c:numFmt formatCode="\$#,##0_);\(\$#,##0\)" sourceLinked="0"/>
        <c:tickLblPos val="nextTo"/>
        <c:txPr>
          <a:bodyPr rot="0" vert="horz"/>
          <a:lstStyle/>
          <a:p>
            <a:pPr>
              <a:defRPr/>
            </a:pPr>
            <a:endParaRPr lang="en-US"/>
          </a:p>
        </c:txPr>
        <c:crossAx val="10780825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50579"/>
          <c:w val="0.7349666868564505"/>
          <c:h val="0.53840924541128476"/>
        </c:manualLayout>
      </c:layout>
      <c:lineChart>
        <c:grouping val="standard"/>
        <c:ser>
          <c:idx val="0"/>
          <c:order val="0"/>
          <c:dLbls>
            <c:delete val="1"/>
          </c:dLbls>
          <c:val>
            <c:numRef>
              <c:f>'Fund Cover Sheets'!$C$816:$K$816</c:f>
              <c:numCache>
                <c:formatCode>_(* #,##0_);_(* \(#,##0\);_(* "-"??_);_(@_)</c:formatCode>
                <c:ptCount val="9"/>
                <c:pt idx="0">
                  <c:v>502603</c:v>
                </c:pt>
                <c:pt idx="1">
                  <c:v>716282</c:v>
                </c:pt>
                <c:pt idx="2">
                  <c:v>296597</c:v>
                </c:pt>
                <c:pt idx="3">
                  <c:v>714675</c:v>
                </c:pt>
                <c:pt idx="4">
                  <c:v>570312</c:v>
                </c:pt>
                <c:pt idx="5">
                  <c:v>577085</c:v>
                </c:pt>
                <c:pt idx="6">
                  <c:v>588606</c:v>
                </c:pt>
                <c:pt idx="7">
                  <c:v>600852</c:v>
                </c:pt>
                <c:pt idx="8">
                  <c:v>614998</c:v>
                </c:pt>
              </c:numCache>
            </c:numRef>
          </c:val>
          <c:extLst xmlns:c16r2="http://schemas.microsoft.com/office/drawing/2015/06/chart">
            <c:ext xmlns:c16="http://schemas.microsoft.com/office/drawing/2014/chart" uri="{C3380CC4-5D6E-409C-BE32-E72D297353CC}">
              <c16:uniqueId val="{00000000-4F72-4B18-94EF-2ABE07DB8AC9}"/>
            </c:ext>
          </c:extLst>
        </c:ser>
        <c:dLbls>
          <c:showVal val="1"/>
        </c:dLbls>
        <c:marker val="1"/>
        <c:axId val="107841792"/>
        <c:axId val="107843584"/>
      </c:lineChart>
      <c:catAx>
        <c:axId val="107841792"/>
        <c:scaling>
          <c:orientation val="minMax"/>
        </c:scaling>
        <c:axPos val="b"/>
        <c:tickLblPos val="none"/>
        <c:crossAx val="107843584"/>
        <c:crosses val="autoZero"/>
        <c:lblAlgn val="ctr"/>
        <c:lblOffset val="100"/>
        <c:tickMarkSkip val="1"/>
      </c:catAx>
      <c:valAx>
        <c:axId val="107843584"/>
        <c:scaling>
          <c:orientation val="minMax"/>
        </c:scaling>
        <c:axPos val="l"/>
        <c:numFmt formatCode="\$#,##0_);\(\$#,##0\)" sourceLinked="0"/>
        <c:tickLblPos val="nextTo"/>
        <c:txPr>
          <a:bodyPr rot="0" vert="horz"/>
          <a:lstStyle/>
          <a:p>
            <a:pPr>
              <a:defRPr/>
            </a:pPr>
            <a:endParaRPr lang="en-US"/>
          </a:p>
        </c:txPr>
        <c:crossAx val="10784179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36522003023763738"/>
          <c:y val="0.35696829340183656"/>
        </c:manualLayout>
      </c:layout>
    </c:title>
    <c:plotArea>
      <c:layout>
        <c:manualLayout>
          <c:layoutTarget val="inner"/>
          <c:xMode val="edge"/>
          <c:yMode val="edge"/>
          <c:x val="0.22178090364387537"/>
          <c:y val="0.16606919109985624"/>
          <c:w val="0.77821909635623165"/>
          <c:h val="0.53840924541128476"/>
        </c:manualLayout>
      </c:layout>
      <c:lineChart>
        <c:grouping val="standard"/>
        <c:ser>
          <c:idx val="0"/>
          <c:order val="0"/>
          <c:dLbls>
            <c:delete val="1"/>
          </c:dLbls>
          <c:val>
            <c:numRef>
              <c:f>'Fund Cover Sheets'!$C$669:$K$669</c:f>
              <c:numCache>
                <c:formatCode>_(* #,##0_);_(* \(#,##0\);_(* "-"??_);_(@_)</c:formatCode>
                <c:ptCount val="9"/>
                <c:pt idx="0">
                  <c:v>0</c:v>
                </c:pt>
                <c:pt idx="1">
                  <c:v>0</c:v>
                </c:pt>
                <c:pt idx="2">
                  <c:v>0</c:v>
                </c:pt>
                <c:pt idx="3">
                  <c:v>0</c:v>
                </c:pt>
                <c:pt idx="4">
                  <c:v>-10000</c:v>
                </c:pt>
                <c:pt idx="5">
                  <c:v>-10000</c:v>
                </c:pt>
                <c:pt idx="6">
                  <c:v>-10000</c:v>
                </c:pt>
                <c:pt idx="7">
                  <c:v>-10000</c:v>
                </c:pt>
                <c:pt idx="8">
                  <c:v>-10000</c:v>
                </c:pt>
              </c:numCache>
            </c:numRef>
          </c:val>
          <c:extLst xmlns:c16r2="http://schemas.microsoft.com/office/drawing/2015/06/chart">
            <c:ext xmlns:c16="http://schemas.microsoft.com/office/drawing/2014/chart" uri="{C3380CC4-5D6E-409C-BE32-E72D297353CC}">
              <c16:uniqueId val="{00000000-6F92-4020-9F9C-DCC506F0F3FD}"/>
            </c:ext>
          </c:extLst>
        </c:ser>
        <c:dLbls>
          <c:showVal val="1"/>
        </c:dLbls>
        <c:marker val="1"/>
        <c:axId val="107867520"/>
        <c:axId val="107869312"/>
      </c:lineChart>
      <c:catAx>
        <c:axId val="107867520"/>
        <c:scaling>
          <c:orientation val="minMax"/>
        </c:scaling>
        <c:axPos val="b"/>
        <c:tickLblPos val="none"/>
        <c:crossAx val="107869312"/>
        <c:crosses val="autoZero"/>
        <c:lblAlgn val="ctr"/>
        <c:lblOffset val="100"/>
        <c:tickMarkSkip val="1"/>
      </c:catAx>
      <c:valAx>
        <c:axId val="107869312"/>
        <c:scaling>
          <c:orientation val="minMax"/>
        </c:scaling>
        <c:axPos val="l"/>
        <c:numFmt formatCode="\$#,##0_);\(\$#,##0\)" sourceLinked="0"/>
        <c:tickLblPos val="nextTo"/>
        <c:txPr>
          <a:bodyPr rot="0" vert="horz"/>
          <a:lstStyle/>
          <a:p>
            <a:pPr>
              <a:defRPr/>
            </a:pPr>
            <a:endParaRPr lang="en-US"/>
          </a:p>
        </c:txPr>
        <c:crossAx val="10786752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7410116164820064"/>
          <c:h val="0.8156606851549757"/>
        </c:manualLayout>
      </c:layout>
      <c:lineChart>
        <c:grouping val="stacked"/>
        <c:ser>
          <c:idx val="0"/>
          <c:order val="0"/>
          <c:val>
            <c:numRef>
              <c:f>'Gen Fd Cover Sheets'!$C$75:$K$75</c:f>
              <c:numCache>
                <c:formatCode>_(* #,##0_);_(* \(#,##0\);_(* "-"??_);_(@_)</c:formatCode>
                <c:ptCount val="9"/>
                <c:pt idx="0">
                  <c:v>4673413</c:v>
                </c:pt>
                <c:pt idx="1">
                  <c:v>4903925</c:v>
                </c:pt>
                <c:pt idx="2">
                  <c:v>5558217</c:v>
                </c:pt>
                <c:pt idx="3">
                  <c:v>5387096</c:v>
                </c:pt>
                <c:pt idx="4">
                  <c:v>5536325</c:v>
                </c:pt>
                <c:pt idx="5">
                  <c:v>5724362</c:v>
                </c:pt>
                <c:pt idx="6">
                  <c:v>5943610</c:v>
                </c:pt>
                <c:pt idx="7">
                  <c:v>6159069</c:v>
                </c:pt>
                <c:pt idx="8">
                  <c:v>6394785</c:v>
                </c:pt>
              </c:numCache>
            </c:numRef>
          </c:val>
          <c:extLst xmlns:c16r2="http://schemas.microsoft.com/office/drawing/2015/06/chart">
            <c:ext xmlns:c16="http://schemas.microsoft.com/office/drawing/2014/chart" uri="{C3380CC4-5D6E-409C-BE32-E72D297353CC}">
              <c16:uniqueId val="{00000000-7228-4671-BCDF-207B637CBBCD}"/>
            </c:ext>
          </c:extLst>
        </c:ser>
        <c:marker val="1"/>
        <c:axId val="143864576"/>
        <c:axId val="143866496"/>
      </c:lineChart>
      <c:catAx>
        <c:axId val="143864576"/>
        <c:scaling>
          <c:orientation val="minMax"/>
        </c:scaling>
        <c:delete val="1"/>
        <c:axPos val="b"/>
        <c:numFmt formatCode="#,##0_);\(#,##0\)" sourceLinked="1"/>
        <c:tickLblPos val="none"/>
        <c:crossAx val="143866496"/>
        <c:crosses val="autoZero"/>
        <c:auto val="1"/>
        <c:lblAlgn val="ctr"/>
        <c:lblOffset val="100"/>
      </c:catAx>
      <c:valAx>
        <c:axId val="143866496"/>
        <c:scaling>
          <c:orientation val="minMax"/>
        </c:scaling>
        <c:axPos val="l"/>
        <c:numFmt formatCode="\$#,##0_);\(\$#,##0\)" sourceLinked="0"/>
        <c:tickLblPos val="nextTo"/>
        <c:txPr>
          <a:bodyPr rot="0" vert="horz"/>
          <a:lstStyle/>
          <a:p>
            <a:pPr>
              <a:defRPr/>
            </a:pPr>
            <a:endParaRPr lang="en-US"/>
          </a:p>
        </c:txPr>
        <c:crossAx val="143864576"/>
        <c:crosses val="autoZero"/>
        <c:crossBetween val="between"/>
        <c:dispUnits>
          <c:builtInUnit val="thousands"/>
          <c:dispUnitsLbl>
            <c:layout>
              <c:manualLayout>
                <c:xMode val="edge"/>
                <c:yMode val="edge"/>
                <c:x val="0.13727009359680944"/>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7188649815220001"/>
          <c:h val="0.79527559055120001"/>
        </c:manualLayout>
      </c:layout>
      <c:lineChart>
        <c:grouping val="standard"/>
        <c:ser>
          <c:idx val="0"/>
          <c:order val="0"/>
          <c:val>
            <c:numRef>
              <c:f>'Gen Fd Cover Sheets'!$C$108:$K$108</c:f>
              <c:numCache>
                <c:formatCode>_(* #,##0_);_(* \(#,##0\);_(* "-"??_);_(@_)</c:formatCode>
                <c:ptCount val="9"/>
                <c:pt idx="0">
                  <c:v>601942</c:v>
                </c:pt>
                <c:pt idx="1">
                  <c:v>573958</c:v>
                </c:pt>
                <c:pt idx="2">
                  <c:v>700647</c:v>
                </c:pt>
                <c:pt idx="3">
                  <c:v>647891</c:v>
                </c:pt>
                <c:pt idx="4">
                  <c:v>829646</c:v>
                </c:pt>
                <c:pt idx="5">
                  <c:v>811925</c:v>
                </c:pt>
                <c:pt idx="6">
                  <c:v>789558</c:v>
                </c:pt>
                <c:pt idx="7">
                  <c:v>805057</c:v>
                </c:pt>
                <c:pt idx="8">
                  <c:v>833002</c:v>
                </c:pt>
              </c:numCache>
            </c:numRef>
          </c:val>
          <c:extLst xmlns:c16r2="http://schemas.microsoft.com/office/drawing/2015/06/chart">
            <c:ext xmlns:c16="http://schemas.microsoft.com/office/drawing/2014/chart" uri="{C3380CC4-5D6E-409C-BE32-E72D297353CC}">
              <c16:uniqueId val="{00000000-D44A-4409-A54A-8A9BA404E32A}"/>
            </c:ext>
          </c:extLst>
        </c:ser>
        <c:marker val="1"/>
        <c:axId val="151441408"/>
        <c:axId val="152260608"/>
      </c:lineChart>
      <c:catAx>
        <c:axId val="151441408"/>
        <c:scaling>
          <c:orientation val="minMax"/>
        </c:scaling>
        <c:delete val="1"/>
        <c:axPos val="b"/>
        <c:tickLblPos val="none"/>
        <c:crossAx val="152260608"/>
        <c:crosses val="autoZero"/>
        <c:auto val="1"/>
        <c:lblAlgn val="ctr"/>
        <c:lblOffset val="100"/>
      </c:catAx>
      <c:valAx>
        <c:axId val="152260608"/>
        <c:scaling>
          <c:orientation val="minMax"/>
          <c:min val="0"/>
        </c:scaling>
        <c:axPos val="l"/>
        <c:numFmt formatCode="\$#,##0_);\(\$#,##0\)" sourceLinked="0"/>
        <c:tickLblPos val="nextTo"/>
        <c:txPr>
          <a:bodyPr rot="0" vert="horz"/>
          <a:lstStyle/>
          <a:p>
            <a:pPr>
              <a:defRPr/>
            </a:pPr>
            <a:endParaRPr lang="en-US"/>
          </a:p>
        </c:txPr>
        <c:crossAx val="151441408"/>
        <c:crosses val="autoZero"/>
        <c:crossBetween val="between"/>
        <c:dispUnits>
          <c:builtInUnit val="thousands"/>
          <c:dispUnitsLbl>
            <c:layout>
              <c:manualLayout>
                <c:xMode val="edge"/>
                <c:yMode val="edge"/>
                <c:x val="0.15047424170664594"/>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489E-2"/>
          <c:w val="0.78985932633768163"/>
          <c:h val="0.80607414494849161"/>
        </c:manualLayout>
      </c:layout>
      <c:lineChart>
        <c:grouping val="standard"/>
        <c:ser>
          <c:idx val="0"/>
          <c:order val="0"/>
          <c:val>
            <c:numRef>
              <c:f>'Gen Fd Cover Sheets'!$C$136:$K$136</c:f>
              <c:numCache>
                <c:formatCode>_(* #,##0_);_(* \(#,##0\);_(* "-"??_);_(@_)</c:formatCode>
                <c:ptCount val="9"/>
                <c:pt idx="0">
                  <c:v>2129783</c:v>
                </c:pt>
                <c:pt idx="1">
                  <c:v>2077502</c:v>
                </c:pt>
                <c:pt idx="2">
                  <c:v>1946258</c:v>
                </c:pt>
                <c:pt idx="3">
                  <c:v>1996856</c:v>
                </c:pt>
                <c:pt idx="4">
                  <c:v>2078155</c:v>
                </c:pt>
                <c:pt idx="5">
                  <c:v>2357779</c:v>
                </c:pt>
                <c:pt idx="6">
                  <c:v>2290611</c:v>
                </c:pt>
                <c:pt idx="7">
                  <c:v>2354785</c:v>
                </c:pt>
                <c:pt idx="8">
                  <c:v>2388735</c:v>
                </c:pt>
              </c:numCache>
            </c:numRef>
          </c:val>
          <c:extLst xmlns:c16r2="http://schemas.microsoft.com/office/drawing/2015/06/chart">
            <c:ext xmlns:c16="http://schemas.microsoft.com/office/drawing/2014/chart" uri="{C3380CC4-5D6E-409C-BE32-E72D297353CC}">
              <c16:uniqueId val="{00000000-E514-4C2A-BAAA-BA38E3EE27A9}"/>
            </c:ext>
          </c:extLst>
        </c:ser>
        <c:marker val="1"/>
        <c:axId val="51200768"/>
        <c:axId val="51202304"/>
      </c:lineChart>
      <c:catAx>
        <c:axId val="51200768"/>
        <c:scaling>
          <c:orientation val="minMax"/>
        </c:scaling>
        <c:delete val="1"/>
        <c:axPos val="b"/>
        <c:tickLblPos val="none"/>
        <c:crossAx val="51202304"/>
        <c:crosses val="autoZero"/>
        <c:auto val="1"/>
        <c:lblAlgn val="ctr"/>
        <c:lblOffset val="100"/>
      </c:catAx>
      <c:valAx>
        <c:axId val="51202304"/>
        <c:scaling>
          <c:orientation val="minMax"/>
        </c:scaling>
        <c:axPos val="l"/>
        <c:numFmt formatCode="\$#,##0_);\(\$#,##0\)" sourceLinked="0"/>
        <c:tickLblPos val="nextTo"/>
        <c:txPr>
          <a:bodyPr rot="0" vert="horz"/>
          <a:lstStyle/>
          <a:p>
            <a:pPr>
              <a:defRPr/>
            </a:pPr>
            <a:endParaRPr lang="en-US"/>
          </a:p>
        </c:txPr>
        <c:crossAx val="51200768"/>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4765403742234582"/>
          <c:h val="0.82398155265190065"/>
        </c:manualLayout>
      </c:layout>
      <c:lineChart>
        <c:grouping val="standard"/>
        <c:ser>
          <c:idx val="0"/>
          <c:order val="0"/>
          <c:val>
            <c:numRef>
              <c:f>'Gen Fd Cover Sheets'!$C$168:$K$168</c:f>
              <c:numCache>
                <c:formatCode>_(* #,##0_);_(* \(#,##0\);_(* "-"??_);_(@_)</c:formatCode>
                <c:ptCount val="9"/>
                <c:pt idx="0">
                  <c:v>5217172</c:v>
                </c:pt>
                <c:pt idx="1">
                  <c:v>5763401</c:v>
                </c:pt>
                <c:pt idx="2">
                  <c:v>6173391</c:v>
                </c:pt>
                <c:pt idx="3">
                  <c:v>6395361</c:v>
                </c:pt>
                <c:pt idx="4">
                  <c:v>6061526</c:v>
                </c:pt>
                <c:pt idx="5">
                  <c:v>5817954</c:v>
                </c:pt>
                <c:pt idx="6">
                  <c:v>5910804</c:v>
                </c:pt>
                <c:pt idx="7">
                  <c:v>6450211</c:v>
                </c:pt>
                <c:pt idx="8">
                  <c:v>6599111</c:v>
                </c:pt>
              </c:numCache>
            </c:numRef>
          </c:val>
          <c:extLst xmlns:c16r2="http://schemas.microsoft.com/office/drawing/2015/06/chart">
            <c:ext xmlns:c16="http://schemas.microsoft.com/office/drawing/2014/chart" uri="{C3380CC4-5D6E-409C-BE32-E72D297353CC}">
              <c16:uniqueId val="{00000000-A3E5-4E88-9F83-99528D2E6269}"/>
            </c:ext>
          </c:extLst>
        </c:ser>
        <c:marker val="1"/>
        <c:axId val="51480064"/>
        <c:axId val="51481600"/>
      </c:lineChart>
      <c:catAx>
        <c:axId val="51480064"/>
        <c:scaling>
          <c:orientation val="minMax"/>
        </c:scaling>
        <c:delete val="1"/>
        <c:axPos val="b"/>
        <c:tickLblPos val="none"/>
        <c:crossAx val="51481600"/>
        <c:crosses val="autoZero"/>
        <c:auto val="1"/>
        <c:lblAlgn val="ctr"/>
        <c:lblOffset val="100"/>
      </c:catAx>
      <c:valAx>
        <c:axId val="51481600"/>
        <c:scaling>
          <c:orientation val="minMax"/>
        </c:scaling>
        <c:axPos val="l"/>
        <c:numFmt formatCode="\$#,##0_);\(\$#,##0\)" sourceLinked="0"/>
        <c:tickLblPos val="nextTo"/>
        <c:txPr>
          <a:bodyPr rot="0" vert="horz"/>
          <a:lstStyle/>
          <a:p>
            <a:pPr>
              <a:defRPr/>
            </a:pPr>
            <a:endParaRPr lang="en-US"/>
          </a:p>
        </c:txPr>
        <c:crossAx val="51480064"/>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50412"/>
          <c:w val="0.7770240258429234"/>
          <c:h val="0.53840924541128476"/>
        </c:manualLayout>
      </c:layout>
      <c:lineChart>
        <c:grouping val="standard"/>
        <c:ser>
          <c:idx val="0"/>
          <c:order val="0"/>
          <c:dLbls>
            <c:delete val="1"/>
          </c:dLbls>
          <c:val>
            <c:numRef>
              <c:f>'Veh &amp; Equip Cover Sheet'!$C$56:$K$56</c:f>
              <c:numCache>
                <c:formatCode>_(* #,##0_);_(* \(#,##0\);_(* "-"??_);_(@_)</c:formatCode>
                <c:ptCount val="9"/>
                <c:pt idx="0">
                  <c:v>1841</c:v>
                </c:pt>
                <c:pt idx="1">
                  <c:v>270407</c:v>
                </c:pt>
                <c:pt idx="2">
                  <c:v>0</c:v>
                </c:pt>
                <c:pt idx="3">
                  <c:v>303435</c:v>
                </c:pt>
                <c:pt idx="4">
                  <c:v>263801</c:v>
                </c:pt>
                <c:pt idx="5">
                  <c:v>266667</c:v>
                </c:pt>
                <c:pt idx="6">
                  <c:v>269533</c:v>
                </c:pt>
                <c:pt idx="7">
                  <c:v>272399</c:v>
                </c:pt>
                <c:pt idx="8">
                  <c:v>271092</c:v>
                </c:pt>
              </c:numCache>
            </c:numRef>
          </c:val>
          <c:extLst xmlns:c16r2="http://schemas.microsoft.com/office/drawing/2015/06/chart">
            <c:ext xmlns:c16="http://schemas.microsoft.com/office/drawing/2014/chart" uri="{C3380CC4-5D6E-409C-BE32-E72D297353CC}">
              <c16:uniqueId val="{00000000-6BE4-43E4-B397-E7B53931CE01}"/>
            </c:ext>
          </c:extLst>
        </c:ser>
        <c:dLbls>
          <c:showVal val="1"/>
        </c:dLbls>
        <c:marker val="1"/>
        <c:axId val="55175808"/>
        <c:axId val="62345600"/>
      </c:lineChart>
      <c:catAx>
        <c:axId val="55175808"/>
        <c:scaling>
          <c:orientation val="minMax"/>
        </c:scaling>
        <c:axPos val="b"/>
        <c:tickLblPos val="none"/>
        <c:crossAx val="62345600"/>
        <c:crosses val="autoZero"/>
        <c:lblAlgn val="ctr"/>
        <c:lblOffset val="100"/>
        <c:tickMarkSkip val="1"/>
      </c:catAx>
      <c:valAx>
        <c:axId val="62345600"/>
        <c:scaling>
          <c:orientation val="minMax"/>
        </c:scaling>
        <c:axPos val="l"/>
        <c:numFmt formatCode="\$#,##0_);\(\$#,##0\)" sourceLinked="0"/>
        <c:tickLblPos val="nextTo"/>
        <c:txPr>
          <a:bodyPr rot="0" vert="horz"/>
          <a:lstStyle/>
          <a:p>
            <a:pPr>
              <a:defRPr/>
            </a:pPr>
            <a:endParaRPr lang="en-US"/>
          </a:p>
        </c:txPr>
        <c:crossAx val="55175808"/>
        <c:crosses val="autoZero"/>
        <c:crossBetween val="between"/>
        <c:dispUnits>
          <c:builtInUnit val="thousands"/>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Sheets'!$C$32:$K$32</c:f>
              <c:numCache>
                <c:formatCode>_(* #,##0_);_(* \(#,##0\);_(* "-"??_);_(@_)</c:formatCode>
                <c:ptCount val="9"/>
                <c:pt idx="0">
                  <c:v>5691706</c:v>
                </c:pt>
                <c:pt idx="1">
                  <c:v>6214089</c:v>
                </c:pt>
                <c:pt idx="2">
                  <c:v>5383778</c:v>
                </c:pt>
                <c:pt idx="3">
                  <c:v>5777996</c:v>
                </c:pt>
                <c:pt idx="4">
                  <c:v>5468778</c:v>
                </c:pt>
                <c:pt idx="5">
                  <c:v>5164830</c:v>
                </c:pt>
                <c:pt idx="6">
                  <c:v>4849251</c:v>
                </c:pt>
                <c:pt idx="7">
                  <c:v>3913539</c:v>
                </c:pt>
                <c:pt idx="8">
                  <c:v>2624234</c:v>
                </c:pt>
              </c:numCache>
            </c:numRef>
          </c:val>
          <c:extLst xmlns:c16r2="http://schemas.microsoft.com/office/drawing/2015/06/chart">
            <c:ext xmlns:c16="http://schemas.microsoft.com/office/drawing/2014/chart" uri="{C3380CC4-5D6E-409C-BE32-E72D297353CC}">
              <c16:uniqueId val="{00000000-2615-415C-A668-BAB55D6DA7EF}"/>
            </c:ext>
          </c:extLst>
        </c:ser>
        <c:dLbls>
          <c:showVal val="1"/>
        </c:dLbls>
        <c:marker val="1"/>
        <c:axId val="62865792"/>
        <c:axId val="62867328"/>
      </c:lineChart>
      <c:catAx>
        <c:axId val="62865792"/>
        <c:scaling>
          <c:orientation val="minMax"/>
        </c:scaling>
        <c:axPos val="b"/>
        <c:tickLblPos val="none"/>
        <c:crossAx val="62867328"/>
        <c:crosses val="autoZero"/>
        <c:lblAlgn val="ctr"/>
        <c:lblOffset val="100"/>
        <c:tickMarkSkip val="1"/>
      </c:catAx>
      <c:valAx>
        <c:axId val="62867328"/>
        <c:scaling>
          <c:orientation val="minMax"/>
        </c:scaling>
        <c:axPos val="l"/>
        <c:numFmt formatCode="\$#,##0_);\(\$#,##0\)" sourceLinked="0"/>
        <c:tickLblPos val="nextTo"/>
        <c:txPr>
          <a:bodyPr rot="0" vert="horz"/>
          <a:lstStyle/>
          <a:p>
            <a:pPr>
              <a:defRPr/>
            </a:pPr>
            <a:endParaRPr lang="en-US"/>
          </a:p>
        </c:txPr>
        <c:crossAx val="62865792"/>
        <c:crosses val="autoZero"/>
        <c:crossBetween val="between"/>
        <c:dispUnits>
          <c:builtInUnit val="thousands"/>
          <c:dispUnitsLbl>
            <c:layout>
              <c:manualLayout>
                <c:xMode val="edge"/>
                <c:yMode val="edge"/>
                <c:x val="0.13842327257378204"/>
                <c:y val="0.1990454581421443"/>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74717"/>
          <c:y val="4.9943330947267994E-2"/>
        </c:manualLayout>
      </c:layout>
      <c:spPr>
        <a:noFill/>
        <a:ln w="25400">
          <a:noFill/>
        </a:ln>
      </c:spPr>
    </c:title>
    <c:plotArea>
      <c:layout>
        <c:manualLayout>
          <c:layoutTarget val="inner"/>
          <c:xMode val="edge"/>
          <c:yMode val="edge"/>
          <c:x val="5.9299681139162924E-2"/>
          <c:y val="0.17946974847050409"/>
          <c:w val="0.92473125950364365"/>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extLst xmlns:c16r2="http://schemas.microsoft.com/office/drawing/2015/06/chart">
              <c:ext xmlns:c15="http://schemas.microsoft.com/office/drawing/2012/chart" uri="{CE6537A1-D6FC-4f65-9D91-7224C49458BB}">
                <c15:showLeaderLines val="0"/>
              </c:ext>
            </c:extLst>
          </c:dLbls>
          <c:val>
            <c:numLit>
              <c:formatCode>General</c:formatCode>
              <c:ptCount val="5"/>
              <c:pt idx="0">
                <c:v>-534828</c:v>
              </c:pt>
              <c:pt idx="1">
                <c:v>-2374704</c:v>
              </c:pt>
              <c:pt idx="2">
                <c:v>270222</c:v>
              </c:pt>
              <c:pt idx="3">
                <c:v>-1131924</c:v>
              </c:pt>
              <c:pt idx="4">
                <c:v>-1068555</c:v>
              </c:pt>
            </c:numLit>
          </c:val>
          <c:extLst xmlns:c16r2="http://schemas.microsoft.com/office/drawing/2015/06/chart">
            <c:ext xmlns:c16="http://schemas.microsoft.com/office/drawing/2014/chart" uri="{C3380CC4-5D6E-409C-BE32-E72D297353CC}">
              <c16:uniqueId val="{00000000-EC9A-4748-B308-1FAFE8921453}"/>
            </c:ext>
          </c:extLst>
        </c:ser>
        <c:dLbls>
          <c:showVal val="1"/>
        </c:dLbls>
        <c:marker val="1"/>
        <c:axId val="62879616"/>
        <c:axId val="62881152"/>
      </c:lineChart>
      <c:catAx>
        <c:axId val="62879616"/>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62881152"/>
        <c:crosses val="autoZero"/>
        <c:lblAlgn val="ctr"/>
        <c:lblOffset val="100"/>
        <c:tickLblSkip val="1"/>
        <c:tickMarkSkip val="1"/>
      </c:catAx>
      <c:valAx>
        <c:axId val="62881152"/>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62879616"/>
        <c:crosses val="autoZero"/>
        <c:crossBetween val="between"/>
        <c:dispUnits>
          <c:builtInUnit val="thousands"/>
          <c:dispUnitsLbl>
            <c:layout>
              <c:manualLayout>
                <c:xMode val="edge"/>
                <c:yMode val="edge"/>
                <c:x val="2.5885558583107492E-2"/>
                <c:y val="0.28149829738947418"/>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18" Type="http://schemas.openxmlformats.org/officeDocument/2006/relationships/chart" Target="../charts/chart25.xml"/><Relationship Id="rId3" Type="http://schemas.openxmlformats.org/officeDocument/2006/relationships/chart" Target="../charts/chart10.xml"/><Relationship Id="rId7" Type="http://schemas.openxmlformats.org/officeDocument/2006/relationships/chart" Target="../charts/chart14.xml"/><Relationship Id="rId12" Type="http://schemas.openxmlformats.org/officeDocument/2006/relationships/chart" Target="../charts/chart19.xml"/><Relationship Id="rId17" Type="http://schemas.openxmlformats.org/officeDocument/2006/relationships/chart" Target="../charts/chart24.xml"/><Relationship Id="rId2" Type="http://schemas.openxmlformats.org/officeDocument/2006/relationships/chart" Target="../charts/chart9.xml"/><Relationship Id="rId16" Type="http://schemas.openxmlformats.org/officeDocument/2006/relationships/chart" Target="../charts/chart23.xml"/><Relationship Id="rId20" Type="http://schemas.openxmlformats.org/officeDocument/2006/relationships/chart" Target="../charts/chart27.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5" Type="http://schemas.openxmlformats.org/officeDocument/2006/relationships/chart" Target="../charts/chart22.xml"/><Relationship Id="rId10" Type="http://schemas.openxmlformats.org/officeDocument/2006/relationships/chart" Target="../charts/chart17.xml"/><Relationship Id="rId19" Type="http://schemas.openxmlformats.org/officeDocument/2006/relationships/chart" Target="../charts/chart26.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xdr:col>
      <xdr:colOff>38099</xdr:colOff>
      <xdr:row>17</xdr:row>
      <xdr:rowOff>190500</xdr:rowOff>
    </xdr:from>
    <xdr:to>
      <xdr:col>10</xdr:col>
      <xdr:colOff>809625</xdr:colOff>
      <xdr:row>29</xdr:row>
      <xdr:rowOff>133350</xdr:rowOff>
    </xdr:to>
    <xdr:graphicFrame macro="">
      <xdr:nvGraphicFramePr>
        <xdr:cNvPr id="27" name="Chart 3">
          <a:extLst>
            <a:ext uri="{FF2B5EF4-FFF2-40B4-BE49-F238E27FC236}">
              <a16:creationId xmlns:a16="http://schemas.microsoft.com/office/drawing/2014/main" xmlns="" id="{00000000-0008-0000-0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49</xdr:row>
      <xdr:rowOff>7620</xdr:rowOff>
    </xdr:from>
    <xdr:to>
      <xdr:col>10</xdr:col>
      <xdr:colOff>819150</xdr:colOff>
      <xdr:row>59</xdr:row>
      <xdr:rowOff>38100</xdr:rowOff>
    </xdr:to>
    <xdr:graphicFrame macro="">
      <xdr:nvGraphicFramePr>
        <xdr:cNvPr id="28" name="Chart 3">
          <a:extLst>
            <a:ext uri="{FF2B5EF4-FFF2-40B4-BE49-F238E27FC236}">
              <a16:creationId xmlns:a16="http://schemas.microsoft.com/office/drawing/2014/main" xmlns="" id="{00000000-0008-0000-0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209548</xdr:colOff>
      <xdr:row>76</xdr:row>
      <xdr:rowOff>160020</xdr:rowOff>
    </xdr:from>
    <xdr:to>
      <xdr:col>10</xdr:col>
      <xdr:colOff>847724</xdr:colOff>
      <xdr:row>90</xdr:row>
      <xdr:rowOff>22860</xdr:rowOff>
    </xdr:to>
    <xdr:graphicFrame macro="">
      <xdr:nvGraphicFramePr>
        <xdr:cNvPr id="31" name="Chart 3">
          <a:extLst>
            <a:ext uri="{FF2B5EF4-FFF2-40B4-BE49-F238E27FC236}">
              <a16:creationId xmlns:a16="http://schemas.microsoft.com/office/drawing/2014/main" xmlns="" id="{00000000-0008-0000-04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188595</xdr:colOff>
      <xdr:row>110</xdr:row>
      <xdr:rowOff>7620</xdr:rowOff>
    </xdr:from>
    <xdr:to>
      <xdr:col>10</xdr:col>
      <xdr:colOff>838200</xdr:colOff>
      <xdr:row>120</xdr:row>
      <xdr:rowOff>38100</xdr:rowOff>
    </xdr:to>
    <xdr:graphicFrame macro="">
      <xdr:nvGraphicFramePr>
        <xdr:cNvPr id="32" name="Chart 3">
          <a:extLst>
            <a:ext uri="{FF2B5EF4-FFF2-40B4-BE49-F238E27FC236}">
              <a16:creationId xmlns:a16="http://schemas.microsoft.com/office/drawing/2014/main" xmlns="" id="{00000000-0008-0000-04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182880</xdr:rowOff>
    </xdr:from>
    <xdr:to>
      <xdr:col>10</xdr:col>
      <xdr:colOff>838199</xdr:colOff>
      <xdr:row>150</xdr:row>
      <xdr:rowOff>152400</xdr:rowOff>
    </xdr:to>
    <xdr:graphicFrame macro="">
      <xdr:nvGraphicFramePr>
        <xdr:cNvPr id="33" name="Chart 2">
          <a:extLst>
            <a:ext uri="{FF2B5EF4-FFF2-40B4-BE49-F238E27FC236}">
              <a16:creationId xmlns:a16="http://schemas.microsoft.com/office/drawing/2014/main" xmlns="" id="{00000000-0008-0000-04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209549</xdr:colOff>
      <xdr:row>170</xdr:row>
      <xdr:rowOff>0</xdr:rowOff>
    </xdr:from>
    <xdr:to>
      <xdr:col>10</xdr:col>
      <xdr:colOff>819150</xdr:colOff>
      <xdr:row>183</xdr:row>
      <xdr:rowOff>0</xdr:rowOff>
    </xdr:to>
    <xdr:graphicFrame macro="">
      <xdr:nvGraphicFramePr>
        <xdr:cNvPr id="34" name="Chart 2">
          <a:extLst>
            <a:ext uri="{FF2B5EF4-FFF2-40B4-BE49-F238E27FC236}">
              <a16:creationId xmlns:a16="http://schemas.microsoft.com/office/drawing/2014/main" xmlns="" id="{00000000-0008-0000-04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809625</xdr:colOff>
      <xdr:row>66</xdr:row>
      <xdr:rowOff>161925</xdr:rowOff>
    </xdr:to>
    <xdr:graphicFrame macro="">
      <xdr:nvGraphicFramePr>
        <xdr:cNvPr id="21" name="Chart 4">
          <a:extLst>
            <a:ext uri="{FF2B5EF4-FFF2-40B4-BE49-F238E27FC236}">
              <a16:creationId xmlns:a16="http://schemas.microsoft.com/office/drawing/2014/main" xmlns="" id="{00000000-0008-0000-0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28573</xdr:colOff>
      <xdr:row>34</xdr:row>
      <xdr:rowOff>6351</xdr:rowOff>
    </xdr:from>
    <xdr:to>
      <xdr:col>10</xdr:col>
      <xdr:colOff>838199</xdr:colOff>
      <xdr:row>44</xdr:row>
      <xdr:rowOff>47625</xdr:rowOff>
    </xdr:to>
    <xdr:graphicFrame macro="">
      <xdr:nvGraphicFramePr>
        <xdr:cNvPr id="2" name="Chart 4">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70</xdr:row>
      <xdr:rowOff>0</xdr:rowOff>
    </xdr:from>
    <xdr:to>
      <xdr:col>2</xdr:col>
      <xdr:colOff>590550</xdr:colOff>
      <xdr:row>78</xdr:row>
      <xdr:rowOff>152400</xdr:rowOff>
    </xdr:to>
    <xdr:graphicFrame macro="">
      <xdr:nvGraphicFramePr>
        <xdr:cNvPr id="3" name="Chart 3">
          <a:extLst>
            <a:ext uri="{FF2B5EF4-FFF2-40B4-BE49-F238E27FC236}">
              <a16:creationId xmlns:a16="http://schemas.microsoft.com/office/drawing/2014/main" xmlns=""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69</xdr:row>
      <xdr:rowOff>190499</xdr:rowOff>
    </xdr:from>
    <xdr:to>
      <xdr:col>10</xdr:col>
      <xdr:colOff>838200</xdr:colOff>
      <xdr:row>79</xdr:row>
      <xdr:rowOff>180974</xdr:rowOff>
    </xdr:to>
    <xdr:graphicFrame macro="">
      <xdr:nvGraphicFramePr>
        <xdr:cNvPr id="4" name="Chart 4">
          <a:extLst>
            <a:ext uri="{FF2B5EF4-FFF2-40B4-BE49-F238E27FC236}">
              <a16:creationId xmlns:a16="http://schemas.microsoft.com/office/drawing/2014/main" xmlns=""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105</xdr:row>
      <xdr:rowOff>123825</xdr:rowOff>
    </xdr:from>
    <xdr:to>
      <xdr:col>10</xdr:col>
      <xdr:colOff>838200</xdr:colOff>
      <xdr:row>115</xdr:row>
      <xdr:rowOff>123824</xdr:rowOff>
    </xdr:to>
    <xdr:graphicFrame macro="">
      <xdr:nvGraphicFramePr>
        <xdr:cNvPr id="5" name="Chart 4">
          <a:extLst>
            <a:ext uri="{FF2B5EF4-FFF2-40B4-BE49-F238E27FC236}">
              <a16:creationId xmlns:a16="http://schemas.microsoft.com/office/drawing/2014/main" xmlns=""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143</xdr:row>
      <xdr:rowOff>38099</xdr:rowOff>
    </xdr:from>
    <xdr:to>
      <xdr:col>10</xdr:col>
      <xdr:colOff>828675</xdr:colOff>
      <xdr:row>154</xdr:row>
      <xdr:rowOff>28574</xdr:rowOff>
    </xdr:to>
    <xdr:graphicFrame macro="">
      <xdr:nvGraphicFramePr>
        <xdr:cNvPr id="6" name="Chart 4">
          <a:extLst>
            <a:ext uri="{FF2B5EF4-FFF2-40B4-BE49-F238E27FC236}">
              <a16:creationId xmlns:a16="http://schemas.microsoft.com/office/drawing/2014/main" xmlns=""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28576</xdr:colOff>
      <xdr:row>386</xdr:row>
      <xdr:rowOff>66674</xdr:rowOff>
    </xdr:from>
    <xdr:to>
      <xdr:col>10</xdr:col>
      <xdr:colOff>790575</xdr:colOff>
      <xdr:row>396</xdr:row>
      <xdr:rowOff>180975</xdr:rowOff>
    </xdr:to>
    <xdr:graphicFrame macro="">
      <xdr:nvGraphicFramePr>
        <xdr:cNvPr id="13" name="Chart 4">
          <a:extLst>
            <a:ext uri="{FF2B5EF4-FFF2-40B4-BE49-F238E27FC236}">
              <a16:creationId xmlns:a16="http://schemas.microsoft.com/office/drawing/2014/main" xmlns=""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426</xdr:row>
      <xdr:rowOff>152399</xdr:rowOff>
    </xdr:from>
    <xdr:to>
      <xdr:col>10</xdr:col>
      <xdr:colOff>781050</xdr:colOff>
      <xdr:row>436</xdr:row>
      <xdr:rowOff>142874</xdr:rowOff>
    </xdr:to>
    <xdr:graphicFrame macro="">
      <xdr:nvGraphicFramePr>
        <xdr:cNvPr id="14" name="Chart 4">
          <a:extLst>
            <a:ext uri="{FF2B5EF4-FFF2-40B4-BE49-F238E27FC236}">
              <a16:creationId xmlns:a16="http://schemas.microsoft.com/office/drawing/2014/main" xmlns=""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228599</xdr:colOff>
      <xdr:row>471</xdr:row>
      <xdr:rowOff>0</xdr:rowOff>
    </xdr:from>
    <xdr:to>
      <xdr:col>10</xdr:col>
      <xdr:colOff>838200</xdr:colOff>
      <xdr:row>479</xdr:row>
      <xdr:rowOff>152400</xdr:rowOff>
    </xdr:to>
    <xdr:graphicFrame macro="">
      <xdr:nvGraphicFramePr>
        <xdr:cNvPr id="15" name="Chart 4">
          <a:extLst>
            <a:ext uri="{FF2B5EF4-FFF2-40B4-BE49-F238E27FC236}">
              <a16:creationId xmlns:a16="http://schemas.microsoft.com/office/drawing/2014/main" xmlns=""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12699</xdr:colOff>
      <xdr:row>517</xdr:row>
      <xdr:rowOff>82549</xdr:rowOff>
    </xdr:from>
    <xdr:to>
      <xdr:col>10</xdr:col>
      <xdr:colOff>828675</xdr:colOff>
      <xdr:row>527</xdr:row>
      <xdr:rowOff>133350</xdr:rowOff>
    </xdr:to>
    <xdr:graphicFrame macro="">
      <xdr:nvGraphicFramePr>
        <xdr:cNvPr id="17" name="Chart 4">
          <a:extLst>
            <a:ext uri="{FF2B5EF4-FFF2-40B4-BE49-F238E27FC236}">
              <a16:creationId xmlns:a16="http://schemas.microsoft.com/office/drawing/2014/main" xmlns=""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238125</xdr:colOff>
      <xdr:row>556</xdr:row>
      <xdr:rowOff>152399</xdr:rowOff>
    </xdr:from>
    <xdr:to>
      <xdr:col>10</xdr:col>
      <xdr:colOff>800100</xdr:colOff>
      <xdr:row>566</xdr:row>
      <xdr:rowOff>152399</xdr:rowOff>
    </xdr:to>
    <xdr:graphicFrame macro="">
      <xdr:nvGraphicFramePr>
        <xdr:cNvPr id="19" name="Chart 4">
          <a:extLst>
            <a:ext uri="{FF2B5EF4-FFF2-40B4-BE49-F238E27FC236}">
              <a16:creationId xmlns:a16="http://schemas.microsoft.com/office/drawing/2014/main" xmlns=""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228601</xdr:colOff>
      <xdr:row>596</xdr:row>
      <xdr:rowOff>9524</xdr:rowOff>
    </xdr:from>
    <xdr:to>
      <xdr:col>10</xdr:col>
      <xdr:colOff>781050</xdr:colOff>
      <xdr:row>605</xdr:row>
      <xdr:rowOff>142875</xdr:rowOff>
    </xdr:to>
    <xdr:graphicFrame macro="">
      <xdr:nvGraphicFramePr>
        <xdr:cNvPr id="21" name="Chart 4">
          <a:extLst>
            <a:ext uri="{FF2B5EF4-FFF2-40B4-BE49-F238E27FC236}">
              <a16:creationId xmlns:a16="http://schemas.microsoft.com/office/drawing/2014/main" xmlns="" id="{00000000-0008-0000-06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9526</xdr:colOff>
      <xdr:row>635</xdr:row>
      <xdr:rowOff>28574</xdr:rowOff>
    </xdr:from>
    <xdr:to>
      <xdr:col>10</xdr:col>
      <xdr:colOff>809625</xdr:colOff>
      <xdr:row>644</xdr:row>
      <xdr:rowOff>95249</xdr:rowOff>
    </xdr:to>
    <xdr:graphicFrame macro="">
      <xdr:nvGraphicFramePr>
        <xdr:cNvPr id="22" name="Chart 4">
          <a:extLst>
            <a:ext uri="{FF2B5EF4-FFF2-40B4-BE49-F238E27FC236}">
              <a16:creationId xmlns:a16="http://schemas.microsoft.com/office/drawing/2014/main" xmlns="" id="{00000000-0008-0000-06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247649</xdr:colOff>
      <xdr:row>294</xdr:row>
      <xdr:rowOff>95249</xdr:rowOff>
    </xdr:from>
    <xdr:to>
      <xdr:col>10</xdr:col>
      <xdr:colOff>790575</xdr:colOff>
      <xdr:row>304</xdr:row>
      <xdr:rowOff>38099</xdr:rowOff>
    </xdr:to>
    <xdr:graphicFrame macro="">
      <xdr:nvGraphicFramePr>
        <xdr:cNvPr id="27" name="Chart 4">
          <a:extLst>
            <a:ext uri="{FF2B5EF4-FFF2-40B4-BE49-F238E27FC236}">
              <a16:creationId xmlns:a16="http://schemas.microsoft.com/office/drawing/2014/main" xmlns="" id="{00000000-0008-0000-06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238125</xdr:colOff>
      <xdr:row>187</xdr:row>
      <xdr:rowOff>114300</xdr:rowOff>
    </xdr:from>
    <xdr:to>
      <xdr:col>10</xdr:col>
      <xdr:colOff>800100</xdr:colOff>
      <xdr:row>199</xdr:row>
      <xdr:rowOff>47625</xdr:rowOff>
    </xdr:to>
    <xdr:graphicFrame macro="">
      <xdr:nvGraphicFramePr>
        <xdr:cNvPr id="28" name="Chart 4">
          <a:extLst>
            <a:ext uri="{FF2B5EF4-FFF2-40B4-BE49-F238E27FC236}">
              <a16:creationId xmlns:a16="http://schemas.microsoft.com/office/drawing/2014/main" xmlns="" id="{00000000-0008-0000-06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257</xdr:row>
      <xdr:rowOff>0</xdr:rowOff>
    </xdr:from>
    <xdr:to>
      <xdr:col>10</xdr:col>
      <xdr:colOff>809625</xdr:colOff>
      <xdr:row>266</xdr:row>
      <xdr:rowOff>161925</xdr:rowOff>
    </xdr:to>
    <xdr:graphicFrame macro="">
      <xdr:nvGraphicFramePr>
        <xdr:cNvPr id="29" name="Chart 4">
          <a:extLst>
            <a:ext uri="{FF2B5EF4-FFF2-40B4-BE49-F238E27FC236}">
              <a16:creationId xmlns:a16="http://schemas.microsoft.com/office/drawing/2014/main" xmlns="" id="{00000000-0008-0000-06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340</xdr:row>
      <xdr:rowOff>0</xdr:rowOff>
    </xdr:from>
    <xdr:to>
      <xdr:col>10</xdr:col>
      <xdr:colOff>790576</xdr:colOff>
      <xdr:row>349</xdr:row>
      <xdr:rowOff>133350</xdr:rowOff>
    </xdr:to>
    <xdr:graphicFrame macro="">
      <xdr:nvGraphicFramePr>
        <xdr:cNvPr id="30" name="Chart 4">
          <a:extLst>
            <a:ext uri="{FF2B5EF4-FFF2-40B4-BE49-F238E27FC236}">
              <a16:creationId xmlns:a16="http://schemas.microsoft.com/office/drawing/2014/main" xmlns="" id="{00000000-0008-0000-06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28573</xdr:colOff>
      <xdr:row>725</xdr:row>
      <xdr:rowOff>6351</xdr:rowOff>
    </xdr:from>
    <xdr:to>
      <xdr:col>10</xdr:col>
      <xdr:colOff>838199</xdr:colOff>
      <xdr:row>735</xdr:row>
      <xdr:rowOff>47625</xdr:rowOff>
    </xdr:to>
    <xdr:graphicFrame macro="">
      <xdr:nvGraphicFramePr>
        <xdr:cNvPr id="31" name="Chart 4">
          <a:extLst>
            <a:ext uri="{FF2B5EF4-FFF2-40B4-BE49-F238E27FC236}">
              <a16:creationId xmlns:a16="http://schemas.microsoft.com/office/drawing/2014/main" xmlns="" id="{00000000-0008-0000-06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12699</xdr:colOff>
      <xdr:row>772</xdr:row>
      <xdr:rowOff>82549</xdr:rowOff>
    </xdr:from>
    <xdr:to>
      <xdr:col>10</xdr:col>
      <xdr:colOff>828675</xdr:colOff>
      <xdr:row>783</xdr:row>
      <xdr:rowOff>50800</xdr:rowOff>
    </xdr:to>
    <xdr:graphicFrame macro="">
      <xdr:nvGraphicFramePr>
        <xdr:cNvPr id="33" name="Chart 4">
          <a:extLst>
            <a:ext uri="{FF2B5EF4-FFF2-40B4-BE49-F238E27FC236}">
              <a16:creationId xmlns:a16="http://schemas.microsoft.com/office/drawing/2014/main" xmlns="" id="{00000000-0008-0000-06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228599</xdr:colOff>
      <xdr:row>819</xdr:row>
      <xdr:rowOff>95250</xdr:rowOff>
    </xdr:from>
    <xdr:to>
      <xdr:col>10</xdr:col>
      <xdr:colOff>838200</xdr:colOff>
      <xdr:row>828</xdr:row>
      <xdr:rowOff>85725</xdr:rowOff>
    </xdr:to>
    <xdr:graphicFrame macro="">
      <xdr:nvGraphicFramePr>
        <xdr:cNvPr id="34" name="Chart 4">
          <a:extLst>
            <a:ext uri="{FF2B5EF4-FFF2-40B4-BE49-F238E27FC236}">
              <a16:creationId xmlns:a16="http://schemas.microsoft.com/office/drawing/2014/main" xmlns="" id="{00000000-0008-0000-06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9526</xdr:colOff>
      <xdr:row>671</xdr:row>
      <xdr:rowOff>28574</xdr:rowOff>
    </xdr:from>
    <xdr:to>
      <xdr:col>10</xdr:col>
      <xdr:colOff>809625</xdr:colOff>
      <xdr:row>680</xdr:row>
      <xdr:rowOff>95249</xdr:rowOff>
    </xdr:to>
    <xdr:graphicFrame macro="">
      <xdr:nvGraphicFramePr>
        <xdr:cNvPr id="44" name="Chart 4">
          <a:extLst>
            <a:ext uri="{FF2B5EF4-FFF2-40B4-BE49-F238E27FC236}">
              <a16:creationId xmlns:a16="http://schemas.microsoft.com/office/drawing/2014/main" xmlns="" id="{00000000-0008-0000-06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73"/>
  <sheetViews>
    <sheetView zoomScale="75" zoomScaleNormal="75" zoomScaleSheetLayoutView="85" workbookViewId="0">
      <selection activeCell="G44" sqref="G44"/>
    </sheetView>
  </sheetViews>
  <sheetFormatPr defaultColWidth="10.42578125" defaultRowHeight="15"/>
  <cols>
    <col min="1" max="1" width="3.7109375" style="1" customWidth="1"/>
    <col min="2" max="2" width="25.5703125" style="1" customWidth="1"/>
    <col min="3" max="11" width="12.7109375" style="1" customWidth="1"/>
    <col min="12" max="16384" width="10.42578125" style="1"/>
  </cols>
  <sheetData>
    <row r="1" spans="1:11" s="62" customFormat="1" ht="24" customHeight="1">
      <c r="B1" s="883" t="s">
        <v>735</v>
      </c>
      <c r="C1" s="883"/>
      <c r="D1" s="883"/>
      <c r="E1" s="883"/>
      <c r="F1" s="883"/>
      <c r="G1" s="883"/>
      <c r="H1" s="883"/>
      <c r="I1" s="883"/>
      <c r="J1" s="883"/>
      <c r="K1" s="883"/>
    </row>
    <row r="2" spans="1:11" s="62" customFormat="1" ht="24" customHeight="1">
      <c r="B2" s="884" t="s">
        <v>736</v>
      </c>
      <c r="C2" s="884"/>
      <c r="D2" s="884"/>
      <c r="E2" s="884"/>
      <c r="F2" s="884"/>
      <c r="G2" s="884"/>
      <c r="H2" s="884"/>
      <c r="I2" s="884"/>
      <c r="J2" s="884"/>
      <c r="K2" s="884"/>
    </row>
    <row r="3" spans="1:11" s="62" customFormat="1" ht="24" customHeight="1">
      <c r="B3" s="883" t="s">
        <v>1310</v>
      </c>
      <c r="C3" s="883"/>
      <c r="D3" s="883"/>
      <c r="E3" s="883"/>
      <c r="F3" s="883"/>
      <c r="G3" s="883"/>
      <c r="H3" s="883"/>
      <c r="I3" s="883"/>
      <c r="J3" s="883"/>
      <c r="K3" s="883"/>
    </row>
    <row r="4" spans="1:11" ht="15" customHeight="1">
      <c r="A4" s="63"/>
    </row>
    <row r="5" spans="1:11" ht="15" customHeight="1">
      <c r="A5" s="63"/>
      <c r="B5" s="63"/>
      <c r="C5" s="64"/>
      <c r="D5" s="65"/>
      <c r="E5" s="65" t="s">
        <v>834</v>
      </c>
    </row>
    <row r="6" spans="1:11" ht="15" customHeight="1">
      <c r="C6" s="64" t="s">
        <v>243</v>
      </c>
      <c r="D6" s="64" t="s">
        <v>244</v>
      </c>
      <c r="E6" s="65" t="s">
        <v>679</v>
      </c>
      <c r="F6" s="65" t="s">
        <v>834</v>
      </c>
      <c r="G6" s="65" t="s">
        <v>915</v>
      </c>
      <c r="H6" s="65" t="s">
        <v>946</v>
      </c>
      <c r="I6" s="65" t="s">
        <v>947</v>
      </c>
      <c r="J6" s="65" t="s">
        <v>948</v>
      </c>
      <c r="K6" s="65" t="s">
        <v>949</v>
      </c>
    </row>
    <row r="7" spans="1:11" ht="15" customHeight="1" thickBot="1">
      <c r="B7" s="66" t="s">
        <v>737</v>
      </c>
      <c r="C7" s="67" t="s">
        <v>1</v>
      </c>
      <c r="D7" s="67" t="s">
        <v>1</v>
      </c>
      <c r="E7" s="67" t="s">
        <v>638</v>
      </c>
      <c r="F7" s="67" t="s">
        <v>19</v>
      </c>
      <c r="G7" s="67" t="s">
        <v>679</v>
      </c>
      <c r="H7" s="67" t="s">
        <v>19</v>
      </c>
      <c r="I7" s="67" t="s">
        <v>19</v>
      </c>
      <c r="J7" s="67" t="s">
        <v>19</v>
      </c>
      <c r="K7" s="67" t="s">
        <v>19</v>
      </c>
    </row>
    <row r="8" spans="1:11" ht="15" customHeight="1">
      <c r="B8" s="68"/>
      <c r="C8" s="69"/>
      <c r="D8" s="69"/>
      <c r="E8" s="69"/>
      <c r="F8" s="69"/>
      <c r="G8" s="69"/>
      <c r="H8" s="69"/>
      <c r="I8" s="69"/>
      <c r="J8" s="69"/>
    </row>
    <row r="9" spans="1:11" ht="24" customHeight="1">
      <c r="A9" s="70" t="s">
        <v>738</v>
      </c>
      <c r="C9" s="2">
        <f>'Budget Detail FY 2016-23'!L56</f>
        <v>14529786</v>
      </c>
      <c r="D9" s="2">
        <f>'Budget Detail FY 2016-23'!M56</f>
        <v>15010788</v>
      </c>
      <c r="E9" s="2">
        <f>'Budget Detail FY 2016-23'!N56</f>
        <v>15137621</v>
      </c>
      <c r="F9" s="2">
        <f>'Budget Detail FY 2016-23'!O56</f>
        <v>15309222</v>
      </c>
      <c r="G9" s="2">
        <f>'Budget Detail FY 2016-23'!P56</f>
        <v>15642962</v>
      </c>
      <c r="H9" s="2">
        <f>'Budget Detail FY 2016-23'!Q56</f>
        <v>15869067</v>
      </c>
      <c r="I9" s="2">
        <f>'Budget Detail FY 2016-23'!R56</f>
        <v>16130566</v>
      </c>
      <c r="J9" s="2">
        <f>'Budget Detail FY 2016-23'!S56</f>
        <v>16398537</v>
      </c>
      <c r="K9" s="2">
        <f>'Budget Detail FY 2016-23'!T56</f>
        <v>16550555</v>
      </c>
    </row>
    <row r="10" spans="1:11" ht="15" customHeight="1">
      <c r="A10" s="70"/>
      <c r="C10" s="2"/>
      <c r="D10" s="2"/>
      <c r="E10" s="2"/>
      <c r="F10" s="2"/>
      <c r="G10" s="2"/>
      <c r="H10" s="2"/>
      <c r="I10" s="2"/>
      <c r="J10" s="2"/>
      <c r="K10" s="2"/>
    </row>
    <row r="11" spans="1:11" ht="24" customHeight="1">
      <c r="A11" s="70" t="s">
        <v>739</v>
      </c>
      <c r="C11" s="2"/>
      <c r="D11" s="2"/>
      <c r="E11" s="2"/>
      <c r="F11" s="2"/>
      <c r="G11" s="2"/>
      <c r="H11" s="2"/>
      <c r="I11" s="2"/>
      <c r="J11" s="2"/>
      <c r="K11" s="2"/>
    </row>
    <row r="12" spans="1:11" ht="24" customHeight="1">
      <c r="A12" s="70"/>
      <c r="B12" s="1" t="s">
        <v>665</v>
      </c>
      <c r="C12" s="2">
        <f>'Budget Detail FY 2016-23'!L332</f>
        <v>600899</v>
      </c>
      <c r="D12" s="2">
        <f>'Budget Detail FY 2016-23'!M332</f>
        <v>508122</v>
      </c>
      <c r="E12" s="2">
        <f>'Budget Detail FY 2016-23'!N332</f>
        <v>494116</v>
      </c>
      <c r="F12" s="2">
        <f>'Budget Detail FY 2016-23'!O332</f>
        <v>506819</v>
      </c>
      <c r="G12" s="2">
        <f>'Budget Detail FY 2016-23'!P332</f>
        <v>535817</v>
      </c>
      <c r="H12" s="2">
        <f>'Budget Detail FY 2016-23'!Q332</f>
        <v>543613</v>
      </c>
      <c r="I12" s="2">
        <f>'Budget Detail FY 2016-23'!R332</f>
        <v>551605</v>
      </c>
      <c r="J12" s="2">
        <f>'Budget Detail FY 2016-23'!S332</f>
        <v>560797</v>
      </c>
      <c r="K12" s="2">
        <f>'Budget Detail FY 2016-23'!T332</f>
        <v>571193</v>
      </c>
    </row>
    <row r="13" spans="1:11" ht="24" customHeight="1">
      <c r="A13" s="71"/>
      <c r="B13" s="68" t="s">
        <v>740</v>
      </c>
      <c r="C13" s="72">
        <f>'Budget Detail FY 2016-23'!L805</f>
        <v>1718263</v>
      </c>
      <c r="D13" s="72">
        <f>'Budget Detail FY 2016-23'!M805</f>
        <v>1787614</v>
      </c>
      <c r="E13" s="72">
        <f>'Budget Detail FY 2016-23'!N805</f>
        <v>1899933</v>
      </c>
      <c r="F13" s="72">
        <f>'Budget Detail FY 2016-23'!O805</f>
        <v>1987762</v>
      </c>
      <c r="G13" s="72">
        <f>'Budget Detail FY 2016-23'!P805</f>
        <v>1988014</v>
      </c>
      <c r="H13" s="72">
        <f>'Budget Detail FY 2016-23'!Q805</f>
        <v>2111927</v>
      </c>
      <c r="I13" s="72">
        <f>'Budget Detail FY 2016-23'!R805</f>
        <v>2170610</v>
      </c>
      <c r="J13" s="72">
        <f>'Budget Detail FY 2016-23'!S805</f>
        <v>2230096</v>
      </c>
      <c r="K13" s="72">
        <f>'Budget Detail FY 2016-23'!T805</f>
        <v>2303420</v>
      </c>
    </row>
    <row r="14" spans="1:11" ht="24" customHeight="1">
      <c r="A14" s="71"/>
      <c r="B14" s="68" t="s">
        <v>552</v>
      </c>
      <c r="C14" s="72">
        <f>'Budget Detail FY 2016-23'!L769</f>
        <v>125532</v>
      </c>
      <c r="D14" s="72">
        <f>'Budget Detail FY 2016-23'!M769</f>
        <v>130863</v>
      </c>
      <c r="E14" s="72">
        <f>'Budget Detail FY 2016-23'!N769</f>
        <v>90500</v>
      </c>
      <c r="F14" s="72">
        <f>'Budget Detail FY 2016-23'!O769</f>
        <v>213762</v>
      </c>
      <c r="G14" s="72">
        <f>'Budget Detail FY 2016-23'!P769</f>
        <v>714113</v>
      </c>
      <c r="H14" s="72">
        <f>'Budget Detail FY 2016-23'!Q769</f>
        <v>11638</v>
      </c>
      <c r="I14" s="72">
        <f>'Budget Detail FY 2016-23'!R769</f>
        <v>0</v>
      </c>
      <c r="J14" s="72">
        <f>'Budget Detail FY 2016-23'!S769</f>
        <v>0</v>
      </c>
      <c r="K14" s="72">
        <f>'Budget Detail FY 2016-23'!T769</f>
        <v>0</v>
      </c>
    </row>
    <row r="15" spans="1:11" ht="24" customHeight="1">
      <c r="A15" s="71"/>
      <c r="B15" s="68" t="s">
        <v>475</v>
      </c>
      <c r="C15" s="72">
        <f>'Budget Detail FY 2016-23'!L977</f>
        <v>1741077</v>
      </c>
      <c r="D15" s="72">
        <f>'Budget Detail FY 2016-23'!M977</f>
        <v>215360</v>
      </c>
      <c r="E15" s="72">
        <f>'Budget Detail FY 2016-23'!N977</f>
        <v>225000</v>
      </c>
      <c r="F15" s="72">
        <f>'Budget Detail FY 2016-23'!O977</f>
        <v>198294</v>
      </c>
      <c r="G15" s="72">
        <f>'Budget Detail FY 2016-23'!P977</f>
        <v>246261</v>
      </c>
      <c r="H15" s="72">
        <f>'Budget Detail FY 2016-23'!Q977</f>
        <v>268732</v>
      </c>
      <c r="I15" s="72">
        <f>'Budget Detail FY 2016-23'!R977</f>
        <v>442258</v>
      </c>
      <c r="J15" s="72">
        <f>'Budget Detail FY 2016-23'!S977</f>
        <v>455526</v>
      </c>
      <c r="K15" s="72">
        <f>'Budget Detail FY 2016-23'!T977</f>
        <v>469192</v>
      </c>
    </row>
    <row r="16" spans="1:11" ht="24" customHeight="1">
      <c r="A16" s="71"/>
      <c r="B16" s="68" t="s">
        <v>479</v>
      </c>
      <c r="C16" s="72">
        <f>'Budget Detail FY 2016-23'!L1008</f>
        <v>69107</v>
      </c>
      <c r="D16" s="72">
        <f>'Budget Detail FY 2016-23'!M1008</f>
        <v>68763</v>
      </c>
      <c r="E16" s="72">
        <f>'Budget Detail FY 2016-23'!N1008</f>
        <v>70000</v>
      </c>
      <c r="F16" s="72">
        <f>'Budget Detail FY 2016-23'!O1008</f>
        <v>76186</v>
      </c>
      <c r="G16" s="72">
        <f>'Budget Detail FY 2016-23'!P1008</f>
        <v>130536</v>
      </c>
      <c r="H16" s="72">
        <f>'Budget Detail FY 2016-23'!Q1008</f>
        <v>125432</v>
      </c>
      <c r="I16" s="72">
        <f>'Budget Detail FY 2016-23'!R1008</f>
        <v>85000</v>
      </c>
      <c r="J16" s="72">
        <f>'Budget Detail FY 2016-23'!S1008</f>
        <v>90000</v>
      </c>
      <c r="K16" s="72">
        <f>'Budget Detail FY 2016-23'!T1008</f>
        <v>90000</v>
      </c>
    </row>
    <row r="17" spans="1:11" ht="24" customHeight="1">
      <c r="A17" s="71"/>
      <c r="B17" s="68" t="s">
        <v>1330</v>
      </c>
      <c r="C17" s="72">
        <f>'Fund Cover Sheets'!C660</f>
        <v>0</v>
      </c>
      <c r="D17" s="72">
        <f>'Fund Cover Sheets'!D660</f>
        <v>0</v>
      </c>
      <c r="E17" s="72">
        <f>'Fund Cover Sheets'!E660</f>
        <v>0</v>
      </c>
      <c r="F17" s="72">
        <f>'Fund Cover Sheets'!F660</f>
        <v>0</v>
      </c>
      <c r="G17" s="72">
        <f>'Fund Cover Sheets'!G660</f>
        <v>0</v>
      </c>
      <c r="H17" s="72">
        <f>'Fund Cover Sheets'!H660</f>
        <v>0</v>
      </c>
      <c r="I17" s="72">
        <f>'Fund Cover Sheets'!I660</f>
        <v>0</v>
      </c>
      <c r="J17" s="72">
        <f>'Fund Cover Sheets'!J660</f>
        <v>0</v>
      </c>
      <c r="K17" s="72">
        <f>'Fund Cover Sheets'!K660</f>
        <v>0</v>
      </c>
    </row>
    <row r="18" spans="1:11" ht="24" customHeight="1">
      <c r="A18" s="71"/>
      <c r="B18" s="68" t="s">
        <v>741</v>
      </c>
      <c r="C18" s="72">
        <f>'Budget Detail FY 2016-23'!L290</f>
        <v>7072</v>
      </c>
      <c r="D18" s="72">
        <f>'Budget Detail FY 2016-23'!M290</f>
        <v>29263</v>
      </c>
      <c r="E18" s="72">
        <f>'Budget Detail FY 2016-23'!N290</f>
        <v>9365</v>
      </c>
      <c r="F18" s="72">
        <f>'Budget Detail FY 2016-23'!O290</f>
        <v>9366</v>
      </c>
      <c r="G18" s="72">
        <f>'Budget Detail FY 2016-23'!P290</f>
        <v>13381</v>
      </c>
      <c r="H18" s="72">
        <f>'Budget Detail FY 2016-23'!Q290</f>
        <v>13381</v>
      </c>
      <c r="I18" s="72">
        <f>'Budget Detail FY 2016-23'!R290</f>
        <v>13381</v>
      </c>
      <c r="J18" s="72">
        <f>'Budget Detail FY 2016-23'!S290</f>
        <v>13381</v>
      </c>
      <c r="K18" s="72">
        <f>'Budget Detail FY 2016-23'!T290</f>
        <v>13381</v>
      </c>
    </row>
    <row r="19" spans="1:11" ht="24" customHeight="1">
      <c r="A19" s="71"/>
      <c r="B19" s="68" t="s">
        <v>742</v>
      </c>
      <c r="C19" s="2">
        <f>'Budget Detail FY 2016-23'!L308</f>
        <v>18609</v>
      </c>
      <c r="D19" s="2">
        <f>'Budget Detail FY 2016-23'!M308</f>
        <v>20456</v>
      </c>
      <c r="E19" s="2">
        <f>'Budget Detail FY 2016-23'!N308</f>
        <v>13480</v>
      </c>
      <c r="F19" s="2">
        <f>'Budget Detail FY 2016-23'!O308</f>
        <v>13480</v>
      </c>
      <c r="G19" s="2">
        <f>'Budget Detail FY 2016-23'!P308</f>
        <v>15637</v>
      </c>
      <c r="H19" s="2">
        <f>'Budget Detail FY 2016-23'!Q308</f>
        <v>18139</v>
      </c>
      <c r="I19" s="2">
        <f>'Budget Detail FY 2016-23'!R308</f>
        <v>21303</v>
      </c>
      <c r="J19" s="2">
        <f>'Budget Detail FY 2016-23'!S308</f>
        <v>21303</v>
      </c>
      <c r="K19" s="2">
        <f>'Budget Detail FY 2016-23'!T308</f>
        <v>21303</v>
      </c>
    </row>
    <row r="20" spans="1:11" ht="15" customHeight="1">
      <c r="A20" s="71"/>
      <c r="B20" s="68"/>
      <c r="C20" s="2"/>
      <c r="D20" s="2"/>
      <c r="E20" s="2"/>
      <c r="F20" s="2"/>
      <c r="G20" s="2"/>
      <c r="H20" s="2"/>
      <c r="I20" s="2"/>
      <c r="J20" s="2"/>
      <c r="K20" s="2"/>
    </row>
    <row r="21" spans="1:11" ht="24" customHeight="1">
      <c r="A21" s="70" t="s">
        <v>743</v>
      </c>
      <c r="B21" s="63"/>
      <c r="C21" s="2">
        <f>'Budget Detail FY 2016-23'!L535</f>
        <v>306387</v>
      </c>
      <c r="D21" s="2">
        <f>'Budget Detail FY 2016-23'!M535</f>
        <v>321064</v>
      </c>
      <c r="E21" s="2">
        <f>'Budget Detail FY 2016-23'!N535</f>
        <v>320225</v>
      </c>
      <c r="F21" s="2">
        <f>'Budget Detail FY 2016-23'!O535</f>
        <v>320225</v>
      </c>
      <c r="G21" s="2">
        <f>'Budget Detail FY 2016-23'!P535</f>
        <v>324725</v>
      </c>
      <c r="H21" s="2">
        <f>'Budget Detail FY 2016-23'!Q535</f>
        <v>324025</v>
      </c>
      <c r="I21" s="2">
        <f>'Budget Detail FY 2016-23'!R535</f>
        <v>323225</v>
      </c>
      <c r="J21" s="2">
        <f>'Budget Detail FY 2016-23'!S535</f>
        <v>329375</v>
      </c>
      <c r="K21" s="2">
        <f>'Budget Detail FY 2016-23'!T535</f>
        <v>330075</v>
      </c>
    </row>
    <row r="22" spans="1:11" ht="15" customHeight="1">
      <c r="A22" s="70"/>
      <c r="B22" s="63"/>
      <c r="C22" s="2"/>
      <c r="D22" s="2"/>
      <c r="E22" s="2"/>
      <c r="F22" s="2"/>
      <c r="G22" s="2"/>
      <c r="H22" s="2"/>
      <c r="I22" s="2"/>
      <c r="J22" s="2"/>
      <c r="K22" s="2"/>
    </row>
    <row r="23" spans="1:11" ht="24" customHeight="1">
      <c r="A23" s="70" t="s">
        <v>744</v>
      </c>
      <c r="B23" s="63"/>
      <c r="C23" s="72"/>
      <c r="D23" s="72"/>
      <c r="E23" s="72"/>
      <c r="F23" s="72"/>
      <c r="G23" s="72"/>
      <c r="H23" s="72"/>
      <c r="I23" s="72"/>
      <c r="J23" s="72"/>
      <c r="K23" s="72"/>
    </row>
    <row r="24" spans="1:11" ht="24" customHeight="1">
      <c r="A24" s="71"/>
      <c r="B24" s="68" t="s">
        <v>868</v>
      </c>
      <c r="C24" s="2">
        <f>'Budget Detail FY 2016-23'!L471</f>
        <v>528026</v>
      </c>
      <c r="D24" s="2">
        <f>'Budget Detail FY 2016-23'!M471</f>
        <v>637389</v>
      </c>
      <c r="E24" s="2">
        <f>'Budget Detail FY 2016-23'!N471</f>
        <v>329845</v>
      </c>
      <c r="F24" s="2">
        <f>'Budget Detail FY 2016-23'!O471</f>
        <v>390549</v>
      </c>
      <c r="G24" s="2">
        <f>'Budget Detail FY 2016-23'!P471</f>
        <v>237311</v>
      </c>
      <c r="H24" s="2">
        <f>'Budget Detail FY 2016-23'!Q471</f>
        <v>166978</v>
      </c>
      <c r="I24" s="2">
        <f>'Budget Detail FY 2016-23'!R471</f>
        <v>166546</v>
      </c>
      <c r="J24" s="2">
        <f>'Budget Detail FY 2016-23'!S471</f>
        <v>170812</v>
      </c>
      <c r="K24" s="2">
        <f>'Budget Detail FY 2016-23'!T471</f>
        <v>191123</v>
      </c>
    </row>
    <row r="25" spans="1:11" ht="24" customHeight="1">
      <c r="A25" s="71"/>
      <c r="B25" s="68" t="s">
        <v>746</v>
      </c>
      <c r="C25" s="72">
        <f>'Budget Detail FY 2016-23'!L384</f>
        <v>1588515</v>
      </c>
      <c r="D25" s="72">
        <f>'Budget Detail FY 2016-23'!M384</f>
        <v>1726285</v>
      </c>
      <c r="E25" s="72">
        <f>'Budget Detail FY 2016-23'!N384</f>
        <v>2705765</v>
      </c>
      <c r="F25" s="72">
        <f>'Budget Detail FY 2016-23'!O384</f>
        <v>2833961</v>
      </c>
      <c r="G25" s="72">
        <f>'Budget Detail FY 2016-23'!P384</f>
        <v>2183577</v>
      </c>
      <c r="H25" s="72">
        <f>'Budget Detail FY 2016-23'!Q384</f>
        <v>834549</v>
      </c>
      <c r="I25" s="72">
        <f>'Budget Detail FY 2016-23'!R384</f>
        <v>834549</v>
      </c>
      <c r="J25" s="72">
        <f>'Budget Detail FY 2016-23'!S384</f>
        <v>832000</v>
      </c>
      <c r="K25" s="72">
        <f>'Budget Detail FY 2016-23'!T384</f>
        <v>1003600</v>
      </c>
    </row>
    <row r="26" spans="1:11" ht="15" customHeight="1">
      <c r="A26" s="71"/>
      <c r="B26" s="68"/>
      <c r="C26" s="72"/>
      <c r="D26" s="72"/>
      <c r="E26" s="72"/>
      <c r="F26" s="72"/>
      <c r="G26" s="72"/>
      <c r="H26" s="72"/>
      <c r="I26" s="72"/>
      <c r="J26" s="72"/>
      <c r="K26" s="72"/>
    </row>
    <row r="27" spans="1:11" ht="24" customHeight="1">
      <c r="A27" s="70" t="s">
        <v>747</v>
      </c>
      <c r="B27" s="68"/>
      <c r="C27" s="2"/>
      <c r="D27" s="2"/>
      <c r="E27" s="2"/>
      <c r="F27" s="2"/>
      <c r="G27" s="2"/>
      <c r="H27" s="2"/>
      <c r="I27" s="2"/>
      <c r="J27" s="2"/>
      <c r="K27" s="2"/>
    </row>
    <row r="28" spans="1:11" ht="24" customHeight="1">
      <c r="B28" s="68" t="s">
        <v>550</v>
      </c>
      <c r="C28" s="2">
        <f>'Budget Detail FY 2016-23'!L570</f>
        <v>8061730</v>
      </c>
      <c r="D28" s="2">
        <f>'Budget Detail FY 2016-23'!M570</f>
        <v>10551626</v>
      </c>
      <c r="E28" s="2">
        <f>'Budget Detail FY 2016-23'!N570</f>
        <v>4297767</v>
      </c>
      <c r="F28" s="2">
        <f>'Budget Detail FY 2016-23'!O570</f>
        <v>4567116</v>
      </c>
      <c r="G28" s="2">
        <f>'Budget Detail FY 2016-23'!P570</f>
        <v>4538518</v>
      </c>
      <c r="H28" s="2">
        <f>'Budget Detail FY 2016-23'!Q570</f>
        <v>4703703</v>
      </c>
      <c r="I28" s="2">
        <f>'Budget Detail FY 2016-23'!R570</f>
        <v>4874532</v>
      </c>
      <c r="J28" s="2">
        <f>'Budget Detail FY 2016-23'!S570</f>
        <v>5056820</v>
      </c>
      <c r="K28" s="2">
        <f>'Budget Detail FY 2016-23'!T570</f>
        <v>5247439</v>
      </c>
    </row>
    <row r="29" spans="1:11" ht="24" customHeight="1">
      <c r="B29" s="68" t="s">
        <v>551</v>
      </c>
      <c r="C29" s="2">
        <f>'Budget Detail FY 2016-23'!L676</f>
        <v>2526917</v>
      </c>
      <c r="D29" s="2">
        <f>'Budget Detail FY 2016-23'!M676</f>
        <v>2538383</v>
      </c>
      <c r="E29" s="2">
        <f>'Budget Detail FY 2016-23'!N676</f>
        <v>2404442</v>
      </c>
      <c r="F29" s="2">
        <f>'Budget Detail FY 2016-23'!O676</f>
        <v>2698549</v>
      </c>
      <c r="G29" s="2">
        <f>'Budget Detail FY 2016-23'!P676</f>
        <v>2416491</v>
      </c>
      <c r="H29" s="2">
        <f>'Budget Detail FY 2016-23'!Q676</f>
        <v>2175674</v>
      </c>
      <c r="I29" s="2">
        <f>'Budget Detail FY 2016-23'!R676</f>
        <v>2182049</v>
      </c>
      <c r="J29" s="2">
        <f>'Budget Detail FY 2016-23'!S676</f>
        <v>2619355</v>
      </c>
      <c r="K29" s="2">
        <f>'Budget Detail FY 2016-23'!T676</f>
        <v>2790053</v>
      </c>
    </row>
    <row r="30" spans="1:11" ht="15" customHeight="1">
      <c r="B30" s="68"/>
      <c r="C30" s="2"/>
      <c r="D30" s="2"/>
      <c r="E30" s="2"/>
      <c r="F30" s="2"/>
      <c r="G30" s="2"/>
      <c r="H30" s="2"/>
      <c r="I30" s="2"/>
      <c r="J30" s="2"/>
      <c r="K30" s="2"/>
    </row>
    <row r="31" spans="1:11" ht="24" customHeight="1">
      <c r="A31" s="70" t="s">
        <v>748</v>
      </c>
      <c r="B31" s="68"/>
      <c r="C31" s="2"/>
      <c r="D31" s="2"/>
      <c r="E31" s="2"/>
      <c r="F31" s="2"/>
      <c r="G31" s="2"/>
      <c r="H31" s="2"/>
      <c r="I31" s="2"/>
      <c r="J31" s="2"/>
      <c r="K31" s="2"/>
    </row>
    <row r="32" spans="1:11" ht="24" customHeight="1">
      <c r="A32" s="70"/>
      <c r="B32" s="68" t="s">
        <v>544</v>
      </c>
      <c r="C32" s="2">
        <f>'Budget Detail FY 2016-23'!L896</f>
        <v>1444624</v>
      </c>
      <c r="D32" s="2">
        <f>'Budget Detail FY 2016-23'!M896</f>
        <v>1443490</v>
      </c>
      <c r="E32" s="2">
        <f>'Budget Detail FY 2016-23'!N896</f>
        <v>1476453</v>
      </c>
      <c r="F32" s="2">
        <f>'Budget Detail FY 2016-23'!O896</f>
        <v>1476581</v>
      </c>
      <c r="G32" s="2">
        <f>'Budget Detail FY 2016-23'!P896</f>
        <v>1536635</v>
      </c>
      <c r="H32" s="2">
        <f>'Budget Detail FY 2016-23'!Q896</f>
        <v>1556263</v>
      </c>
      <c r="I32" s="2">
        <f>'Budget Detail FY 2016-23'!R896</f>
        <v>1601461</v>
      </c>
      <c r="J32" s="2">
        <f>'Budget Detail FY 2016-23'!S896</f>
        <v>1630138</v>
      </c>
      <c r="K32" s="2">
        <f>'Budget Detail FY 2016-23'!T896</f>
        <v>1653145</v>
      </c>
    </row>
    <row r="33" spans="1:11" ht="24" customHeight="1">
      <c r="A33" s="70"/>
      <c r="B33" s="68" t="s">
        <v>749</v>
      </c>
      <c r="C33" s="2">
        <f>'Budget Detail FY 2016-23'!L954</f>
        <v>36118</v>
      </c>
      <c r="D33" s="2">
        <f>'Budget Detail FY 2016-23'!M954</f>
        <v>53792</v>
      </c>
      <c r="E33" s="2">
        <f>'Budget Detail FY 2016-23'!N954</f>
        <v>35010</v>
      </c>
      <c r="F33" s="2">
        <f>'Budget Detail FY 2016-23'!O954</f>
        <v>70010</v>
      </c>
      <c r="G33" s="2">
        <f>'Budget Detail FY 2016-23'!P954</f>
        <v>43210</v>
      </c>
      <c r="H33" s="2">
        <f>'Budget Detail FY 2016-23'!Q954</f>
        <v>39610</v>
      </c>
      <c r="I33" s="2">
        <f>'Budget Detail FY 2016-23'!R954</f>
        <v>39610</v>
      </c>
      <c r="J33" s="2">
        <f>'Budget Detail FY 2016-23'!S954</f>
        <v>39610</v>
      </c>
      <c r="K33" s="2">
        <f>'Budget Detail FY 2016-23'!T954</f>
        <v>39610</v>
      </c>
    </row>
    <row r="34" spans="1:11" ht="15" customHeight="1">
      <c r="A34" s="73"/>
      <c r="B34" s="68"/>
      <c r="C34" s="72"/>
      <c r="D34" s="72"/>
      <c r="E34" s="72"/>
      <c r="F34" s="72"/>
      <c r="G34" s="72"/>
      <c r="H34" s="72"/>
      <c r="I34" s="72"/>
      <c r="J34" s="72"/>
      <c r="K34" s="72"/>
    </row>
    <row r="35" spans="1:11" ht="24" customHeight="1" thickBot="1">
      <c r="A35" s="7"/>
      <c r="B35" s="74" t="s">
        <v>805</v>
      </c>
      <c r="C35" s="75">
        <f t="shared" ref="C35:K35" si="0">SUM(C9:C34)</f>
        <v>33302662</v>
      </c>
      <c r="D35" s="75">
        <f t="shared" si="0"/>
        <v>35043258</v>
      </c>
      <c r="E35" s="75">
        <f t="shared" si="0"/>
        <v>29509522</v>
      </c>
      <c r="F35" s="75">
        <f t="shared" si="0"/>
        <v>30671882</v>
      </c>
      <c r="G35" s="75">
        <f t="shared" si="0"/>
        <v>30567188</v>
      </c>
      <c r="H35" s="75">
        <f t="shared" si="0"/>
        <v>28762731</v>
      </c>
      <c r="I35" s="75">
        <f t="shared" si="0"/>
        <v>29436695</v>
      </c>
      <c r="J35" s="75">
        <f t="shared" si="0"/>
        <v>30447750</v>
      </c>
      <c r="K35" s="75">
        <f t="shared" si="0"/>
        <v>31274089</v>
      </c>
    </row>
    <row r="36" spans="1:11" ht="15" customHeight="1" thickTop="1"/>
    <row r="37" spans="1:11" s="63" customFormat="1" ht="15" customHeight="1"/>
    <row r="38" spans="1:11" ht="24" customHeight="1">
      <c r="B38" s="883" t="s">
        <v>735</v>
      </c>
      <c r="C38" s="883"/>
      <c r="D38" s="883"/>
      <c r="E38" s="883"/>
      <c r="F38" s="883"/>
      <c r="G38" s="883"/>
      <c r="H38" s="883"/>
      <c r="I38" s="883"/>
      <c r="J38" s="883"/>
      <c r="K38" s="883"/>
    </row>
    <row r="39" spans="1:11" ht="24" customHeight="1">
      <c r="B39" s="884" t="s">
        <v>750</v>
      </c>
      <c r="C39" s="884"/>
      <c r="D39" s="884"/>
      <c r="E39" s="884"/>
      <c r="F39" s="884"/>
      <c r="G39" s="884"/>
      <c r="H39" s="884"/>
      <c r="I39" s="884"/>
      <c r="J39" s="884"/>
      <c r="K39" s="884"/>
    </row>
    <row r="40" spans="1:11" ht="24" customHeight="1">
      <c r="B40" s="883" t="s">
        <v>1310</v>
      </c>
      <c r="C40" s="883"/>
      <c r="D40" s="883"/>
      <c r="E40" s="883"/>
      <c r="F40" s="883"/>
      <c r="G40" s="883"/>
      <c r="H40" s="883"/>
      <c r="I40" s="883"/>
      <c r="J40" s="883"/>
      <c r="K40" s="883"/>
    </row>
    <row r="41" spans="1:11" ht="15" customHeight="1"/>
    <row r="42" spans="1:11" ht="15" customHeight="1">
      <c r="C42" s="64"/>
      <c r="D42" s="65"/>
      <c r="E42" s="65" t="s">
        <v>834</v>
      </c>
    </row>
    <row r="43" spans="1:11" ht="15" customHeight="1">
      <c r="C43" s="64" t="s">
        <v>243</v>
      </c>
      <c r="D43" s="64" t="s">
        <v>244</v>
      </c>
      <c r="E43" s="65" t="s">
        <v>679</v>
      </c>
      <c r="F43" s="65" t="s">
        <v>834</v>
      </c>
      <c r="G43" s="65" t="s">
        <v>915</v>
      </c>
      <c r="H43" s="65" t="s">
        <v>946</v>
      </c>
      <c r="I43" s="65" t="s">
        <v>947</v>
      </c>
      <c r="J43" s="65" t="s">
        <v>948</v>
      </c>
      <c r="K43" s="65" t="s">
        <v>949</v>
      </c>
    </row>
    <row r="44" spans="1:11" ht="15" customHeight="1" thickBot="1">
      <c r="B44" s="66" t="s">
        <v>737</v>
      </c>
      <c r="C44" s="67" t="s">
        <v>1</v>
      </c>
      <c r="D44" s="67" t="s">
        <v>1</v>
      </c>
      <c r="E44" s="67" t="s">
        <v>638</v>
      </c>
      <c r="F44" s="67" t="s">
        <v>19</v>
      </c>
      <c r="G44" s="67" t="s">
        <v>679</v>
      </c>
      <c r="H44" s="67" t="s">
        <v>19</v>
      </c>
      <c r="I44" s="67" t="s">
        <v>19</v>
      </c>
      <c r="J44" s="67" t="s">
        <v>19</v>
      </c>
      <c r="K44" s="67" t="s">
        <v>19</v>
      </c>
    </row>
    <row r="45" spans="1:11" ht="15" customHeight="1">
      <c r="C45" s="69"/>
      <c r="D45" s="69"/>
      <c r="E45" s="69"/>
      <c r="F45" s="69"/>
      <c r="G45" s="69"/>
      <c r="H45" s="69"/>
      <c r="I45" s="69"/>
      <c r="J45" s="69"/>
    </row>
    <row r="46" spans="1:11" ht="24" customHeight="1">
      <c r="A46" s="70" t="s">
        <v>738</v>
      </c>
      <c r="C46" s="2">
        <f>'Budget Detail FY 2016-23'!L278</f>
        <v>13664138</v>
      </c>
      <c r="D46" s="2">
        <f>'Budget Detail FY 2016-23'!M278</f>
        <v>14488405</v>
      </c>
      <c r="E46" s="2">
        <f>'Budget Detail FY 2016-23'!N278</f>
        <v>15721945</v>
      </c>
      <c r="F46" s="2">
        <f>'Budget Detail FY 2016-23'!O278</f>
        <v>15745315</v>
      </c>
      <c r="G46" s="2">
        <f>'Budget Detail FY 2016-23'!P278</f>
        <v>15952180</v>
      </c>
      <c r="H46" s="2">
        <f>'Budget Detail FY 2016-23'!Q278</f>
        <v>16173015</v>
      </c>
      <c r="I46" s="2">
        <f>'Budget Detail FY 2016-23'!R278</f>
        <v>16446145</v>
      </c>
      <c r="J46" s="2">
        <f>'Budget Detail FY 2016-23'!S278</f>
        <v>17334249</v>
      </c>
      <c r="K46" s="2">
        <f>'Budget Detail FY 2016-23'!T278</f>
        <v>17839860</v>
      </c>
    </row>
    <row r="47" spans="1:11" ht="15" customHeight="1">
      <c r="A47" s="70"/>
      <c r="C47" s="2"/>
      <c r="D47" s="2"/>
      <c r="E47" s="2"/>
      <c r="F47" s="2"/>
      <c r="G47" s="2"/>
      <c r="H47" s="2"/>
      <c r="I47" s="2"/>
      <c r="J47" s="2"/>
      <c r="K47" s="2"/>
    </row>
    <row r="48" spans="1:11" ht="24" customHeight="1">
      <c r="A48" s="70" t="s">
        <v>739</v>
      </c>
      <c r="C48" s="72"/>
      <c r="D48" s="72"/>
      <c r="E48" s="72"/>
      <c r="F48" s="72"/>
      <c r="G48" s="72"/>
      <c r="H48" s="72"/>
      <c r="I48" s="72"/>
      <c r="J48" s="72"/>
      <c r="K48" s="72"/>
    </row>
    <row r="49" spans="1:11" ht="24" customHeight="1">
      <c r="A49" s="70"/>
      <c r="B49" s="1" t="s">
        <v>665</v>
      </c>
      <c r="C49" s="72">
        <f>'Budget Detail FY 2016-23'!L347</f>
        <v>637955</v>
      </c>
      <c r="D49" s="72">
        <f>'Budget Detail FY 2016-23'!M347</f>
        <v>599121</v>
      </c>
      <c r="E49" s="72">
        <f>'Budget Detail FY 2016-23'!N347</f>
        <v>756137</v>
      </c>
      <c r="F49" s="72">
        <f>'Budget Detail FY 2016-23'!O347</f>
        <v>714537</v>
      </c>
      <c r="G49" s="72">
        <f>'Budget Detail FY 2016-23'!P347</f>
        <v>691787</v>
      </c>
      <c r="H49" s="72">
        <f>'Budget Detail FY 2016-23'!Q347</f>
        <v>773787</v>
      </c>
      <c r="I49" s="72">
        <f>'Budget Detail FY 2016-23'!R347</f>
        <v>662287</v>
      </c>
      <c r="J49" s="72">
        <f>'Budget Detail FY 2016-23'!S347</f>
        <v>647287</v>
      </c>
      <c r="K49" s="72">
        <f>'Budget Detail FY 2016-23'!T347</f>
        <v>572383</v>
      </c>
    </row>
    <row r="50" spans="1:11" ht="24" customHeight="1">
      <c r="A50" s="71"/>
      <c r="B50" s="68" t="s">
        <v>740</v>
      </c>
      <c r="C50" s="72">
        <f>'Budget Detail FY 2016-23'!L871</f>
        <v>1775036</v>
      </c>
      <c r="D50" s="72">
        <f>'Budget Detail FY 2016-23'!M871</f>
        <v>1842499</v>
      </c>
      <c r="E50" s="72">
        <f>'Budget Detail FY 2016-23'!N871</f>
        <v>1977311</v>
      </c>
      <c r="F50" s="72">
        <f>'Budget Detail FY 2016-23'!O871</f>
        <v>2022397</v>
      </c>
      <c r="G50" s="72">
        <f>'Budget Detail FY 2016-23'!P871</f>
        <v>2086308</v>
      </c>
      <c r="H50" s="72">
        <f>'Budget Detail FY 2016-23'!Q871</f>
        <v>2108585</v>
      </c>
      <c r="I50" s="72">
        <f>'Budget Detail FY 2016-23'!R871</f>
        <v>2162520</v>
      </c>
      <c r="J50" s="72">
        <f>'Budget Detail FY 2016-23'!S871</f>
        <v>2221282</v>
      </c>
      <c r="K50" s="72">
        <f>'Budget Detail FY 2016-23'!T871</f>
        <v>2292706</v>
      </c>
    </row>
    <row r="51" spans="1:11" ht="24" customHeight="1">
      <c r="A51" s="71"/>
      <c r="B51" s="68" t="s">
        <v>552</v>
      </c>
      <c r="C51" s="72">
        <f>'Budget Detail FY 2016-23'!L783</f>
        <v>30644</v>
      </c>
      <c r="D51" s="72">
        <f>'Budget Detail FY 2016-23'!M783</f>
        <v>92865</v>
      </c>
      <c r="E51" s="72">
        <f>'Budget Detail FY 2016-23'!N783</f>
        <v>362355</v>
      </c>
      <c r="F51" s="72">
        <f>'Budget Detail FY 2016-23'!O783</f>
        <v>650831</v>
      </c>
      <c r="G51" s="72">
        <f>'Budget Detail FY 2016-23'!P783</f>
        <v>465000</v>
      </c>
      <c r="H51" s="72">
        <f>'Budget Detail FY 2016-23'!Q783</f>
        <v>50000</v>
      </c>
      <c r="I51" s="72">
        <f>'Budget Detail FY 2016-23'!R783</f>
        <v>0</v>
      </c>
      <c r="J51" s="72">
        <f>'Budget Detail FY 2016-23'!S783</f>
        <v>0</v>
      </c>
      <c r="K51" s="72">
        <f>'Budget Detail FY 2016-23'!T783</f>
        <v>24000</v>
      </c>
    </row>
    <row r="52" spans="1:11" ht="24" customHeight="1">
      <c r="A52" s="71"/>
      <c r="B52" s="68" t="s">
        <v>475</v>
      </c>
      <c r="C52" s="3">
        <f>'Budget Detail FY 2016-23'!L995</f>
        <v>1686204</v>
      </c>
      <c r="D52" s="3">
        <f>'Budget Detail FY 2016-23'!M995</f>
        <v>161167</v>
      </c>
      <c r="E52" s="3">
        <f>'Budget Detail FY 2016-23'!N995</f>
        <v>163516</v>
      </c>
      <c r="F52" s="3">
        <f>'Budget Detail FY 2016-23'!O995</f>
        <v>163037</v>
      </c>
      <c r="G52" s="3">
        <f>'Budget Detail FY 2016-23'!P995</f>
        <v>863107</v>
      </c>
      <c r="H52" s="3">
        <f>'Budget Detail FY 2016-23'!Q995</f>
        <v>223594</v>
      </c>
      <c r="I52" s="3">
        <f>'Budget Detail FY 2016-23'!R995</f>
        <v>222060</v>
      </c>
      <c r="J52" s="3">
        <f>'Budget Detail FY 2016-23'!S995</f>
        <v>223065</v>
      </c>
      <c r="K52" s="3">
        <f>'Budget Detail FY 2016-23'!T995</f>
        <v>222536</v>
      </c>
    </row>
    <row r="53" spans="1:11" ht="24" customHeight="1">
      <c r="A53" s="71"/>
      <c r="B53" s="68" t="s">
        <v>479</v>
      </c>
      <c r="C53" s="3">
        <f>'Budget Detail FY 2016-23'!L1024</f>
        <v>54498</v>
      </c>
      <c r="D53" s="3">
        <f>'Budget Detail FY 2016-23'!M1024</f>
        <v>224910</v>
      </c>
      <c r="E53" s="3">
        <f>'Budget Detail FY 2016-23'!N1024</f>
        <v>1132742</v>
      </c>
      <c r="F53" s="3">
        <f>'Budget Detail FY 2016-23'!O1024</f>
        <v>1079315</v>
      </c>
      <c r="G53" s="3">
        <f>'Budget Detail FY 2016-23'!P1024</f>
        <v>419243</v>
      </c>
      <c r="H53" s="3">
        <f>'Budget Detail FY 2016-23'!Q1024</f>
        <v>530527</v>
      </c>
      <c r="I53" s="3">
        <f>'Budget Detail FY 2016-23'!R1024</f>
        <v>297153</v>
      </c>
      <c r="J53" s="3">
        <f>'Budget Detail FY 2016-23'!S1024</f>
        <v>291037</v>
      </c>
      <c r="K53" s="3">
        <f>'Budget Detail FY 2016-23'!T1024</f>
        <v>80006</v>
      </c>
    </row>
    <row r="54" spans="1:11" ht="24" customHeight="1">
      <c r="A54" s="71"/>
      <c r="B54" s="68" t="s">
        <v>1330</v>
      </c>
      <c r="C54" s="3">
        <f>'Fund Cover Sheets'!C665</f>
        <v>0</v>
      </c>
      <c r="D54" s="3">
        <f>'Fund Cover Sheets'!D665</f>
        <v>0</v>
      </c>
      <c r="E54" s="3">
        <f>'Fund Cover Sheets'!E665</f>
        <v>0</v>
      </c>
      <c r="F54" s="3">
        <f>'Fund Cover Sheets'!F665</f>
        <v>0</v>
      </c>
      <c r="G54" s="3">
        <f>'Fund Cover Sheets'!G665</f>
        <v>10000</v>
      </c>
      <c r="H54" s="3">
        <f>'Fund Cover Sheets'!H665</f>
        <v>0</v>
      </c>
      <c r="I54" s="3">
        <f>'Fund Cover Sheets'!I665</f>
        <v>0</v>
      </c>
      <c r="J54" s="3">
        <f>'Fund Cover Sheets'!J665</f>
        <v>0</v>
      </c>
      <c r="K54" s="3">
        <f>'Fund Cover Sheets'!K665</f>
        <v>0</v>
      </c>
    </row>
    <row r="55" spans="1:11" ht="24" customHeight="1">
      <c r="A55" s="71"/>
      <c r="B55" s="68" t="s">
        <v>741</v>
      </c>
      <c r="C55" s="72">
        <f>'Budget Detail FY 2016-23'!L296</f>
        <v>26314</v>
      </c>
      <c r="D55" s="72">
        <f>'Budget Detail FY 2016-23'!M296</f>
        <v>10741</v>
      </c>
      <c r="E55" s="72">
        <f>'Budget Detail FY 2016-23'!N296</f>
        <v>23000</v>
      </c>
      <c r="F55" s="72">
        <f>'Budget Detail FY 2016-23'!O296</f>
        <v>18700</v>
      </c>
      <c r="G55" s="72">
        <f>'Budget Detail FY 2016-23'!P296</f>
        <v>8835</v>
      </c>
      <c r="H55" s="72">
        <f>'Budget Detail FY 2016-23'!Q296</f>
        <v>30977</v>
      </c>
      <c r="I55" s="72">
        <f>'Budget Detail FY 2016-23'!R296</f>
        <v>10326</v>
      </c>
      <c r="J55" s="72">
        <f>'Budget Detail FY 2016-23'!S296</f>
        <v>10482</v>
      </c>
      <c r="K55" s="72">
        <f>'Budget Detail FY 2016-23'!T296</f>
        <v>10646</v>
      </c>
    </row>
    <row r="56" spans="1:11" ht="24" customHeight="1">
      <c r="A56" s="71"/>
      <c r="B56" s="68" t="s">
        <v>742</v>
      </c>
      <c r="C56" s="72">
        <f>'Budget Detail FY 2016-23'!L314</f>
        <v>29676</v>
      </c>
      <c r="D56" s="72">
        <f>'Budget Detail FY 2016-23'!M314</f>
        <v>5057</v>
      </c>
      <c r="E56" s="72">
        <f>'Budget Detail FY 2016-23'!N314</f>
        <v>29735</v>
      </c>
      <c r="F56" s="72">
        <f>'Budget Detail FY 2016-23'!O314</f>
        <v>22744</v>
      </c>
      <c r="G56" s="72">
        <f>'Budget Detail FY 2016-23'!P314</f>
        <v>18835</v>
      </c>
      <c r="H56" s="72">
        <f>'Budget Detail FY 2016-23'!Q314</f>
        <v>15177</v>
      </c>
      <c r="I56" s="72">
        <f>'Budget Detail FY 2016-23'!R314</f>
        <v>15326</v>
      </c>
      <c r="J56" s="72">
        <f>'Budget Detail FY 2016-23'!S314</f>
        <v>16922</v>
      </c>
      <c r="K56" s="72">
        <f>'Budget Detail FY 2016-23'!T314</f>
        <v>17086</v>
      </c>
    </row>
    <row r="57" spans="1:11">
      <c r="A57" s="71"/>
      <c r="B57" s="68"/>
      <c r="C57" s="72"/>
      <c r="D57" s="72"/>
      <c r="E57" s="72"/>
      <c r="F57" s="72"/>
      <c r="G57" s="72"/>
      <c r="H57" s="72"/>
      <c r="I57" s="72"/>
      <c r="J57" s="72"/>
      <c r="K57" s="72"/>
    </row>
    <row r="58" spans="1:11" ht="24" customHeight="1">
      <c r="A58" s="70" t="s">
        <v>743</v>
      </c>
      <c r="B58" s="63"/>
      <c r="C58" s="3">
        <f>'Budget Detail FY 2016-23'!L544</f>
        <v>314229</v>
      </c>
      <c r="D58" s="3">
        <f>'Budget Detail FY 2016-23'!M544</f>
        <v>321064</v>
      </c>
      <c r="E58" s="3">
        <f>'Budget Detail FY 2016-23'!N544</f>
        <v>320225</v>
      </c>
      <c r="F58" s="3">
        <f>'Budget Detail FY 2016-23'!O544</f>
        <v>320225</v>
      </c>
      <c r="G58" s="3">
        <f>'Budget Detail FY 2016-23'!P544</f>
        <v>324725</v>
      </c>
      <c r="H58" s="3">
        <f>'Budget Detail FY 2016-23'!Q544</f>
        <v>324025</v>
      </c>
      <c r="I58" s="3">
        <f>'Budget Detail FY 2016-23'!R544</f>
        <v>323225</v>
      </c>
      <c r="J58" s="3">
        <f>'Budget Detail FY 2016-23'!S544</f>
        <v>329375</v>
      </c>
      <c r="K58" s="3">
        <f>'Budget Detail FY 2016-23'!T544</f>
        <v>330075</v>
      </c>
    </row>
    <row r="59" spans="1:11">
      <c r="A59" s="70"/>
      <c r="B59" s="63"/>
      <c r="C59" s="3"/>
      <c r="D59" s="3"/>
      <c r="E59" s="3"/>
      <c r="F59" s="3"/>
      <c r="G59" s="3"/>
      <c r="H59" s="3"/>
      <c r="I59" s="3"/>
      <c r="J59" s="3"/>
      <c r="K59" s="3"/>
    </row>
    <row r="60" spans="1:11" ht="24" customHeight="1">
      <c r="A60" s="70" t="s">
        <v>744</v>
      </c>
      <c r="B60" s="63"/>
      <c r="C60" s="3"/>
      <c r="D60" s="3"/>
      <c r="E60" s="3"/>
      <c r="F60" s="3"/>
      <c r="G60" s="3"/>
      <c r="H60" s="3"/>
      <c r="I60" s="3"/>
      <c r="J60" s="3"/>
      <c r="K60" s="3"/>
    </row>
    <row r="61" spans="1:11" ht="24" customHeight="1">
      <c r="A61" s="71"/>
      <c r="B61" s="68" t="s">
        <v>868</v>
      </c>
      <c r="C61" s="3">
        <f>'Budget Detail FY 2016-23'!L511</f>
        <v>631762</v>
      </c>
      <c r="D61" s="3">
        <f>'Budget Detail FY 2016-23'!M511</f>
        <v>368822</v>
      </c>
      <c r="E61" s="3">
        <f>'Budget Detail FY 2016-23'!N511</f>
        <v>599925</v>
      </c>
      <c r="F61" s="3">
        <f>'Budget Detail FY 2016-23'!O511</f>
        <v>357521</v>
      </c>
      <c r="G61" s="3">
        <f>'Budget Detail FY 2016-23'!P511</f>
        <v>276945</v>
      </c>
      <c r="H61" s="3">
        <f>'Budget Detail FY 2016-23'!Q511</f>
        <v>164112</v>
      </c>
      <c r="I61" s="3">
        <f>'Budget Detail FY 2016-23'!R511</f>
        <v>163680</v>
      </c>
      <c r="J61" s="3">
        <f>'Budget Detail FY 2016-23'!S511</f>
        <v>167946</v>
      </c>
      <c r="K61" s="3">
        <f>'Budget Detail FY 2016-23'!T511</f>
        <v>192430</v>
      </c>
    </row>
    <row r="62" spans="1:11" ht="24" customHeight="1">
      <c r="A62" s="71"/>
      <c r="B62" s="68" t="s">
        <v>746</v>
      </c>
      <c r="C62" s="72">
        <f>'Budget Detail FY 2016-23'!L440</f>
        <v>3269314</v>
      </c>
      <c r="D62" s="72">
        <f>'Budget Detail FY 2016-23'!M440</f>
        <v>3374664</v>
      </c>
      <c r="E62" s="72">
        <f>'Budget Detail FY 2016-23'!N440</f>
        <v>3669526</v>
      </c>
      <c r="F62" s="72">
        <f>'Budget Detail FY 2016-23'!O440</f>
        <v>3781732</v>
      </c>
      <c r="G62" s="72">
        <f>'Budget Detail FY 2016-23'!P440</f>
        <v>2622153</v>
      </c>
      <c r="H62" s="72">
        <f>'Budget Detail FY 2016-23'!Q440</f>
        <v>878525</v>
      </c>
      <c r="I62" s="72">
        <f>'Budget Detail FY 2016-23'!R440</f>
        <v>812355</v>
      </c>
      <c r="J62" s="72">
        <f>'Budget Detail FY 2016-23'!S440</f>
        <v>764864</v>
      </c>
      <c r="K62" s="72">
        <f>'Budget Detail FY 2016-23'!T440</f>
        <v>1012284</v>
      </c>
    </row>
    <row r="63" spans="1:11">
      <c r="A63" s="71"/>
      <c r="B63" s="68"/>
      <c r="C63" s="72"/>
      <c r="D63" s="72"/>
      <c r="E63" s="72"/>
      <c r="F63" s="72"/>
      <c r="G63" s="72"/>
      <c r="H63" s="72"/>
      <c r="I63" s="72"/>
      <c r="J63" s="72"/>
      <c r="K63" s="72"/>
    </row>
    <row r="64" spans="1:11" ht="24" customHeight="1">
      <c r="A64" s="70" t="s">
        <v>747</v>
      </c>
      <c r="B64" s="68"/>
      <c r="C64" s="72"/>
      <c r="D64" s="72"/>
      <c r="E64" s="72"/>
      <c r="F64" s="72"/>
      <c r="G64" s="72"/>
      <c r="H64" s="72"/>
      <c r="I64" s="72"/>
      <c r="J64" s="72"/>
      <c r="K64" s="72"/>
    </row>
    <row r="65" spans="1:11" ht="24" customHeight="1">
      <c r="B65" s="68" t="s">
        <v>550</v>
      </c>
      <c r="C65" s="72">
        <f>'Budget Detail FY 2016-23'!L655</f>
        <v>3965434</v>
      </c>
      <c r="D65" s="72">
        <f>'Budget Detail FY 2016-23'!M655</f>
        <v>12921770</v>
      </c>
      <c r="E65" s="72">
        <f>'Budget Detail FY 2016-23'!N655</f>
        <v>5158503</v>
      </c>
      <c r="F65" s="72">
        <f>'Budget Detail FY 2016-23'!O655</f>
        <v>5103252</v>
      </c>
      <c r="G65" s="72">
        <f>'Budget Detail FY 2016-23'!P655</f>
        <v>4876371</v>
      </c>
      <c r="H65" s="72">
        <f>'Budget Detail FY 2016-23'!Q655</f>
        <v>5375602</v>
      </c>
      <c r="I65" s="72">
        <f>'Budget Detail FY 2016-23'!R655</f>
        <v>5037281</v>
      </c>
      <c r="J65" s="72">
        <f>'Budget Detail FY 2016-23'!S655</f>
        <v>4394828</v>
      </c>
      <c r="K65" s="72">
        <f>'Budget Detail FY 2016-23'!T655</f>
        <v>4095058</v>
      </c>
    </row>
    <row r="66" spans="1:11" ht="24" customHeight="1">
      <c r="B66" s="68" t="s">
        <v>551</v>
      </c>
      <c r="C66" s="72">
        <f>'Budget Detail FY 2016-23'!L740</f>
        <v>2785644</v>
      </c>
      <c r="D66" s="72">
        <f>'Budget Detail FY 2016-23'!M740</f>
        <v>2731226</v>
      </c>
      <c r="E66" s="72">
        <f>'Budget Detail FY 2016-23'!N740</f>
        <v>2805500</v>
      </c>
      <c r="F66" s="72">
        <f>'Budget Detail FY 2016-23'!O740</f>
        <v>2741851</v>
      </c>
      <c r="G66" s="72">
        <f>'Budget Detail FY 2016-23'!P740</f>
        <v>3045454</v>
      </c>
      <c r="H66" s="72">
        <f>'Budget Detail FY 2016-23'!Q740</f>
        <v>2335571</v>
      </c>
      <c r="I66" s="72">
        <f>'Budget Detail FY 2016-23'!R740</f>
        <v>2207074</v>
      </c>
      <c r="J66" s="72">
        <f>'Budget Detail FY 2016-23'!S740</f>
        <v>2479709</v>
      </c>
      <c r="K66" s="72">
        <f>'Budget Detail FY 2016-23'!T740</f>
        <v>2198236</v>
      </c>
    </row>
    <row r="67" spans="1:11">
      <c r="B67" s="68"/>
      <c r="C67" s="72"/>
      <c r="D67" s="72"/>
      <c r="E67" s="72"/>
      <c r="F67" s="72"/>
      <c r="G67" s="72"/>
      <c r="H67" s="72"/>
      <c r="I67" s="72"/>
      <c r="J67" s="72"/>
      <c r="K67" s="72"/>
    </row>
    <row r="68" spans="1:11" ht="24" customHeight="1">
      <c r="A68" s="70" t="s">
        <v>751</v>
      </c>
      <c r="B68" s="68"/>
      <c r="C68" s="72"/>
      <c r="D68" s="72"/>
      <c r="E68" s="72"/>
      <c r="F68" s="72"/>
      <c r="G68" s="72"/>
      <c r="H68" s="72"/>
      <c r="I68" s="72"/>
      <c r="J68" s="72"/>
      <c r="K68" s="72"/>
    </row>
    <row r="69" spans="1:11" ht="24" customHeight="1">
      <c r="A69" s="70"/>
      <c r="B69" s="68" t="s">
        <v>544</v>
      </c>
      <c r="C69" s="72">
        <f>'Budget Detail FY 2016-23'!L937</f>
        <v>1411951</v>
      </c>
      <c r="D69" s="72">
        <f>'Budget Detail FY 2016-23'!M937</f>
        <v>1453791</v>
      </c>
      <c r="E69" s="72">
        <f>'Budget Detail FY 2016-23'!N937</f>
        <v>1560550</v>
      </c>
      <c r="F69" s="72">
        <f>'Budget Detail FY 2016-23'!O937</f>
        <v>1480245</v>
      </c>
      <c r="G69" s="72">
        <f>'Budget Detail FY 2016-23'!P937</f>
        <v>1547989</v>
      </c>
      <c r="H69" s="72">
        <f>'Budget Detail FY 2016-23'!Q937</f>
        <v>1574573</v>
      </c>
      <c r="I69" s="72">
        <f>'Budget Detail FY 2016-23'!R937</f>
        <v>1629491</v>
      </c>
      <c r="J69" s="72">
        <f>'Budget Detail FY 2016-23'!S937</f>
        <v>1668723</v>
      </c>
      <c r="K69" s="72">
        <f>'Budget Detail FY 2016-23'!T937</f>
        <v>1703182</v>
      </c>
    </row>
    <row r="70" spans="1:11" ht="24" customHeight="1">
      <c r="A70" s="70"/>
      <c r="B70" s="68" t="s">
        <v>749</v>
      </c>
      <c r="C70" s="72">
        <f>'Budget Detail FY 2016-23'!L964</f>
        <v>34026</v>
      </c>
      <c r="D70" s="72">
        <f>'Budget Detail FY 2016-23'!M964</f>
        <v>48695</v>
      </c>
      <c r="E70" s="72">
        <f>'Budget Detail FY 2016-23'!N964</f>
        <v>35000</v>
      </c>
      <c r="F70" s="72">
        <f>'Budget Detail FY 2016-23'!O964</f>
        <v>49750</v>
      </c>
      <c r="G70" s="72">
        <f>'Budget Detail FY 2016-23'!P964</f>
        <v>52100</v>
      </c>
      <c r="H70" s="72">
        <f>'Budget Detail FY 2016-23'!Q964</f>
        <v>52100</v>
      </c>
      <c r="I70" s="72">
        <f>'Budget Detail FY 2016-23'!R964</f>
        <v>52100</v>
      </c>
      <c r="J70" s="72">
        <f>'Budget Detail FY 2016-23'!S964</f>
        <v>52100</v>
      </c>
      <c r="K70" s="72">
        <f>'Budget Detail FY 2016-23'!T964</f>
        <v>52100</v>
      </c>
    </row>
    <row r="71" spans="1:11">
      <c r="C71" s="2"/>
      <c r="D71" s="2"/>
      <c r="E71" s="2"/>
      <c r="F71" s="2"/>
      <c r="G71" s="2"/>
      <c r="H71" s="2"/>
      <c r="I71" s="2"/>
      <c r="J71" s="2"/>
      <c r="K71" s="2"/>
    </row>
    <row r="72" spans="1:11" ht="24" customHeight="1" thickBot="1">
      <c r="A72" s="7"/>
      <c r="B72" s="74" t="s">
        <v>806</v>
      </c>
      <c r="C72" s="75">
        <f>SUM(C46:C71)</f>
        <v>30316825</v>
      </c>
      <c r="D72" s="75">
        <f t="shared" ref="D72:K72" si="1">SUM(D46:D71)</f>
        <v>38644797</v>
      </c>
      <c r="E72" s="75">
        <f t="shared" si="1"/>
        <v>34315970</v>
      </c>
      <c r="F72" s="75">
        <f t="shared" si="1"/>
        <v>34251452</v>
      </c>
      <c r="G72" s="75">
        <f t="shared" si="1"/>
        <v>33261032</v>
      </c>
      <c r="H72" s="75">
        <f t="shared" si="1"/>
        <v>30610170</v>
      </c>
      <c r="I72" s="75">
        <f t="shared" si="1"/>
        <v>30041023</v>
      </c>
      <c r="J72" s="75">
        <f t="shared" si="1"/>
        <v>30601869</v>
      </c>
      <c r="K72" s="75">
        <f t="shared" si="1"/>
        <v>30642588</v>
      </c>
    </row>
    <row r="73" spans="1:11" ht="15.75" thickTop="1"/>
  </sheetData>
  <mergeCells count="6">
    <mergeCell ref="B38:K38"/>
    <mergeCell ref="B39:K39"/>
    <mergeCell ref="B40:K40"/>
    <mergeCell ref="B1:K1"/>
    <mergeCell ref="B2:K2"/>
    <mergeCell ref="B3:K3"/>
  </mergeCells>
  <printOptions horizontalCentered="1"/>
  <pageMargins left="0" right="0" top="0.25" bottom="0.25" header="0" footer="0"/>
  <pageSetup scale="74" orientation="landscape" r:id="rId1"/>
  <rowBreaks count="1" manualBreakCount="1">
    <brk id="37" max="10" man="1"/>
  </rowBreaks>
</worksheet>
</file>

<file path=xl/worksheets/sheet2.xml><?xml version="1.0" encoding="utf-8"?>
<worksheet xmlns="http://schemas.openxmlformats.org/spreadsheetml/2006/main" xmlns:r="http://schemas.openxmlformats.org/officeDocument/2006/relationships">
  <dimension ref="A1:M108"/>
  <sheetViews>
    <sheetView zoomScale="75" zoomScaleNormal="75" workbookViewId="0">
      <selection activeCell="Q20" sqref="Q20"/>
    </sheetView>
  </sheetViews>
  <sheetFormatPr defaultColWidth="10.42578125" defaultRowHeight="15"/>
  <cols>
    <col min="1" max="1" width="3.7109375" style="1" customWidth="1"/>
    <col min="2" max="2" width="25.85546875" style="1" customWidth="1"/>
    <col min="3" max="13" width="12.7109375" style="1" customWidth="1"/>
    <col min="14" max="16384" width="10.42578125" style="1"/>
  </cols>
  <sheetData>
    <row r="1" spans="1:13" ht="24" customHeight="1">
      <c r="A1" s="883" t="s">
        <v>735</v>
      </c>
      <c r="B1" s="883"/>
      <c r="C1" s="883"/>
      <c r="D1" s="883"/>
      <c r="E1" s="883"/>
      <c r="F1" s="883"/>
      <c r="G1" s="883"/>
      <c r="H1" s="883"/>
      <c r="I1" s="883"/>
      <c r="J1" s="883"/>
      <c r="K1" s="883"/>
      <c r="L1" s="883"/>
      <c r="M1" s="883"/>
    </row>
    <row r="2" spans="1:13" ht="24" customHeight="1">
      <c r="A2" s="884" t="s">
        <v>752</v>
      </c>
      <c r="B2" s="884"/>
      <c r="C2" s="884"/>
      <c r="D2" s="884"/>
      <c r="E2" s="884"/>
      <c r="F2" s="884"/>
      <c r="G2" s="884"/>
      <c r="H2" s="884"/>
      <c r="I2" s="884"/>
      <c r="J2" s="884"/>
      <c r="K2" s="884"/>
      <c r="L2" s="884"/>
      <c r="M2" s="884"/>
    </row>
    <row r="3" spans="1:13" ht="24" customHeight="1">
      <c r="A3" s="883" t="s">
        <v>1311</v>
      </c>
      <c r="B3" s="883"/>
      <c r="C3" s="883"/>
      <c r="D3" s="883"/>
      <c r="E3" s="883"/>
      <c r="F3" s="883"/>
      <c r="G3" s="883"/>
      <c r="H3" s="883"/>
      <c r="I3" s="883"/>
      <c r="J3" s="883"/>
      <c r="K3" s="883"/>
      <c r="L3" s="883"/>
      <c r="M3" s="883"/>
    </row>
    <row r="4" spans="1:13" ht="15" customHeight="1"/>
    <row r="5" spans="1:13" ht="15" customHeight="1">
      <c r="L5" s="65" t="s">
        <v>753</v>
      </c>
    </row>
    <row r="6" spans="1:13" ht="15" customHeight="1">
      <c r="D6" s="64" t="s">
        <v>754</v>
      </c>
      <c r="E6" s="64" t="s">
        <v>755</v>
      </c>
      <c r="F6" s="65" t="s">
        <v>756</v>
      </c>
      <c r="G6" s="64" t="s">
        <v>757</v>
      </c>
      <c r="H6" s="64" t="s">
        <v>758</v>
      </c>
      <c r="I6" s="64" t="s">
        <v>759</v>
      </c>
      <c r="J6" s="65" t="s">
        <v>760</v>
      </c>
      <c r="K6" s="65" t="s">
        <v>761</v>
      </c>
      <c r="L6" s="65" t="s">
        <v>762</v>
      </c>
      <c r="M6" s="65" t="s">
        <v>763</v>
      </c>
    </row>
    <row r="7" spans="1:13" ht="15" customHeight="1" thickBot="1">
      <c r="A7" s="66"/>
      <c r="B7" s="66" t="s">
        <v>737</v>
      </c>
      <c r="C7" s="77" t="s">
        <v>681</v>
      </c>
      <c r="D7" s="77" t="s">
        <v>764</v>
      </c>
      <c r="E7" s="67" t="s">
        <v>765</v>
      </c>
      <c r="F7" s="67" t="s">
        <v>766</v>
      </c>
      <c r="G7" s="67" t="s">
        <v>767</v>
      </c>
      <c r="H7" s="67" t="s">
        <v>768</v>
      </c>
      <c r="I7" s="67" t="s">
        <v>769</v>
      </c>
      <c r="J7" s="67" t="s">
        <v>770</v>
      </c>
      <c r="K7" s="67" t="s">
        <v>771</v>
      </c>
      <c r="L7" s="67" t="s">
        <v>772</v>
      </c>
      <c r="M7" s="67" t="s">
        <v>773</v>
      </c>
    </row>
    <row r="8" spans="1:13" ht="15" customHeight="1">
      <c r="A8" s="68"/>
      <c r="B8" s="68"/>
      <c r="C8" s="78"/>
      <c r="D8" s="78"/>
      <c r="E8" s="69"/>
      <c r="F8" s="69"/>
      <c r="G8" s="69"/>
      <c r="H8" s="69"/>
      <c r="I8" s="69"/>
      <c r="J8" s="69"/>
      <c r="K8" s="69"/>
      <c r="L8" s="69"/>
      <c r="M8" s="69"/>
    </row>
    <row r="9" spans="1:13" ht="15" customHeight="1"/>
    <row r="10" spans="1:13" ht="24" customHeight="1">
      <c r="A10" s="70" t="s">
        <v>738</v>
      </c>
      <c r="C10" s="2">
        <f>'Fund Cover Sheets'!G11</f>
        <v>11014213</v>
      </c>
      <c r="D10" s="2">
        <f>'Fund Cover Sheets'!G12</f>
        <v>2512487</v>
      </c>
      <c r="E10" s="2">
        <f>'Fund Cover Sheets'!G13</f>
        <v>336000</v>
      </c>
      <c r="F10" s="2">
        <f>'Fund Cover Sheets'!G14</f>
        <v>130400</v>
      </c>
      <c r="G10" s="2">
        <f>'Fund Cover Sheets'!G15</f>
        <v>1535112</v>
      </c>
      <c r="H10" s="2">
        <f>'Fund Cover Sheets'!G16</f>
        <v>20000</v>
      </c>
      <c r="I10" s="2">
        <f>'Fund Cover Sheets'!G17</f>
        <v>55000</v>
      </c>
      <c r="J10" s="2">
        <f>'Fund Cover Sheets'!G18</f>
        <v>21750</v>
      </c>
      <c r="K10" s="2">
        <v>0</v>
      </c>
      <c r="L10" s="2">
        <f>'Fund Cover Sheets'!G19</f>
        <v>18000</v>
      </c>
      <c r="M10" s="2">
        <f>SUM(C10:L10)</f>
        <v>15642962</v>
      </c>
    </row>
    <row r="11" spans="1:13" ht="15" customHeight="1">
      <c r="A11" s="70"/>
      <c r="C11" s="2"/>
      <c r="D11" s="2"/>
      <c r="E11" s="2"/>
      <c r="F11" s="2"/>
      <c r="G11" s="2"/>
      <c r="H11" s="2"/>
      <c r="I11" s="2"/>
      <c r="J11" s="2"/>
      <c r="K11" s="2"/>
      <c r="L11" s="2"/>
      <c r="M11" s="2"/>
    </row>
    <row r="12" spans="1:13" ht="24" customHeight="1">
      <c r="A12" s="70" t="s">
        <v>739</v>
      </c>
      <c r="C12" s="72"/>
      <c r="D12" s="72"/>
      <c r="E12" s="72"/>
      <c r="F12" s="72"/>
      <c r="G12" s="72"/>
      <c r="H12" s="72"/>
      <c r="I12" s="72"/>
      <c r="J12" s="72"/>
      <c r="K12" s="72"/>
      <c r="L12" s="3"/>
      <c r="M12" s="3"/>
    </row>
    <row r="13" spans="1:13" ht="24" customHeight="1">
      <c r="A13" s="70"/>
      <c r="B13" s="1" t="s">
        <v>665</v>
      </c>
      <c r="C13" s="72">
        <v>0</v>
      </c>
      <c r="D13" s="72">
        <f>'Fund Cover Sheets'!G128</f>
        <v>530817</v>
      </c>
      <c r="E13" s="72">
        <v>0</v>
      </c>
      <c r="F13" s="72">
        <v>0</v>
      </c>
      <c r="G13" s="72">
        <v>0</v>
      </c>
      <c r="H13" s="72">
        <f>'Fund Cover Sheets'!G129</f>
        <v>5000</v>
      </c>
      <c r="I13" s="72">
        <f>'Fund Cover Sheets'!G130</f>
        <v>0</v>
      </c>
      <c r="J13" s="72">
        <v>0</v>
      </c>
      <c r="K13" s="72">
        <v>0</v>
      </c>
      <c r="L13" s="3">
        <f>'Fund Cover Sheets'!G131</f>
        <v>0</v>
      </c>
      <c r="M13" s="2">
        <f>SUM(C13:L13)</f>
        <v>535817</v>
      </c>
    </row>
    <row r="14" spans="1:13" ht="24" customHeight="1">
      <c r="A14" s="71"/>
      <c r="B14" s="68" t="s">
        <v>740</v>
      </c>
      <c r="C14" s="72">
        <v>0</v>
      </c>
      <c r="D14" s="2">
        <f>'Fund Cover Sheets'!G452</f>
        <v>81815</v>
      </c>
      <c r="E14" s="72">
        <v>0</v>
      </c>
      <c r="F14" s="72">
        <v>0</v>
      </c>
      <c r="G14" s="2">
        <f>'Fund Cover Sheets'!G453</f>
        <v>430000</v>
      </c>
      <c r="H14" s="2">
        <f>'Fund Cover Sheets'!G454</f>
        <v>500</v>
      </c>
      <c r="I14" s="2">
        <f>'Fund Cover Sheets'!G455</f>
        <v>0</v>
      </c>
      <c r="J14" s="2">
        <f>'Fund Cover Sheets'!G456</f>
        <v>201000</v>
      </c>
      <c r="K14" s="2">
        <v>0</v>
      </c>
      <c r="L14" s="2">
        <f>'Fund Cover Sheets'!G457</f>
        <v>1274699</v>
      </c>
      <c r="M14" s="2">
        <f t="shared" ref="M14:M20" si="0">SUM(C14:L14)</f>
        <v>1988014</v>
      </c>
    </row>
    <row r="15" spans="1:13" ht="24" customHeight="1">
      <c r="A15" s="71"/>
      <c r="B15" s="68" t="s">
        <v>552</v>
      </c>
      <c r="C15" s="72">
        <v>0</v>
      </c>
      <c r="D15" s="72">
        <f>'Fund Cover Sheets'!G411</f>
        <v>702474</v>
      </c>
      <c r="E15" s="72">
        <v>0</v>
      </c>
      <c r="F15" s="72">
        <v>0</v>
      </c>
      <c r="G15" s="72">
        <v>0</v>
      </c>
      <c r="H15" s="72">
        <v>0</v>
      </c>
      <c r="I15" s="72">
        <f>'Fund Cover Sheets'!G414</f>
        <v>0</v>
      </c>
      <c r="J15" s="72">
        <v>0</v>
      </c>
      <c r="K15" s="72">
        <f>'Fund Cover Sheets'!G413</f>
        <v>11639</v>
      </c>
      <c r="L15" s="3">
        <f>'Fund Cover Sheets'!G415</f>
        <v>0</v>
      </c>
      <c r="M15" s="2">
        <f>SUM(C15:L15)</f>
        <v>714113</v>
      </c>
    </row>
    <row r="16" spans="1:13" ht="24" customHeight="1">
      <c r="A16" s="71"/>
      <c r="B16" s="68" t="s">
        <v>475</v>
      </c>
      <c r="C16" s="72">
        <f>'Fund Cover Sheets'!G581</f>
        <v>246261</v>
      </c>
      <c r="D16" s="72">
        <v>0</v>
      </c>
      <c r="E16" s="72">
        <v>0</v>
      </c>
      <c r="F16" s="72">
        <v>0</v>
      </c>
      <c r="G16" s="72">
        <v>0</v>
      </c>
      <c r="H16" s="72">
        <f>'Fund Cover Sheets'!G582</f>
        <v>0</v>
      </c>
      <c r="I16" s="72">
        <v>0</v>
      </c>
      <c r="J16" s="3">
        <v>0</v>
      </c>
      <c r="K16" s="3">
        <v>0</v>
      </c>
      <c r="L16" s="3">
        <v>0</v>
      </c>
      <c r="M16" s="2">
        <f>SUM(C16:L16)</f>
        <v>246261</v>
      </c>
    </row>
    <row r="17" spans="1:13" ht="24" customHeight="1">
      <c r="A17" s="71"/>
      <c r="B17" s="68" t="s">
        <v>479</v>
      </c>
      <c r="C17" s="2">
        <f>'Fund Cover Sheets'!G619</f>
        <v>80000</v>
      </c>
      <c r="D17" s="3">
        <f>'Fund Cover Sheets'!G620</f>
        <v>50536</v>
      </c>
      <c r="E17" s="3">
        <v>0</v>
      </c>
      <c r="F17" s="3">
        <v>0</v>
      </c>
      <c r="G17" s="3">
        <v>0</v>
      </c>
      <c r="H17" s="3">
        <f>'Fund Cover Sheets'!G621</f>
        <v>0</v>
      </c>
      <c r="I17" s="3">
        <v>0</v>
      </c>
      <c r="J17" s="3">
        <v>0</v>
      </c>
      <c r="K17" s="3">
        <v>0</v>
      </c>
      <c r="L17" s="3">
        <v>0</v>
      </c>
      <c r="M17" s="2">
        <f t="shared" si="0"/>
        <v>130536</v>
      </c>
    </row>
    <row r="18" spans="1:13" ht="24" customHeight="1">
      <c r="A18" s="71"/>
      <c r="B18" s="68" t="s">
        <v>1330</v>
      </c>
      <c r="C18" s="2">
        <f>'Fund Cover Sheets'!G658</f>
        <v>0</v>
      </c>
      <c r="D18" s="3">
        <v>0</v>
      </c>
      <c r="E18" s="3">
        <v>0</v>
      </c>
      <c r="F18" s="3">
        <v>0</v>
      </c>
      <c r="G18" s="3">
        <v>0</v>
      </c>
      <c r="H18" s="3">
        <f>'Fund Cover Sheets'!G659</f>
        <v>0</v>
      </c>
      <c r="I18" s="3">
        <v>0</v>
      </c>
      <c r="J18" s="3">
        <v>0</v>
      </c>
      <c r="K18" s="3">
        <v>0</v>
      </c>
      <c r="L18" s="3">
        <v>0</v>
      </c>
      <c r="M18" s="2">
        <f t="shared" si="0"/>
        <v>0</v>
      </c>
    </row>
    <row r="19" spans="1:13" ht="24" customHeight="1">
      <c r="A19" s="71"/>
      <c r="B19" s="68" t="s">
        <v>741</v>
      </c>
      <c r="C19" s="2">
        <f>'Fund Cover Sheets'!G57</f>
        <v>13381</v>
      </c>
      <c r="D19" s="2">
        <v>0</v>
      </c>
      <c r="E19" s="2">
        <v>0</v>
      </c>
      <c r="F19" s="2">
        <v>0</v>
      </c>
      <c r="G19" s="2">
        <v>0</v>
      </c>
      <c r="H19" s="2">
        <v>0</v>
      </c>
      <c r="I19" s="3">
        <v>0</v>
      </c>
      <c r="J19" s="3">
        <v>0</v>
      </c>
      <c r="K19" s="3">
        <v>0</v>
      </c>
      <c r="L19" s="3">
        <v>0</v>
      </c>
      <c r="M19" s="2">
        <f>SUM(C19:L19)</f>
        <v>13381</v>
      </c>
    </row>
    <row r="20" spans="1:13" ht="24" customHeight="1">
      <c r="A20" s="71"/>
      <c r="B20" s="68" t="s">
        <v>742</v>
      </c>
      <c r="C20" s="3">
        <f>'Fund Cover Sheets'!G93</f>
        <v>15637</v>
      </c>
      <c r="D20" s="3">
        <v>0</v>
      </c>
      <c r="E20" s="3">
        <v>0</v>
      </c>
      <c r="F20" s="3">
        <v>0</v>
      </c>
      <c r="G20" s="3">
        <v>0</v>
      </c>
      <c r="H20" s="3">
        <f>'Fund Cover Sheets'!G94</f>
        <v>0</v>
      </c>
      <c r="I20" s="3">
        <v>0</v>
      </c>
      <c r="J20" s="72">
        <v>0</v>
      </c>
      <c r="K20" s="72">
        <v>0</v>
      </c>
      <c r="L20" s="3">
        <v>0</v>
      </c>
      <c r="M20" s="2">
        <f t="shared" si="0"/>
        <v>15637</v>
      </c>
    </row>
    <row r="21" spans="1:13">
      <c r="A21" s="71"/>
      <c r="B21" s="68"/>
      <c r="C21" s="3"/>
      <c r="D21" s="3"/>
      <c r="E21" s="3"/>
      <c r="F21" s="3"/>
      <c r="G21" s="3"/>
      <c r="H21" s="3"/>
      <c r="I21" s="3"/>
      <c r="J21" s="72"/>
      <c r="K21" s="72"/>
      <c r="L21" s="3"/>
      <c r="M21" s="2"/>
    </row>
    <row r="22" spans="1:13" ht="24" customHeight="1">
      <c r="A22" s="70" t="s">
        <v>743</v>
      </c>
      <c r="B22" s="63"/>
      <c r="C22" s="2">
        <f>'Fund Cover Sheets'!G280</f>
        <v>0</v>
      </c>
      <c r="D22" s="3">
        <v>0</v>
      </c>
      <c r="E22" s="3">
        <f>'Fund Cover Sheets'!G281</f>
        <v>6000</v>
      </c>
      <c r="F22" s="3">
        <v>0</v>
      </c>
      <c r="G22" s="3">
        <v>0</v>
      </c>
      <c r="H22" s="3">
        <f>'Fund Cover Sheets'!G282</f>
        <v>0</v>
      </c>
      <c r="I22" s="3">
        <v>0</v>
      </c>
      <c r="J22" s="3">
        <v>0</v>
      </c>
      <c r="K22" s="3">
        <v>0</v>
      </c>
      <c r="L22" s="3">
        <f>'Fund Cover Sheets'!G283</f>
        <v>318725</v>
      </c>
      <c r="M22" s="2">
        <f>SUM(C22:L22)</f>
        <v>324725</v>
      </c>
    </row>
    <row r="23" spans="1:13" ht="15" customHeight="1">
      <c r="A23" s="70"/>
      <c r="B23" s="63"/>
      <c r="C23" s="2"/>
      <c r="D23" s="3"/>
      <c r="E23" s="3"/>
      <c r="F23" s="3"/>
      <c r="G23" s="3"/>
      <c r="H23" s="3"/>
      <c r="I23" s="3"/>
      <c r="J23" s="3"/>
      <c r="K23" s="3"/>
      <c r="L23" s="3"/>
      <c r="M23" s="2"/>
    </row>
    <row r="24" spans="1:13" ht="24" customHeight="1">
      <c r="A24" s="70" t="s">
        <v>744</v>
      </c>
      <c r="B24" s="63"/>
      <c r="C24" s="72"/>
      <c r="D24" s="72"/>
      <c r="E24" s="72"/>
      <c r="F24" s="72"/>
      <c r="G24" s="72"/>
      <c r="H24" s="72"/>
      <c r="I24" s="72"/>
      <c r="J24" s="72"/>
      <c r="K24" s="72"/>
      <c r="L24" s="72"/>
      <c r="M24" s="2"/>
    </row>
    <row r="25" spans="1:13" ht="24" customHeight="1">
      <c r="A25" s="71"/>
      <c r="B25" s="68" t="s">
        <v>868</v>
      </c>
      <c r="C25" s="72">
        <v>0</v>
      </c>
      <c r="D25" s="3">
        <v>0</v>
      </c>
      <c r="E25" s="3">
        <f>'Fund Cover Sheets'!G214</f>
        <v>120600</v>
      </c>
      <c r="F25" s="3">
        <f>'Fund Cover Sheets'!G215</f>
        <v>6700</v>
      </c>
      <c r="G25" s="3">
        <f>'Fund Cover Sheets'!G216</f>
        <v>107861</v>
      </c>
      <c r="H25" s="3">
        <f>'Fund Cover Sheets'!G217</f>
        <v>150</v>
      </c>
      <c r="I25" s="2">
        <v>0</v>
      </c>
      <c r="J25" s="3">
        <f>'Fund Cover Sheets'!G218</f>
        <v>2000</v>
      </c>
      <c r="K25" s="3">
        <v>0</v>
      </c>
      <c r="L25" s="3">
        <f>'Fund Cover Sheets'!G219</f>
        <v>0</v>
      </c>
      <c r="M25" s="2">
        <f>SUM(C25:L25)</f>
        <v>237311</v>
      </c>
    </row>
    <row r="26" spans="1:13" ht="24" customHeight="1">
      <c r="A26" s="71"/>
      <c r="B26" s="68" t="s">
        <v>746</v>
      </c>
      <c r="C26" s="3">
        <v>0</v>
      </c>
      <c r="D26" s="3">
        <f>'Fund Cover Sheets'!G167</f>
        <v>0</v>
      </c>
      <c r="E26" s="6">
        <f>'Fund Cover Sheets'!G168</f>
        <v>91500</v>
      </c>
      <c r="F26" s="3">
        <v>0</v>
      </c>
      <c r="G26" s="72">
        <f>'Fund Cover Sheets'!G169</f>
        <v>730000</v>
      </c>
      <c r="H26" s="72">
        <f>'Fund Cover Sheets'!G170</f>
        <v>1000</v>
      </c>
      <c r="I26" s="72">
        <f>'Fund Cover Sheets'!G171</f>
        <v>1109077</v>
      </c>
      <c r="J26" s="3">
        <f>'Fund Cover Sheets'!G172</f>
        <v>2000</v>
      </c>
      <c r="K26" s="3">
        <v>0</v>
      </c>
      <c r="L26" s="3">
        <f>'Fund Cover Sheets'!G173</f>
        <v>250000</v>
      </c>
      <c r="M26" s="2">
        <f>SUM(C26:L26)</f>
        <v>2183577</v>
      </c>
    </row>
    <row r="27" spans="1:13">
      <c r="A27" s="71"/>
      <c r="B27" s="68"/>
      <c r="C27" s="3"/>
      <c r="D27" s="3"/>
      <c r="E27" s="6"/>
      <c r="F27" s="3"/>
      <c r="G27" s="72"/>
      <c r="H27" s="72"/>
      <c r="I27" s="72"/>
      <c r="J27" s="3"/>
      <c r="K27" s="3"/>
      <c r="L27" s="3"/>
      <c r="M27" s="2"/>
    </row>
    <row r="28" spans="1:13" ht="24" customHeight="1">
      <c r="A28" s="70" t="s">
        <v>747</v>
      </c>
      <c r="B28" s="68"/>
      <c r="C28" s="2"/>
      <c r="D28" s="72"/>
      <c r="E28" s="72"/>
      <c r="F28" s="72"/>
      <c r="G28" s="72"/>
      <c r="H28" s="72"/>
      <c r="I28" s="72"/>
      <c r="J28" s="72"/>
      <c r="K28" s="72"/>
      <c r="L28" s="3"/>
      <c r="M28" s="3"/>
    </row>
    <row r="29" spans="1:13" ht="24" customHeight="1">
      <c r="B29" s="68" t="s">
        <v>550</v>
      </c>
      <c r="C29" s="72">
        <v>0</v>
      </c>
      <c r="D29" s="72">
        <v>0</v>
      </c>
      <c r="E29" s="72">
        <v>0</v>
      </c>
      <c r="F29" s="72">
        <v>0</v>
      </c>
      <c r="G29" s="2">
        <f>'Fund Cover Sheets'!G318</f>
        <v>4326486</v>
      </c>
      <c r="H29" s="2">
        <f>'Fund Cover Sheets'!G319</f>
        <v>7000</v>
      </c>
      <c r="I29" s="2">
        <f>'Fund Cover Sheets'!G320</f>
        <v>0</v>
      </c>
      <c r="J29" s="72">
        <f>'Fund Cover Sheets'!G321</f>
        <v>62491</v>
      </c>
      <c r="K29" s="72">
        <v>0</v>
      </c>
      <c r="L29" s="3">
        <f>'Fund Cover Sheets'!G322</f>
        <v>142541</v>
      </c>
      <c r="M29" s="2">
        <f>SUM(C29:L29)</f>
        <v>4538518</v>
      </c>
    </row>
    <row r="30" spans="1:13" ht="24" customHeight="1">
      <c r="B30" s="68" t="s">
        <v>551</v>
      </c>
      <c r="C30" s="72">
        <v>0</v>
      </c>
      <c r="D30" s="72">
        <v>0</v>
      </c>
      <c r="E30" s="72">
        <v>0</v>
      </c>
      <c r="F30" s="72">
        <v>0</v>
      </c>
      <c r="G30" s="72">
        <f>'Fund Cover Sheets'!G364</f>
        <v>1558658</v>
      </c>
      <c r="H30" s="72">
        <f>'Fund Cover Sheets'!G365</f>
        <v>1250</v>
      </c>
      <c r="I30" s="72">
        <f>'Fund Cover Sheets'!G366</f>
        <v>0</v>
      </c>
      <c r="J30" s="72">
        <v>0</v>
      </c>
      <c r="K30" s="72">
        <v>0</v>
      </c>
      <c r="L30" s="3">
        <f>'Fund Cover Sheets'!G367</f>
        <v>856583</v>
      </c>
      <c r="M30" s="2">
        <f>SUM(C30:L30)</f>
        <v>2416491</v>
      </c>
    </row>
    <row r="31" spans="1:13" ht="15" customHeight="1">
      <c r="B31" s="68"/>
      <c r="C31" s="72"/>
      <c r="D31" s="72"/>
      <c r="E31" s="72"/>
      <c r="F31" s="72"/>
      <c r="G31" s="72"/>
      <c r="H31" s="72"/>
      <c r="I31" s="72"/>
      <c r="J31" s="72"/>
      <c r="K31" s="72"/>
      <c r="L31" s="3"/>
      <c r="M31" s="2"/>
    </row>
    <row r="32" spans="1:13" ht="24" customHeight="1">
      <c r="A32" s="70" t="s">
        <v>748</v>
      </c>
      <c r="B32" s="68"/>
      <c r="C32" s="72"/>
      <c r="D32" s="72"/>
      <c r="E32" s="72"/>
      <c r="F32" s="72"/>
      <c r="G32" s="72"/>
      <c r="H32" s="72"/>
      <c r="I32" s="72"/>
      <c r="J32" s="72"/>
      <c r="K32" s="72"/>
      <c r="L32" s="72"/>
      <c r="M32" s="2"/>
    </row>
    <row r="33" spans="1:13" ht="24" customHeight="1">
      <c r="A33" s="70"/>
      <c r="B33" s="68" t="s">
        <v>544</v>
      </c>
      <c r="C33" s="72">
        <f>'Fund Cover Sheets'!G494</f>
        <v>1464606</v>
      </c>
      <c r="D33" s="72">
        <f>'Fund Cover Sheets'!G495</f>
        <v>18350</v>
      </c>
      <c r="E33" s="72">
        <v>0</v>
      </c>
      <c r="F33" s="72">
        <f>'Fund Cover Sheets'!G496</f>
        <v>8500</v>
      </c>
      <c r="G33" s="72">
        <f>'Fund Cover Sheets'!G497</f>
        <v>11500</v>
      </c>
      <c r="H33" s="72">
        <f>'Fund Cover Sheets'!G498</f>
        <v>1750</v>
      </c>
      <c r="I33" s="72">
        <f>'Fund Cover Sheets'!G499</f>
        <v>0</v>
      </c>
      <c r="J33" s="72">
        <f>'Fund Cover Sheets'!G500</f>
        <v>6750</v>
      </c>
      <c r="K33" s="72">
        <v>0</v>
      </c>
      <c r="L33" s="72">
        <f>'Fund Cover Sheets'!G501</f>
        <v>25179</v>
      </c>
      <c r="M33" s="2">
        <f>SUM(C33:L33)</f>
        <v>1536635</v>
      </c>
    </row>
    <row r="34" spans="1:13" ht="24" customHeight="1">
      <c r="A34" s="70"/>
      <c r="B34" s="68" t="s">
        <v>749</v>
      </c>
      <c r="C34" s="72">
        <v>0</v>
      </c>
      <c r="D34" s="72">
        <v>0</v>
      </c>
      <c r="E34" s="72">
        <f>'Fund Cover Sheets'!G542</f>
        <v>43200</v>
      </c>
      <c r="F34" s="72">
        <v>0</v>
      </c>
      <c r="G34" s="72">
        <v>0</v>
      </c>
      <c r="H34" s="72">
        <f>'Fund Cover Sheets'!G543</f>
        <v>10</v>
      </c>
      <c r="I34" s="72">
        <v>0</v>
      </c>
      <c r="J34" s="72">
        <v>0</v>
      </c>
      <c r="K34" s="72">
        <v>0</v>
      </c>
      <c r="L34" s="72">
        <v>0</v>
      </c>
      <c r="M34" s="2">
        <f>SUM(C34:L34)</f>
        <v>43210</v>
      </c>
    </row>
    <row r="35" spans="1:13" ht="15" customHeight="1">
      <c r="A35" s="70"/>
      <c r="B35" s="68"/>
      <c r="C35" s="72"/>
      <c r="D35" s="72"/>
      <c r="E35" s="72"/>
      <c r="F35" s="72"/>
      <c r="G35" s="72"/>
      <c r="H35" s="72"/>
      <c r="I35" s="72"/>
      <c r="J35" s="72"/>
      <c r="K35" s="72"/>
      <c r="L35" s="72"/>
      <c r="M35" s="2"/>
    </row>
    <row r="36" spans="1:13" ht="24" customHeight="1" thickBot="1">
      <c r="A36" s="7"/>
      <c r="B36" s="74" t="s">
        <v>805</v>
      </c>
      <c r="C36" s="80">
        <f t="shared" ref="C36:M36" si="1">SUM(C10:C35)</f>
        <v>12834098</v>
      </c>
      <c r="D36" s="80">
        <f t="shared" si="1"/>
        <v>3896479</v>
      </c>
      <c r="E36" s="80">
        <f t="shared" si="1"/>
        <v>597300</v>
      </c>
      <c r="F36" s="80">
        <f t="shared" si="1"/>
        <v>145600</v>
      </c>
      <c r="G36" s="80">
        <f t="shared" si="1"/>
        <v>8699617</v>
      </c>
      <c r="H36" s="80">
        <f t="shared" si="1"/>
        <v>36660</v>
      </c>
      <c r="I36" s="80">
        <f t="shared" si="1"/>
        <v>1164077</v>
      </c>
      <c r="J36" s="80">
        <f t="shared" si="1"/>
        <v>295991</v>
      </c>
      <c r="K36" s="80">
        <f t="shared" si="1"/>
        <v>11639</v>
      </c>
      <c r="L36" s="80">
        <f t="shared" si="1"/>
        <v>2885727</v>
      </c>
      <c r="M36" s="80">
        <f t="shared" si="1"/>
        <v>30567188</v>
      </c>
    </row>
    <row r="37" spans="1:13" ht="15" customHeight="1" thickTop="1">
      <c r="C37" s="2"/>
      <c r="D37" s="2"/>
      <c r="E37" s="2"/>
      <c r="F37" s="2"/>
      <c r="G37" s="2"/>
      <c r="H37" s="2"/>
      <c r="I37" s="2"/>
      <c r="J37" s="2"/>
      <c r="K37" s="2"/>
      <c r="L37" s="2"/>
    </row>
    <row r="38" spans="1:13" ht="15" customHeight="1">
      <c r="C38" s="81"/>
      <c r="D38" s="81"/>
      <c r="E38" s="81"/>
      <c r="F38" s="81"/>
      <c r="G38" s="81"/>
      <c r="H38" s="81"/>
      <c r="I38" s="81"/>
      <c r="J38" s="81"/>
      <c r="K38" s="81"/>
      <c r="L38" s="81"/>
      <c r="M38" s="81"/>
    </row>
    <row r="39" spans="1:13" ht="24" customHeight="1">
      <c r="A39" s="883" t="s">
        <v>735</v>
      </c>
      <c r="B39" s="883"/>
      <c r="C39" s="883"/>
      <c r="D39" s="883"/>
      <c r="E39" s="883"/>
      <c r="F39" s="883"/>
      <c r="G39" s="883"/>
      <c r="H39" s="883"/>
      <c r="I39" s="883"/>
      <c r="J39" s="883"/>
      <c r="K39" s="381"/>
      <c r="L39" s="381"/>
      <c r="M39" s="2"/>
    </row>
    <row r="40" spans="1:13" ht="24" customHeight="1">
      <c r="A40" s="884" t="s">
        <v>774</v>
      </c>
      <c r="B40" s="884"/>
      <c r="C40" s="884"/>
      <c r="D40" s="884"/>
      <c r="E40" s="884"/>
      <c r="F40" s="884"/>
      <c r="G40" s="884"/>
      <c r="H40" s="884"/>
      <c r="I40" s="884"/>
      <c r="J40" s="884"/>
      <c r="K40" s="382"/>
      <c r="L40" s="382"/>
    </row>
    <row r="41" spans="1:13" ht="24" customHeight="1">
      <c r="A41" s="883" t="s">
        <v>1311</v>
      </c>
      <c r="B41" s="883"/>
      <c r="C41" s="883"/>
      <c r="D41" s="883"/>
      <c r="E41" s="883"/>
      <c r="F41" s="883"/>
      <c r="G41" s="883"/>
      <c r="H41" s="883"/>
      <c r="I41" s="883"/>
      <c r="J41" s="883"/>
      <c r="K41" s="381"/>
      <c r="L41" s="381"/>
      <c r="M41" s="2"/>
    </row>
    <row r="42" spans="1:13" ht="15" customHeight="1">
      <c r="M42" s="2"/>
    </row>
    <row r="43" spans="1:13" ht="15" customHeight="1">
      <c r="J43" s="64" t="s">
        <v>753</v>
      </c>
      <c r="M43" s="2"/>
    </row>
    <row r="44" spans="1:13" ht="15" customHeight="1">
      <c r="C44" s="64"/>
      <c r="D44" s="64"/>
      <c r="E44" s="64" t="s">
        <v>775</v>
      </c>
      <c r="F44" s="65"/>
      <c r="G44" s="64" t="s">
        <v>776</v>
      </c>
      <c r="H44" s="64" t="s">
        <v>1172</v>
      </c>
      <c r="I44" s="64" t="s">
        <v>777</v>
      </c>
      <c r="J44" s="65" t="s">
        <v>778</v>
      </c>
      <c r="K44" s="65" t="s">
        <v>763</v>
      </c>
      <c r="M44" s="2"/>
    </row>
    <row r="45" spans="1:13" ht="15" customHeight="1" thickBot="1">
      <c r="A45" s="66"/>
      <c r="B45" s="66" t="s">
        <v>737</v>
      </c>
      <c r="C45" s="77" t="s">
        <v>691</v>
      </c>
      <c r="D45" s="77" t="s">
        <v>692</v>
      </c>
      <c r="E45" s="67" t="s">
        <v>779</v>
      </c>
      <c r="F45" s="67" t="s">
        <v>694</v>
      </c>
      <c r="G45" s="67" t="s">
        <v>780</v>
      </c>
      <c r="H45" s="67" t="s">
        <v>1173</v>
      </c>
      <c r="I45" s="67" t="s">
        <v>781</v>
      </c>
      <c r="J45" s="67" t="s">
        <v>782</v>
      </c>
      <c r="K45" s="67" t="s">
        <v>773</v>
      </c>
      <c r="M45" s="2"/>
    </row>
    <row r="46" spans="1:13" s="63" customFormat="1" ht="15" customHeight="1">
      <c r="A46" s="68"/>
      <c r="B46" s="68"/>
      <c r="C46" s="78"/>
      <c r="D46" s="78"/>
      <c r="E46" s="69"/>
      <c r="F46" s="69"/>
      <c r="G46" s="69"/>
      <c r="I46" s="69"/>
      <c r="J46" s="69"/>
      <c r="K46" s="69"/>
      <c r="M46" s="3"/>
    </row>
    <row r="47" spans="1:13" ht="15" customHeight="1">
      <c r="M47" s="2"/>
    </row>
    <row r="48" spans="1:13" ht="24" customHeight="1">
      <c r="A48" s="70" t="s">
        <v>738</v>
      </c>
      <c r="C48" s="3">
        <f>'Fund Cover Sheets'!G23</f>
        <v>4901639</v>
      </c>
      <c r="D48" s="3">
        <f>'Fund Cover Sheets'!G24</f>
        <v>3056457</v>
      </c>
      <c r="E48" s="3">
        <f>'Fund Cover Sheets'!G25</f>
        <v>4937900</v>
      </c>
      <c r="F48" s="3">
        <f>'Fund Cover Sheets'!G26</f>
        <v>330998</v>
      </c>
      <c r="G48" s="3">
        <v>0</v>
      </c>
      <c r="H48" s="2">
        <v>0</v>
      </c>
      <c r="I48" s="3">
        <v>0</v>
      </c>
      <c r="J48" s="3">
        <f>'Fund Cover Sheets'!G27</f>
        <v>2725186</v>
      </c>
      <c r="K48" s="3">
        <f>SUM(C48:J48)</f>
        <v>15952180</v>
      </c>
      <c r="M48" s="2"/>
    </row>
    <row r="49" spans="1:13" ht="15" customHeight="1">
      <c r="A49" s="70"/>
      <c r="C49" s="3"/>
      <c r="D49" s="3"/>
      <c r="E49" s="3"/>
      <c r="F49" s="3"/>
      <c r="G49" s="3"/>
      <c r="H49" s="2"/>
      <c r="I49" s="3"/>
      <c r="J49" s="3"/>
      <c r="K49" s="3"/>
      <c r="M49" s="2"/>
    </row>
    <row r="50" spans="1:13" ht="24" customHeight="1">
      <c r="A50" s="70" t="s">
        <v>739</v>
      </c>
      <c r="C50" s="72"/>
      <c r="D50" s="72"/>
      <c r="E50" s="72"/>
      <c r="F50" s="72"/>
      <c r="G50" s="72"/>
      <c r="H50" s="2"/>
      <c r="I50" s="72"/>
      <c r="J50" s="3"/>
      <c r="K50" s="3"/>
      <c r="M50" s="6"/>
    </row>
    <row r="51" spans="1:13" ht="24" customHeight="1">
      <c r="A51" s="70"/>
      <c r="B51" s="1" t="s">
        <v>665</v>
      </c>
      <c r="C51" s="72">
        <v>0</v>
      </c>
      <c r="D51" s="72">
        <v>0</v>
      </c>
      <c r="E51" s="72">
        <f>'Fund Cover Sheets'!G135</f>
        <v>97000</v>
      </c>
      <c r="F51" s="72">
        <f>'Fund Cover Sheets'!G136</f>
        <v>90000</v>
      </c>
      <c r="G51" s="72">
        <f>'Fund Cover Sheets'!G137</f>
        <v>504787</v>
      </c>
      <c r="H51" s="2">
        <v>0</v>
      </c>
      <c r="I51" s="72">
        <v>0</v>
      </c>
      <c r="J51" s="3">
        <v>0</v>
      </c>
      <c r="K51" s="3">
        <f t="shared" ref="K51:K58" si="2">SUM(C51:J51)</f>
        <v>691787</v>
      </c>
      <c r="M51" s="6"/>
    </row>
    <row r="52" spans="1:13" ht="24" customHeight="1">
      <c r="A52" s="71"/>
      <c r="B52" s="68" t="s">
        <v>740</v>
      </c>
      <c r="C52" s="72">
        <f>'Fund Cover Sheets'!G461</f>
        <v>972772</v>
      </c>
      <c r="D52" s="72">
        <f>'Fund Cover Sheets'!G462</f>
        <v>432587</v>
      </c>
      <c r="E52" s="2">
        <f>'Fund Cover Sheets'!G463</f>
        <v>294214</v>
      </c>
      <c r="F52" s="72">
        <f>'Fund Cover Sheets'!G464</f>
        <v>386735</v>
      </c>
      <c r="G52" s="72">
        <v>0</v>
      </c>
      <c r="H52" s="2">
        <v>0</v>
      </c>
      <c r="I52" s="72">
        <v>0</v>
      </c>
      <c r="J52" s="3">
        <v>0</v>
      </c>
      <c r="K52" s="3">
        <f t="shared" si="2"/>
        <v>2086308</v>
      </c>
      <c r="M52" s="6"/>
    </row>
    <row r="53" spans="1:13" ht="24" customHeight="1">
      <c r="A53" s="71"/>
      <c r="B53" s="68" t="s">
        <v>552</v>
      </c>
      <c r="C53" s="72">
        <v>0</v>
      </c>
      <c r="D53" s="72">
        <v>0</v>
      </c>
      <c r="E53" s="72">
        <v>0</v>
      </c>
      <c r="F53" s="72">
        <v>0</v>
      </c>
      <c r="G53" s="72">
        <f>'Fund Cover Sheets'!G420</f>
        <v>465000</v>
      </c>
      <c r="H53" s="2">
        <v>0</v>
      </c>
      <c r="I53" s="72">
        <v>0</v>
      </c>
      <c r="J53" s="3">
        <v>0</v>
      </c>
      <c r="K53" s="3">
        <f t="shared" si="2"/>
        <v>465000</v>
      </c>
      <c r="M53" s="6"/>
    </row>
    <row r="54" spans="1:13" ht="24" customHeight="1">
      <c r="A54" s="71"/>
      <c r="B54" s="68" t="s">
        <v>475</v>
      </c>
      <c r="C54" s="72">
        <v>0</v>
      </c>
      <c r="D54" s="72">
        <v>0</v>
      </c>
      <c r="E54" s="72">
        <f>'Fund Cover Sheets'!G587</f>
        <v>713749</v>
      </c>
      <c r="F54" s="72">
        <v>0</v>
      </c>
      <c r="G54" s="72">
        <v>0</v>
      </c>
      <c r="H54" s="2">
        <v>0</v>
      </c>
      <c r="I54" s="72">
        <f>'Fund Cover Sheets'!G588</f>
        <v>149358</v>
      </c>
      <c r="J54" s="3">
        <v>0</v>
      </c>
      <c r="K54" s="3">
        <f t="shared" si="2"/>
        <v>863107</v>
      </c>
      <c r="M54" s="6"/>
    </row>
    <row r="55" spans="1:13" ht="24" customHeight="1">
      <c r="A55" s="71"/>
      <c r="B55" s="68" t="s">
        <v>479</v>
      </c>
      <c r="C55" s="2">
        <v>0</v>
      </c>
      <c r="D55" s="72">
        <v>0</v>
      </c>
      <c r="E55" s="2">
        <f>'Fund Cover Sheets'!G626</f>
        <v>72533</v>
      </c>
      <c r="F55" s="72">
        <v>0</v>
      </c>
      <c r="G55" s="72">
        <f>'Fund Cover Sheets'!G627</f>
        <v>120910</v>
      </c>
      <c r="H55" s="2">
        <v>0</v>
      </c>
      <c r="I55" s="72">
        <f>'Fund Cover Sheets'!G628</f>
        <v>225800</v>
      </c>
      <c r="J55" s="3">
        <v>0</v>
      </c>
      <c r="K55" s="3">
        <f t="shared" si="2"/>
        <v>419243</v>
      </c>
      <c r="M55" s="6"/>
    </row>
    <row r="56" spans="1:13" ht="24" customHeight="1">
      <c r="A56" s="71"/>
      <c r="B56" s="68" t="s">
        <v>1330</v>
      </c>
      <c r="C56" s="2">
        <v>0</v>
      </c>
      <c r="D56" s="72">
        <v>0</v>
      </c>
      <c r="E56" s="2">
        <f>'Fund Cover Sheets'!G663</f>
        <v>10000</v>
      </c>
      <c r="F56" s="72">
        <v>0</v>
      </c>
      <c r="G56" s="72">
        <f>'Fund Cover Sheets'!G664</f>
        <v>0</v>
      </c>
      <c r="H56" s="2">
        <v>0</v>
      </c>
      <c r="I56" s="72">
        <v>0</v>
      </c>
      <c r="J56" s="3">
        <v>0</v>
      </c>
      <c r="K56" s="3">
        <f t="shared" si="2"/>
        <v>10000</v>
      </c>
      <c r="M56" s="6"/>
    </row>
    <row r="57" spans="1:13" ht="24" customHeight="1">
      <c r="A57" s="71"/>
      <c r="B57" s="68" t="s">
        <v>741</v>
      </c>
      <c r="C57" s="3">
        <v>0</v>
      </c>
      <c r="D57" s="3">
        <v>0</v>
      </c>
      <c r="E57" s="3">
        <f>'Fund Cover Sheets'!G62</f>
        <v>8835</v>
      </c>
      <c r="F57" s="3">
        <v>0</v>
      </c>
      <c r="G57" s="3">
        <v>0</v>
      </c>
      <c r="H57" s="2">
        <v>0</v>
      </c>
      <c r="I57" s="3">
        <v>0</v>
      </c>
      <c r="J57" s="3">
        <v>0</v>
      </c>
      <c r="K57" s="3">
        <f t="shared" si="2"/>
        <v>8835</v>
      </c>
      <c r="M57" s="6"/>
    </row>
    <row r="58" spans="1:13" ht="24" customHeight="1">
      <c r="A58" s="71"/>
      <c r="B58" s="68" t="s">
        <v>742</v>
      </c>
      <c r="C58" s="3">
        <v>0</v>
      </c>
      <c r="D58" s="3">
        <v>0</v>
      </c>
      <c r="E58" s="3">
        <f>'Fund Cover Sheets'!G98</f>
        <v>18835</v>
      </c>
      <c r="F58" s="3">
        <v>0</v>
      </c>
      <c r="G58" s="3">
        <v>0</v>
      </c>
      <c r="H58" s="2">
        <v>0</v>
      </c>
      <c r="I58" s="72">
        <v>0</v>
      </c>
      <c r="J58" s="2">
        <v>0</v>
      </c>
      <c r="K58" s="3">
        <f t="shared" si="2"/>
        <v>18835</v>
      </c>
      <c r="M58" s="6"/>
    </row>
    <row r="59" spans="1:13">
      <c r="A59" s="71"/>
      <c r="B59" s="68"/>
      <c r="C59" s="3"/>
      <c r="D59" s="3"/>
      <c r="E59" s="3"/>
      <c r="F59" s="3"/>
      <c r="G59" s="3"/>
      <c r="H59" s="2"/>
      <c r="I59" s="72"/>
      <c r="J59" s="2"/>
      <c r="K59" s="3"/>
      <c r="M59" s="6"/>
    </row>
    <row r="60" spans="1:13" ht="24" customHeight="1">
      <c r="A60" s="70" t="s">
        <v>743</v>
      </c>
      <c r="B60" s="63"/>
      <c r="C60" s="72">
        <v>0</v>
      </c>
      <c r="D60" s="72">
        <v>0</v>
      </c>
      <c r="E60" s="72">
        <f>'Fund Cover Sheets'!G287</f>
        <v>475</v>
      </c>
      <c r="F60" s="72">
        <v>0</v>
      </c>
      <c r="G60" s="72">
        <v>0</v>
      </c>
      <c r="H60" s="2">
        <v>0</v>
      </c>
      <c r="I60" s="3">
        <f>'Fund Cover Sheets'!G288</f>
        <v>324250</v>
      </c>
      <c r="J60" s="2">
        <v>0</v>
      </c>
      <c r="K60" s="3">
        <f>SUM(C60:J60)</f>
        <v>324725</v>
      </c>
      <c r="M60" s="6"/>
    </row>
    <row r="61" spans="1:13">
      <c r="A61" s="71"/>
      <c r="B61" s="63"/>
      <c r="C61" s="3"/>
      <c r="D61" s="3"/>
      <c r="E61" s="2"/>
      <c r="F61" s="3"/>
      <c r="G61" s="72"/>
      <c r="H61" s="2"/>
      <c r="I61" s="3"/>
      <c r="J61" s="2"/>
      <c r="K61" s="3"/>
    </row>
    <row r="62" spans="1:13" ht="24" customHeight="1">
      <c r="A62" s="70" t="s">
        <v>744</v>
      </c>
      <c r="B62" s="63"/>
      <c r="C62" s="72"/>
      <c r="D62" s="72"/>
      <c r="E62" s="2"/>
      <c r="F62" s="72"/>
      <c r="G62" s="72"/>
      <c r="H62" s="2"/>
      <c r="I62" s="72"/>
      <c r="J62" s="2"/>
      <c r="K62" s="3"/>
    </row>
    <row r="63" spans="1:13" ht="24" customHeight="1">
      <c r="A63" s="71"/>
      <c r="B63" s="68" t="s">
        <v>868</v>
      </c>
      <c r="C63" s="3">
        <v>0</v>
      </c>
      <c r="D63" s="3">
        <v>0</v>
      </c>
      <c r="E63" s="2">
        <f>'Fund Cover Sheets'!G223+'Fund Cover Sheets'!G233</f>
        <v>10500</v>
      </c>
      <c r="F63" s="3">
        <f>'Fund Cover Sheets'!G234+'Fund Cover Sheets'!G228</f>
        <v>36411</v>
      </c>
      <c r="G63" s="3">
        <f>'Fund Cover Sheets'!G224+'Fund Cover Sheets'!G235+'Fund Cover Sheets'!G241+'Fund Cover Sheets'!G229</f>
        <v>157000</v>
      </c>
      <c r="H63" s="2">
        <v>0</v>
      </c>
      <c r="I63" s="3">
        <f>'Fund Cover Sheets'!G236+'Fund Cover Sheets'!G242</f>
        <v>73034</v>
      </c>
      <c r="J63" s="3">
        <v>0</v>
      </c>
      <c r="K63" s="3">
        <f>SUM(C63:J63)</f>
        <v>276945</v>
      </c>
    </row>
    <row r="64" spans="1:13" ht="24" customHeight="1">
      <c r="A64" s="71"/>
      <c r="B64" s="68" t="s">
        <v>746</v>
      </c>
      <c r="C64" s="3">
        <v>0</v>
      </c>
      <c r="D64" s="72">
        <v>0</v>
      </c>
      <c r="E64" s="72">
        <f>'Fund Cover Sheets'!G177</f>
        <v>216675</v>
      </c>
      <c r="F64" s="72">
        <f>'Fund Cover Sheets'!G178</f>
        <v>27000</v>
      </c>
      <c r="G64" s="72">
        <f>'Fund Cover Sheets'!G179</f>
        <v>1888049</v>
      </c>
      <c r="H64" s="2">
        <v>0</v>
      </c>
      <c r="I64" s="72">
        <f>'Fund Cover Sheets'!G180</f>
        <v>407563</v>
      </c>
      <c r="J64" s="72">
        <f>'Fund Cover Sheets'!G181</f>
        <v>82866</v>
      </c>
      <c r="K64" s="3">
        <f>SUM(C64:J64)</f>
        <v>2622153</v>
      </c>
    </row>
    <row r="65" spans="1:11">
      <c r="A65" s="71"/>
      <c r="B65" s="68"/>
      <c r="C65" s="3"/>
      <c r="D65" s="72"/>
      <c r="E65" s="72"/>
      <c r="F65" s="72"/>
      <c r="G65" s="72"/>
      <c r="H65" s="2"/>
      <c r="I65" s="72"/>
      <c r="J65" s="72"/>
      <c r="K65" s="3"/>
    </row>
    <row r="66" spans="1:11" ht="24" customHeight="1">
      <c r="A66" s="70" t="s">
        <v>747</v>
      </c>
      <c r="B66" s="68"/>
      <c r="C66" s="2"/>
      <c r="D66" s="72"/>
      <c r="E66" s="72"/>
      <c r="F66" s="72"/>
      <c r="G66" s="72"/>
      <c r="H66" s="2"/>
      <c r="I66" s="72"/>
      <c r="J66" s="3"/>
      <c r="K66" s="3"/>
    </row>
    <row r="67" spans="1:11" ht="24" customHeight="1">
      <c r="B67" s="68" t="s">
        <v>550</v>
      </c>
      <c r="C67" s="2">
        <f>'Fund Cover Sheets'!G326</f>
        <v>441121</v>
      </c>
      <c r="D67" s="72">
        <f>'Fund Cover Sheets'!G327</f>
        <v>257466</v>
      </c>
      <c r="E67" s="72">
        <f>'Fund Cover Sheets'!G328</f>
        <v>734523</v>
      </c>
      <c r="F67" s="72">
        <f>'Fund Cover Sheets'!G329</f>
        <v>354448</v>
      </c>
      <c r="G67" s="72">
        <f>'Fund Cover Sheets'!G330</f>
        <v>1555976</v>
      </c>
      <c r="H67" s="2">
        <v>0</v>
      </c>
      <c r="I67" s="72">
        <f>'Fund Cover Sheets'!G331</f>
        <v>1532837</v>
      </c>
      <c r="J67" s="3">
        <f>'Fund Cover Sheets'!G332</f>
        <v>0</v>
      </c>
      <c r="K67" s="3">
        <f>SUM(C67:J67)</f>
        <v>4876371</v>
      </c>
    </row>
    <row r="68" spans="1:11" ht="24" customHeight="1">
      <c r="B68" s="68" t="s">
        <v>551</v>
      </c>
      <c r="C68" s="2">
        <f>'Fund Cover Sheets'!G371</f>
        <v>234507</v>
      </c>
      <c r="D68" s="2">
        <f>'Fund Cover Sheets'!G372</f>
        <v>113682</v>
      </c>
      <c r="E68" s="2">
        <f>'Fund Cover Sheets'!G373</f>
        <v>139140</v>
      </c>
      <c r="F68" s="72">
        <f>'Fund Cover Sheets'!G374</f>
        <v>51080</v>
      </c>
      <c r="G68" s="72">
        <f>'Fund Cover Sheets'!G375</f>
        <v>513167</v>
      </c>
      <c r="H68" s="2">
        <f>'Fund Cover Sheets'!G376</f>
        <v>35938</v>
      </c>
      <c r="I68" s="72">
        <f>'Fund Cover Sheets'!G377</f>
        <v>1880265</v>
      </c>
      <c r="J68" s="3">
        <f>'Fund Cover Sheets'!G378</f>
        <v>77675</v>
      </c>
      <c r="K68" s="3">
        <f>SUM(C68:J68)</f>
        <v>3045454</v>
      </c>
    </row>
    <row r="69" spans="1:11">
      <c r="B69" s="68"/>
      <c r="C69" s="72"/>
      <c r="D69" s="72"/>
      <c r="E69" s="72"/>
      <c r="F69" s="72"/>
      <c r="G69" s="72"/>
      <c r="H69" s="2"/>
      <c r="I69" s="72"/>
      <c r="J69" s="72"/>
      <c r="K69" s="3"/>
    </row>
    <row r="70" spans="1:11" ht="24" customHeight="1">
      <c r="A70" s="70" t="s">
        <v>748</v>
      </c>
      <c r="B70" s="68"/>
      <c r="C70" s="72"/>
      <c r="D70" s="72"/>
      <c r="E70" s="72"/>
      <c r="F70" s="72"/>
      <c r="G70" s="72"/>
      <c r="H70" s="2"/>
      <c r="I70" s="72"/>
      <c r="J70" s="72"/>
      <c r="K70" s="3"/>
    </row>
    <row r="71" spans="1:11" ht="24" customHeight="1">
      <c r="A71" s="70"/>
      <c r="B71" s="68" t="s">
        <v>544</v>
      </c>
      <c r="C71" s="72">
        <f>'Fund Cover Sheets'!G505</f>
        <v>422698</v>
      </c>
      <c r="D71" s="72">
        <f>'Fund Cover Sheets'!G506</f>
        <v>166150</v>
      </c>
      <c r="E71" s="72">
        <f>'Fund Cover Sheets'!G507</f>
        <v>145840</v>
      </c>
      <c r="F71" s="72">
        <f>'Fund Cover Sheets'!G508</f>
        <v>21200</v>
      </c>
      <c r="G71" s="72">
        <v>0</v>
      </c>
      <c r="H71" s="2">
        <v>0</v>
      </c>
      <c r="I71" s="72">
        <f>'Fund Cover Sheets'!G509</f>
        <v>792101</v>
      </c>
      <c r="J71" s="72">
        <v>0</v>
      </c>
      <c r="K71" s="3">
        <f>SUM(C71:J71)</f>
        <v>1547989</v>
      </c>
    </row>
    <row r="72" spans="1:11" ht="24" customHeight="1">
      <c r="A72" s="70"/>
      <c r="B72" s="68" t="s">
        <v>749</v>
      </c>
      <c r="C72" s="72">
        <v>0</v>
      </c>
      <c r="D72" s="72">
        <v>0</v>
      </c>
      <c r="E72" s="72">
        <f>'Fund Cover Sheets'!G548</f>
        <v>3500</v>
      </c>
      <c r="F72" s="72">
        <f>'Fund Cover Sheets'!G549</f>
        <v>48600</v>
      </c>
      <c r="G72" s="72">
        <v>0</v>
      </c>
      <c r="H72" s="2">
        <v>0</v>
      </c>
      <c r="I72" s="72">
        <v>0</v>
      </c>
      <c r="J72" s="72">
        <v>0</v>
      </c>
      <c r="K72" s="3">
        <f>SUM(C72:J72)</f>
        <v>52100</v>
      </c>
    </row>
    <row r="73" spans="1:11">
      <c r="A73" s="73"/>
      <c r="B73" s="68"/>
      <c r="C73" s="72"/>
      <c r="D73" s="72"/>
      <c r="E73" s="72"/>
      <c r="F73" s="72"/>
      <c r="G73" s="72"/>
      <c r="H73" s="2"/>
      <c r="I73" s="72"/>
      <c r="J73" s="3"/>
      <c r="K73" s="3"/>
    </row>
    <row r="74" spans="1:11" ht="24" customHeight="1" thickBot="1">
      <c r="A74" s="7"/>
      <c r="B74" s="74" t="s">
        <v>806</v>
      </c>
      <c r="C74" s="80">
        <f t="shared" ref="C74:K74" si="3">SUM(C48:C73)</f>
        <v>6972737</v>
      </c>
      <c r="D74" s="80">
        <f t="shared" si="3"/>
        <v>4026342</v>
      </c>
      <c r="E74" s="80">
        <f t="shared" si="3"/>
        <v>7403719</v>
      </c>
      <c r="F74" s="80">
        <f t="shared" si="3"/>
        <v>1346472</v>
      </c>
      <c r="G74" s="80">
        <f t="shared" si="3"/>
        <v>5204889</v>
      </c>
      <c r="H74" s="80">
        <f t="shared" si="3"/>
        <v>35938</v>
      </c>
      <c r="I74" s="80">
        <f t="shared" si="3"/>
        <v>5385208</v>
      </c>
      <c r="J74" s="80">
        <f t="shared" si="3"/>
        <v>2885727</v>
      </c>
      <c r="K74" s="80">
        <f t="shared" si="3"/>
        <v>33261032</v>
      </c>
    </row>
    <row r="75" spans="1:11" ht="15.75" thickTop="1">
      <c r="C75" s="76"/>
      <c r="D75" s="76"/>
      <c r="E75" s="76"/>
      <c r="F75" s="76"/>
      <c r="G75" s="76"/>
      <c r="H75" s="88"/>
      <c r="I75" s="76"/>
    </row>
    <row r="76" spans="1:11">
      <c r="C76" s="76"/>
      <c r="D76" s="76"/>
      <c r="E76" s="76"/>
      <c r="F76" s="76"/>
      <c r="G76" s="76"/>
      <c r="H76" s="88"/>
      <c r="I76" s="76"/>
    </row>
    <row r="77" spans="1:11">
      <c r="C77" s="76"/>
      <c r="D77" s="76"/>
      <c r="E77" s="76"/>
      <c r="F77" s="76"/>
      <c r="G77" s="76"/>
      <c r="H77" s="88"/>
      <c r="I77" s="76"/>
    </row>
    <row r="78" spans="1:11">
      <c r="C78" s="76"/>
      <c r="D78" s="76"/>
      <c r="E78" s="76"/>
      <c r="F78" s="76"/>
      <c r="G78" s="76"/>
      <c r="H78" s="88"/>
      <c r="I78" s="76"/>
    </row>
    <row r="79" spans="1:11">
      <c r="C79" s="76"/>
      <c r="D79" s="76"/>
      <c r="E79" s="76"/>
      <c r="F79" s="76"/>
      <c r="G79" s="76"/>
      <c r="H79" s="88"/>
      <c r="I79" s="76"/>
    </row>
    <row r="80" spans="1:11">
      <c r="C80" s="76"/>
      <c r="D80" s="76"/>
      <c r="E80" s="76"/>
      <c r="F80" s="76"/>
      <c r="G80" s="76"/>
      <c r="H80" s="88"/>
      <c r="I80" s="76"/>
    </row>
    <row r="81" spans="3:9">
      <c r="C81" s="76"/>
      <c r="D81" s="76"/>
      <c r="E81" s="76"/>
      <c r="F81" s="76"/>
      <c r="G81" s="76"/>
      <c r="H81" s="88"/>
      <c r="I81" s="76"/>
    </row>
    <row r="82" spans="3:9">
      <c r="C82" s="76"/>
      <c r="D82" s="76"/>
      <c r="E82" s="76"/>
      <c r="F82" s="76"/>
      <c r="G82" s="76"/>
      <c r="H82" s="88"/>
      <c r="I82" s="76"/>
    </row>
    <row r="83" spans="3:9">
      <c r="C83" s="76"/>
      <c r="D83" s="76"/>
      <c r="E83" s="76"/>
      <c r="F83" s="76"/>
      <c r="G83" s="76"/>
      <c r="H83" s="88"/>
      <c r="I83" s="76"/>
    </row>
    <row r="84" spans="3:9">
      <c r="C84" s="76"/>
      <c r="D84" s="76"/>
      <c r="E84" s="76"/>
      <c r="F84" s="76"/>
      <c r="G84" s="76"/>
      <c r="H84" s="88"/>
      <c r="I84" s="76"/>
    </row>
    <row r="85" spans="3:9">
      <c r="C85" s="76"/>
      <c r="D85" s="76"/>
      <c r="E85" s="76"/>
      <c r="F85" s="76"/>
      <c r="G85" s="76"/>
      <c r="H85" s="88"/>
      <c r="I85" s="76"/>
    </row>
    <row r="86" spans="3:9">
      <c r="C86" s="76"/>
      <c r="D86" s="76"/>
      <c r="E86" s="76"/>
      <c r="F86" s="76"/>
      <c r="G86" s="76"/>
      <c r="H86" s="76"/>
      <c r="I86" s="76"/>
    </row>
    <row r="87" spans="3:9">
      <c r="C87" s="76"/>
      <c r="D87" s="76"/>
      <c r="E87" s="76"/>
      <c r="F87" s="76"/>
      <c r="G87" s="76"/>
      <c r="H87" s="76"/>
      <c r="I87" s="76"/>
    </row>
    <row r="88" spans="3:9">
      <c r="C88" s="76"/>
      <c r="D88" s="76"/>
      <c r="E88" s="76"/>
      <c r="F88" s="76"/>
      <c r="G88" s="76"/>
      <c r="H88" s="76"/>
      <c r="I88" s="76"/>
    </row>
    <row r="89" spans="3:9">
      <c r="C89" s="76"/>
      <c r="D89" s="76"/>
      <c r="E89" s="76"/>
      <c r="F89" s="76"/>
      <c r="G89" s="76"/>
      <c r="H89" s="76"/>
      <c r="I89" s="76"/>
    </row>
    <row r="90" spans="3:9">
      <c r="C90" s="76"/>
      <c r="D90" s="76"/>
      <c r="E90" s="76"/>
      <c r="F90" s="76"/>
      <c r="G90" s="76"/>
      <c r="H90" s="76"/>
      <c r="I90" s="76"/>
    </row>
    <row r="91" spans="3:9">
      <c r="C91" s="76"/>
      <c r="D91" s="76"/>
      <c r="E91" s="76"/>
      <c r="F91" s="76"/>
      <c r="G91" s="76"/>
      <c r="H91" s="76"/>
      <c r="I91" s="76"/>
    </row>
    <row r="92" spans="3:9">
      <c r="C92" s="76"/>
      <c r="D92" s="76"/>
      <c r="E92" s="76"/>
      <c r="F92" s="76"/>
      <c r="G92" s="76"/>
      <c r="H92" s="76"/>
      <c r="I92" s="76"/>
    </row>
    <row r="93" spans="3:9">
      <c r="C93" s="76"/>
      <c r="D93" s="76"/>
      <c r="E93" s="76"/>
      <c r="F93" s="76"/>
      <c r="G93" s="76"/>
      <c r="H93" s="76"/>
      <c r="I93" s="76"/>
    </row>
    <row r="94" spans="3:9">
      <c r="C94" s="76"/>
      <c r="D94" s="76"/>
      <c r="E94" s="76"/>
      <c r="F94" s="76"/>
      <c r="G94" s="76"/>
      <c r="H94" s="76"/>
      <c r="I94" s="76"/>
    </row>
    <row r="95" spans="3:9">
      <c r="C95" s="76"/>
      <c r="D95" s="76"/>
      <c r="E95" s="76"/>
      <c r="F95" s="76"/>
      <c r="G95" s="76"/>
      <c r="H95" s="76"/>
      <c r="I95" s="76"/>
    </row>
    <row r="96" spans="3:9">
      <c r="C96" s="76"/>
      <c r="D96" s="76"/>
      <c r="E96" s="76"/>
      <c r="F96" s="76"/>
      <c r="G96" s="76"/>
      <c r="H96" s="76"/>
      <c r="I96" s="76"/>
    </row>
    <row r="97" spans="3:9">
      <c r="C97" s="76"/>
      <c r="D97" s="76"/>
      <c r="E97" s="76"/>
      <c r="F97" s="76"/>
      <c r="G97" s="76"/>
      <c r="H97" s="76"/>
      <c r="I97" s="76"/>
    </row>
    <row r="98" spans="3:9">
      <c r="C98" s="76"/>
      <c r="D98" s="76"/>
      <c r="E98" s="76"/>
      <c r="F98" s="76"/>
      <c r="G98" s="76"/>
      <c r="H98" s="76"/>
      <c r="I98" s="76"/>
    </row>
    <row r="99" spans="3:9">
      <c r="C99" s="76"/>
      <c r="D99" s="76"/>
      <c r="E99" s="76"/>
      <c r="F99" s="76"/>
      <c r="G99" s="76"/>
      <c r="H99" s="76"/>
      <c r="I99" s="76"/>
    </row>
    <row r="100" spans="3:9">
      <c r="C100" s="76"/>
      <c r="D100" s="76"/>
      <c r="E100" s="76"/>
      <c r="F100" s="76"/>
      <c r="G100" s="76"/>
      <c r="H100" s="76"/>
      <c r="I100" s="76"/>
    </row>
    <row r="101" spans="3:9">
      <c r="C101" s="76"/>
      <c r="D101" s="76"/>
      <c r="E101" s="76"/>
      <c r="F101" s="76"/>
      <c r="G101" s="76"/>
      <c r="H101" s="76"/>
      <c r="I101" s="76"/>
    </row>
    <row r="102" spans="3:9">
      <c r="C102" s="76"/>
      <c r="D102" s="76"/>
      <c r="E102" s="76"/>
      <c r="F102" s="76"/>
      <c r="G102" s="76"/>
      <c r="H102" s="76"/>
      <c r="I102" s="76"/>
    </row>
    <row r="103" spans="3:9">
      <c r="C103" s="76"/>
      <c r="D103" s="76"/>
      <c r="E103" s="76"/>
      <c r="F103" s="76"/>
      <c r="G103" s="76"/>
      <c r="H103" s="76"/>
      <c r="I103" s="76"/>
    </row>
    <row r="104" spans="3:9">
      <c r="C104" s="76"/>
      <c r="D104" s="76"/>
      <c r="E104" s="76"/>
      <c r="F104" s="76"/>
      <c r="G104" s="76"/>
      <c r="H104" s="76"/>
      <c r="I104" s="76"/>
    </row>
    <row r="105" spans="3:9">
      <c r="C105" s="76"/>
      <c r="D105" s="76"/>
      <c r="E105" s="76"/>
      <c r="F105" s="76"/>
      <c r="G105" s="76"/>
      <c r="H105" s="76"/>
      <c r="I105" s="76"/>
    </row>
    <row r="106" spans="3:9">
      <c r="C106" s="76"/>
      <c r="D106" s="76"/>
      <c r="E106" s="76"/>
      <c r="F106" s="76"/>
      <c r="G106" s="76"/>
      <c r="H106" s="76"/>
      <c r="I106" s="76"/>
    </row>
    <row r="107" spans="3:9">
      <c r="C107" s="76"/>
      <c r="D107" s="76"/>
      <c r="E107" s="76"/>
      <c r="F107" s="76"/>
      <c r="G107" s="76"/>
      <c r="H107" s="76"/>
      <c r="I107" s="76"/>
    </row>
    <row r="108" spans="3:9">
      <c r="C108" s="76"/>
      <c r="D108" s="76"/>
      <c r="E108" s="76"/>
      <c r="F108" s="76"/>
      <c r="G108" s="76"/>
      <c r="H108" s="76"/>
      <c r="I108" s="76"/>
    </row>
  </sheetData>
  <mergeCells count="6">
    <mergeCell ref="A41:J41"/>
    <mergeCell ref="A1:M1"/>
    <mergeCell ref="A2:M2"/>
    <mergeCell ref="A3:M3"/>
    <mergeCell ref="A39:J39"/>
    <mergeCell ref="A40:J40"/>
  </mergeCells>
  <printOptions horizontalCentered="1"/>
  <pageMargins left="0" right="0" top="0.25" bottom="0.25" header="0" footer="0"/>
  <pageSetup scale="77" orientation="landscape" r:id="rId1"/>
  <rowBreaks count="1" manualBreakCount="1">
    <brk id="38" max="12" man="1"/>
  </rowBreaks>
</worksheet>
</file>

<file path=xl/worksheets/sheet3.xml><?xml version="1.0" encoding="utf-8"?>
<worksheet xmlns="http://schemas.openxmlformats.org/spreadsheetml/2006/main" xmlns:r="http://schemas.openxmlformats.org/officeDocument/2006/relationships">
  <dimension ref="A1:S99"/>
  <sheetViews>
    <sheetView zoomScaleNormal="100" workbookViewId="0">
      <selection activeCell="N20" sqref="N20"/>
    </sheetView>
  </sheetViews>
  <sheetFormatPr defaultColWidth="10.42578125" defaultRowHeight="15"/>
  <cols>
    <col min="1" max="1" width="2.7109375" style="38" customWidth="1"/>
    <col min="2" max="2" width="25.7109375" style="10" customWidth="1"/>
    <col min="3" max="3" width="12.7109375" style="10" customWidth="1"/>
    <col min="4" max="4" width="12.7109375" style="38" customWidth="1"/>
    <col min="5" max="11" width="12.7109375" style="99" customWidth="1"/>
    <col min="12" max="13" width="10.42578125" style="99"/>
    <col min="14" max="14" width="29" style="99" customWidth="1"/>
    <col min="15" max="16384" width="10.42578125" style="99"/>
  </cols>
  <sheetData>
    <row r="1" spans="1:19" ht="24" customHeight="1">
      <c r="A1" s="883" t="s">
        <v>735</v>
      </c>
      <c r="B1" s="883"/>
      <c r="C1" s="883"/>
      <c r="D1" s="883"/>
      <c r="E1" s="883"/>
      <c r="F1" s="883"/>
      <c r="G1" s="883"/>
      <c r="H1" s="883"/>
      <c r="I1" s="883"/>
      <c r="J1" s="883"/>
      <c r="K1" s="883"/>
      <c r="M1" s="117"/>
      <c r="N1" s="116"/>
      <c r="O1" s="116"/>
    </row>
    <row r="2" spans="1:19" ht="24" customHeight="1">
      <c r="A2" s="884" t="s">
        <v>792</v>
      </c>
      <c r="B2" s="884"/>
      <c r="C2" s="884"/>
      <c r="D2" s="884"/>
      <c r="E2" s="884"/>
      <c r="F2" s="884"/>
      <c r="G2" s="884"/>
      <c r="H2" s="884"/>
      <c r="I2" s="884"/>
      <c r="J2" s="884"/>
      <c r="K2" s="884"/>
      <c r="L2" s="100"/>
      <c r="M2" s="100"/>
      <c r="N2" s="100"/>
      <c r="O2" s="100"/>
      <c r="P2" s="100"/>
      <c r="Q2" s="101"/>
      <c r="R2" s="101"/>
      <c r="S2" s="101"/>
    </row>
    <row r="3" spans="1:19" ht="24" customHeight="1">
      <c r="A3" s="883" t="s">
        <v>1310</v>
      </c>
      <c r="B3" s="883"/>
      <c r="C3" s="883"/>
      <c r="D3" s="883"/>
      <c r="E3" s="883"/>
      <c r="F3" s="883"/>
      <c r="G3" s="883"/>
      <c r="H3" s="883"/>
      <c r="I3" s="883"/>
      <c r="J3" s="883"/>
      <c r="K3" s="883"/>
      <c r="L3" s="101"/>
      <c r="M3" s="101"/>
      <c r="N3" s="101"/>
      <c r="O3" s="101"/>
      <c r="P3" s="101"/>
      <c r="Q3" s="101"/>
      <c r="R3" s="101"/>
      <c r="S3" s="101"/>
    </row>
    <row r="4" spans="1:19" ht="15" customHeight="1">
      <c r="A4" s="102"/>
      <c r="B4" s="102"/>
      <c r="C4" s="102"/>
      <c r="D4" s="102"/>
      <c r="E4" s="102"/>
      <c r="F4" s="102"/>
      <c r="G4" s="102"/>
      <c r="H4" s="102"/>
      <c r="L4" s="101"/>
      <c r="M4" s="101"/>
      <c r="N4" s="101"/>
      <c r="O4" s="101"/>
      <c r="P4" s="101"/>
      <c r="Q4" s="101"/>
      <c r="R4" s="101"/>
      <c r="S4" s="101"/>
    </row>
    <row r="5" spans="1:19" ht="15" customHeight="1">
      <c r="B5" s="11"/>
      <c r="C5" s="64"/>
      <c r="D5" s="65"/>
      <c r="E5" s="65" t="s">
        <v>834</v>
      </c>
      <c r="F5" s="1"/>
      <c r="G5" s="1"/>
      <c r="H5" s="1"/>
      <c r="I5" s="1"/>
      <c r="J5" s="1"/>
      <c r="K5" s="1"/>
    </row>
    <row r="6" spans="1:19" ht="15" customHeight="1">
      <c r="C6" s="64" t="s">
        <v>243</v>
      </c>
      <c r="D6" s="64" t="s">
        <v>244</v>
      </c>
      <c r="E6" s="65" t="s">
        <v>679</v>
      </c>
      <c r="F6" s="65" t="s">
        <v>834</v>
      </c>
      <c r="G6" s="65" t="s">
        <v>915</v>
      </c>
      <c r="H6" s="65" t="s">
        <v>946</v>
      </c>
      <c r="I6" s="65" t="s">
        <v>947</v>
      </c>
      <c r="J6" s="65" t="s">
        <v>948</v>
      </c>
      <c r="K6" s="65" t="s">
        <v>949</v>
      </c>
    </row>
    <row r="7" spans="1:19" ht="15" customHeight="1" thickBot="1">
      <c r="B7" s="85" t="s">
        <v>737</v>
      </c>
      <c r="C7" s="67" t="s">
        <v>1</v>
      </c>
      <c r="D7" s="67" t="s">
        <v>1</v>
      </c>
      <c r="E7" s="67" t="s">
        <v>638</v>
      </c>
      <c r="F7" s="67" t="s">
        <v>19</v>
      </c>
      <c r="G7" s="67" t="s">
        <v>679</v>
      </c>
      <c r="H7" s="67" t="s">
        <v>19</v>
      </c>
      <c r="I7" s="67" t="s">
        <v>19</v>
      </c>
      <c r="J7" s="67" t="s">
        <v>19</v>
      </c>
      <c r="K7" s="67" t="s">
        <v>19</v>
      </c>
    </row>
    <row r="8" spans="1:19" ht="15" customHeight="1">
      <c r="B8" s="20"/>
      <c r="C8" s="69"/>
      <c r="D8" s="69"/>
      <c r="E8" s="69"/>
      <c r="F8" s="69"/>
      <c r="G8" s="69"/>
      <c r="H8" s="69"/>
      <c r="I8" s="69"/>
      <c r="J8" s="69"/>
      <c r="K8" s="69"/>
    </row>
    <row r="9" spans="1:19" ht="24" customHeight="1">
      <c r="A9" s="377" t="s">
        <v>738</v>
      </c>
      <c r="C9" s="2">
        <f>'Fund Cover Sheets'!C32</f>
        <v>5691706</v>
      </c>
      <c r="D9" s="2">
        <f>'Fund Cover Sheets'!D32</f>
        <v>6214089</v>
      </c>
      <c r="E9" s="2">
        <f>'Fund Cover Sheets'!E32</f>
        <v>5383778</v>
      </c>
      <c r="F9" s="2">
        <f>'Fund Cover Sheets'!F32</f>
        <v>5777996</v>
      </c>
      <c r="G9" s="2">
        <f>'Fund Cover Sheets'!G32</f>
        <v>5468778</v>
      </c>
      <c r="H9" s="2">
        <f>'Fund Cover Sheets'!H32</f>
        <v>5164830</v>
      </c>
      <c r="I9" s="2">
        <f>'Fund Cover Sheets'!I32</f>
        <v>4849251</v>
      </c>
      <c r="J9" s="2">
        <f>'Fund Cover Sheets'!J32</f>
        <v>3913539</v>
      </c>
      <c r="K9" s="2">
        <f>'Fund Cover Sheets'!K32</f>
        <v>2624234</v>
      </c>
    </row>
    <row r="10" spans="1:19" ht="15" customHeight="1">
      <c r="A10" s="103"/>
      <c r="C10" s="3"/>
      <c r="D10" s="3"/>
      <c r="E10" s="89"/>
      <c r="F10" s="89"/>
      <c r="G10" s="89"/>
      <c r="H10" s="89"/>
      <c r="I10" s="104"/>
      <c r="J10" s="104"/>
      <c r="K10" s="104"/>
    </row>
    <row r="11" spans="1:19" ht="15" customHeight="1">
      <c r="A11" s="103"/>
      <c r="C11" s="3"/>
      <c r="D11" s="3"/>
      <c r="E11" s="89"/>
      <c r="F11" s="89"/>
      <c r="G11" s="89"/>
      <c r="H11" s="89"/>
      <c r="I11" s="104"/>
      <c r="J11" s="104"/>
      <c r="K11" s="104"/>
    </row>
    <row r="12" spans="1:19" ht="15" customHeight="1">
      <c r="A12" s="103"/>
      <c r="C12" s="72"/>
      <c r="D12" s="72"/>
      <c r="E12" s="89"/>
      <c r="F12" s="89"/>
      <c r="G12" s="89"/>
      <c r="H12" s="89"/>
      <c r="I12" s="104"/>
      <c r="J12" s="104"/>
      <c r="K12" s="104"/>
    </row>
    <row r="13" spans="1:19" ht="24" customHeight="1">
      <c r="A13" s="70" t="s">
        <v>739</v>
      </c>
      <c r="B13" s="1"/>
      <c r="C13" s="72"/>
      <c r="D13" s="72"/>
      <c r="E13" s="89"/>
      <c r="F13" s="89"/>
      <c r="G13" s="89"/>
      <c r="H13" s="89"/>
      <c r="I13" s="104"/>
      <c r="J13" s="104"/>
      <c r="K13" s="104"/>
    </row>
    <row r="14" spans="1:19" ht="24" customHeight="1">
      <c r="A14" s="70"/>
      <c r="B14" s="1" t="s">
        <v>665</v>
      </c>
      <c r="C14" s="2">
        <f>'Fund Cover Sheets'!C142</f>
        <v>883223</v>
      </c>
      <c r="D14" s="2">
        <f>'Fund Cover Sheets'!D142</f>
        <v>792224</v>
      </c>
      <c r="E14" s="2">
        <f>'Fund Cover Sheets'!E142</f>
        <v>438871</v>
      </c>
      <c r="F14" s="2">
        <f>'Fund Cover Sheets'!F142</f>
        <v>584506</v>
      </c>
      <c r="G14" s="2">
        <f>'Fund Cover Sheets'!G142</f>
        <v>428536</v>
      </c>
      <c r="H14" s="2">
        <f>'Fund Cover Sheets'!H142</f>
        <v>198362</v>
      </c>
      <c r="I14" s="2">
        <f>'Fund Cover Sheets'!I142</f>
        <v>87680</v>
      </c>
      <c r="J14" s="2">
        <f>'Fund Cover Sheets'!J142</f>
        <v>1190</v>
      </c>
      <c r="K14" s="2">
        <f>'Fund Cover Sheets'!K142</f>
        <v>0</v>
      </c>
    </row>
    <row r="15" spans="1:19" s="106" customFormat="1" ht="24" customHeight="1">
      <c r="A15" s="71"/>
      <c r="B15" s="68" t="s">
        <v>740</v>
      </c>
      <c r="C15" s="105">
        <f>'Fund Cover Sheets'!C469</f>
        <v>500762</v>
      </c>
      <c r="D15" s="105">
        <f>'Fund Cover Sheets'!D469</f>
        <v>445875</v>
      </c>
      <c r="E15" s="105">
        <f>'Fund Cover Sheets'!E469</f>
        <v>296597</v>
      </c>
      <c r="F15" s="105">
        <f>'Fund Cover Sheets'!F469</f>
        <v>411240</v>
      </c>
      <c r="G15" s="105">
        <f>'Fund Cover Sheets'!G469</f>
        <v>312946</v>
      </c>
      <c r="H15" s="105">
        <f>'Fund Cover Sheets'!H469</f>
        <v>316288</v>
      </c>
      <c r="I15" s="105">
        <f>'Fund Cover Sheets'!I469</f>
        <v>324378</v>
      </c>
      <c r="J15" s="105">
        <f>'Fund Cover Sheets'!J469</f>
        <v>333192</v>
      </c>
      <c r="K15" s="105">
        <f>'Fund Cover Sheets'!K469</f>
        <v>343906</v>
      </c>
    </row>
    <row r="16" spans="1:19" s="106" customFormat="1" ht="24" customHeight="1">
      <c r="A16" s="71"/>
      <c r="B16" s="68" t="s">
        <v>552</v>
      </c>
      <c r="C16" s="2">
        <f>'Fund Cover Sheets'!C425</f>
        <v>212318</v>
      </c>
      <c r="D16" s="2">
        <f>'Fund Cover Sheets'!D425</f>
        <v>250318</v>
      </c>
      <c r="E16" s="2">
        <f>'Fund Cover Sheets'!E425</f>
        <v>56726</v>
      </c>
      <c r="F16" s="2">
        <f>'Fund Cover Sheets'!F425</f>
        <v>-186751</v>
      </c>
      <c r="G16" s="2">
        <f>'Fund Cover Sheets'!G425</f>
        <v>62362</v>
      </c>
      <c r="H16" s="2">
        <f>'Fund Cover Sheets'!H425</f>
        <v>24000</v>
      </c>
      <c r="I16" s="2">
        <f>'Fund Cover Sheets'!I425</f>
        <v>24000</v>
      </c>
      <c r="J16" s="2">
        <f>'Fund Cover Sheets'!J425</f>
        <v>24000</v>
      </c>
      <c r="K16" s="2">
        <f>'Fund Cover Sheets'!K425</f>
        <v>0</v>
      </c>
    </row>
    <row r="17" spans="1:11" ht="24" customHeight="1">
      <c r="A17" s="71"/>
      <c r="B17" s="68" t="s">
        <v>475</v>
      </c>
      <c r="C17" s="2">
        <f>'Fund Cover Sheets'!C594</f>
        <v>-549946</v>
      </c>
      <c r="D17" s="2">
        <f>'Fund Cover Sheets'!D594</f>
        <v>-495754</v>
      </c>
      <c r="E17" s="2">
        <f>'Fund Cover Sheets'!E594</f>
        <v>-434861</v>
      </c>
      <c r="F17" s="2">
        <f>'Fund Cover Sheets'!F594</f>
        <v>-460497</v>
      </c>
      <c r="G17" s="2">
        <f>'Fund Cover Sheets'!G594</f>
        <v>-1077343</v>
      </c>
      <c r="H17" s="2">
        <f>'Fund Cover Sheets'!H594</f>
        <v>-1032205</v>
      </c>
      <c r="I17" s="2">
        <f>'Fund Cover Sheets'!I594</f>
        <v>-812007</v>
      </c>
      <c r="J17" s="2">
        <f>'Fund Cover Sheets'!J594</f>
        <v>-579546</v>
      </c>
      <c r="K17" s="2">
        <f>'Fund Cover Sheets'!K594</f>
        <v>-332890</v>
      </c>
    </row>
    <row r="18" spans="1:11" ht="24" customHeight="1">
      <c r="A18" s="71"/>
      <c r="B18" s="68" t="s">
        <v>479</v>
      </c>
      <c r="C18" s="2">
        <f>'Fund Cover Sheets'!C633</f>
        <v>253703</v>
      </c>
      <c r="D18" s="2">
        <f>'Fund Cover Sheets'!D633</f>
        <v>97556</v>
      </c>
      <c r="E18" s="2">
        <f>'Fund Cover Sheets'!E633</f>
        <v>-681353</v>
      </c>
      <c r="F18" s="2">
        <f>'Fund Cover Sheets'!F633</f>
        <v>-905573</v>
      </c>
      <c r="G18" s="2">
        <f>'Fund Cover Sheets'!G633</f>
        <v>-1194280</v>
      </c>
      <c r="H18" s="2">
        <f>'Fund Cover Sheets'!H633</f>
        <v>-1599375</v>
      </c>
      <c r="I18" s="2">
        <f>'Fund Cover Sheets'!I633</f>
        <v>-1811528</v>
      </c>
      <c r="J18" s="2">
        <f>'Fund Cover Sheets'!J633</f>
        <v>-2012565</v>
      </c>
      <c r="K18" s="2">
        <f>'Fund Cover Sheets'!K633</f>
        <v>-2002571</v>
      </c>
    </row>
    <row r="19" spans="1:11" ht="24" customHeight="1">
      <c r="A19" s="71"/>
      <c r="B19" s="68" t="s">
        <v>1330</v>
      </c>
      <c r="C19" s="2">
        <f>'Fund Cover Sheets'!C669</f>
        <v>0</v>
      </c>
      <c r="D19" s="2">
        <f>'Fund Cover Sheets'!D669</f>
        <v>0</v>
      </c>
      <c r="E19" s="2">
        <f>'Fund Cover Sheets'!E669</f>
        <v>0</v>
      </c>
      <c r="F19" s="2">
        <f>'Fund Cover Sheets'!F669</f>
        <v>0</v>
      </c>
      <c r="G19" s="2">
        <f>'Fund Cover Sheets'!G669</f>
        <v>-10000</v>
      </c>
      <c r="H19" s="2">
        <f>'Fund Cover Sheets'!H669</f>
        <v>-10000</v>
      </c>
      <c r="I19" s="2">
        <f>'Fund Cover Sheets'!I669</f>
        <v>-10000</v>
      </c>
      <c r="J19" s="2">
        <f>'Fund Cover Sheets'!J669</f>
        <v>-10000</v>
      </c>
      <c r="K19" s="2">
        <f>'Fund Cover Sheets'!K669</f>
        <v>-10000</v>
      </c>
    </row>
    <row r="20" spans="1:11" ht="24" customHeight="1">
      <c r="A20" s="71"/>
      <c r="B20" s="68" t="s">
        <v>741</v>
      </c>
      <c r="C20" s="2">
        <f>'Fund Cover Sheets'!C67</f>
        <v>-3780</v>
      </c>
      <c r="D20" s="2">
        <f>'Fund Cover Sheets'!D67</f>
        <v>14742</v>
      </c>
      <c r="E20" s="2">
        <f>'Fund Cover Sheets'!E67</f>
        <v>-21485</v>
      </c>
      <c r="F20" s="2">
        <f>'Fund Cover Sheets'!F67</f>
        <v>5408</v>
      </c>
      <c r="G20" s="2">
        <f>'Fund Cover Sheets'!G67</f>
        <v>9954</v>
      </c>
      <c r="H20" s="2">
        <f>'Fund Cover Sheets'!H67</f>
        <v>-7642</v>
      </c>
      <c r="I20" s="2">
        <f>'Fund Cover Sheets'!I67</f>
        <v>-4587</v>
      </c>
      <c r="J20" s="2">
        <f>'Fund Cover Sheets'!J67</f>
        <v>-1688</v>
      </c>
      <c r="K20" s="2">
        <f>'Fund Cover Sheets'!K67</f>
        <v>1047</v>
      </c>
    </row>
    <row r="21" spans="1:11" ht="24" customHeight="1">
      <c r="A21" s="71"/>
      <c r="B21" s="68" t="s">
        <v>742</v>
      </c>
      <c r="C21" s="88">
        <f>'Fund Cover Sheets'!C103</f>
        <v>-31175</v>
      </c>
      <c r="D21" s="88">
        <f>'Fund Cover Sheets'!D103</f>
        <v>-15774</v>
      </c>
      <c r="E21" s="88">
        <f>'Fund Cover Sheets'!E103</f>
        <v>-35099</v>
      </c>
      <c r="F21" s="88">
        <f>'Fund Cover Sheets'!F103</f>
        <v>-25038</v>
      </c>
      <c r="G21" s="88">
        <f>'Fund Cover Sheets'!G103</f>
        <v>-28236</v>
      </c>
      <c r="H21" s="88">
        <f>'Fund Cover Sheets'!H103</f>
        <v>-25274</v>
      </c>
      <c r="I21" s="88">
        <f>'Fund Cover Sheets'!I103</f>
        <v>-19297</v>
      </c>
      <c r="J21" s="88">
        <f>'Fund Cover Sheets'!J103</f>
        <v>-14916</v>
      </c>
      <c r="K21" s="88">
        <f>'Fund Cover Sheets'!K103</f>
        <v>-10699</v>
      </c>
    </row>
    <row r="22" spans="1:11">
      <c r="A22" s="71"/>
      <c r="B22" s="68"/>
      <c r="C22" s="72"/>
      <c r="D22" s="72"/>
      <c r="E22" s="72"/>
      <c r="F22" s="72"/>
      <c r="G22" s="72"/>
      <c r="H22" s="72"/>
      <c r="I22" s="72"/>
      <c r="J22" s="72"/>
      <c r="K22" s="72"/>
    </row>
    <row r="23" spans="1:11">
      <c r="A23" s="71"/>
      <c r="B23" s="68"/>
      <c r="C23" s="72"/>
      <c r="D23" s="72"/>
      <c r="E23" s="72"/>
      <c r="F23" s="72"/>
      <c r="G23" s="72"/>
      <c r="H23" s="72"/>
      <c r="I23" s="72"/>
      <c r="J23" s="72"/>
      <c r="K23" s="72"/>
    </row>
    <row r="24" spans="1:11">
      <c r="A24" s="71"/>
      <c r="B24" s="68"/>
      <c r="C24" s="88"/>
      <c r="D24" s="88"/>
      <c r="E24" s="88"/>
      <c r="F24" s="88"/>
      <c r="G24" s="88"/>
      <c r="H24" s="88"/>
      <c r="I24" s="88"/>
      <c r="J24" s="88"/>
      <c r="K24" s="88"/>
    </row>
    <row r="25" spans="1:11" ht="24" customHeight="1">
      <c r="A25" s="70" t="s">
        <v>743</v>
      </c>
      <c r="B25" s="63"/>
      <c r="C25" s="88">
        <f>'Fund Cover Sheets'!C293</f>
        <v>0</v>
      </c>
      <c r="D25" s="88">
        <f>'Fund Cover Sheets'!D293</f>
        <v>0</v>
      </c>
      <c r="E25" s="88">
        <f>'Fund Cover Sheets'!E293</f>
        <v>0</v>
      </c>
      <c r="F25" s="88">
        <f>'Fund Cover Sheets'!F293</f>
        <v>0</v>
      </c>
      <c r="G25" s="88">
        <f>'Fund Cover Sheets'!G293</f>
        <v>0</v>
      </c>
      <c r="H25" s="88">
        <f>'Fund Cover Sheets'!H293</f>
        <v>0</v>
      </c>
      <c r="I25" s="88">
        <f>'Fund Cover Sheets'!I293</f>
        <v>0</v>
      </c>
      <c r="J25" s="88">
        <f>'Fund Cover Sheets'!J293</f>
        <v>0</v>
      </c>
      <c r="K25" s="88">
        <f>'Fund Cover Sheets'!K293</f>
        <v>0</v>
      </c>
    </row>
    <row r="26" spans="1:11">
      <c r="A26" s="70"/>
      <c r="B26" s="63"/>
      <c r="C26" s="88"/>
      <c r="D26" s="88"/>
      <c r="E26" s="88"/>
      <c r="F26" s="88"/>
      <c r="G26" s="88"/>
      <c r="H26" s="88"/>
      <c r="I26" s="88"/>
      <c r="J26" s="88"/>
      <c r="K26" s="88"/>
    </row>
    <row r="27" spans="1:11">
      <c r="A27" s="70"/>
      <c r="B27" s="63"/>
      <c r="C27" s="88"/>
      <c r="D27" s="88"/>
      <c r="E27" s="88"/>
      <c r="F27" s="88"/>
      <c r="G27" s="88"/>
      <c r="H27" s="88"/>
      <c r="I27" s="88"/>
      <c r="J27" s="88"/>
      <c r="K27" s="88"/>
    </row>
    <row r="28" spans="1:11">
      <c r="A28" s="71"/>
      <c r="B28" s="63"/>
      <c r="C28" s="88"/>
      <c r="D28" s="88"/>
      <c r="E28" s="88"/>
      <c r="F28" s="88"/>
      <c r="G28" s="88"/>
      <c r="H28" s="88"/>
      <c r="I28" s="88"/>
      <c r="J28" s="88"/>
      <c r="K28" s="88"/>
    </row>
    <row r="29" spans="1:11" ht="24" customHeight="1">
      <c r="A29" s="70" t="s">
        <v>744</v>
      </c>
      <c r="B29" s="63"/>
      <c r="C29" s="88"/>
      <c r="D29" s="88"/>
      <c r="E29" s="88"/>
      <c r="F29" s="88"/>
      <c r="G29" s="88"/>
      <c r="H29" s="88"/>
      <c r="I29" s="88"/>
      <c r="J29" s="88"/>
      <c r="K29" s="88"/>
    </row>
    <row r="30" spans="1:11" ht="24" customHeight="1">
      <c r="A30" s="71"/>
      <c r="B30" s="68" t="s">
        <v>868</v>
      </c>
      <c r="C30" s="88">
        <f>'Fund Cover Sheets'!C256</f>
        <v>1841</v>
      </c>
      <c r="D30" s="88">
        <f>'Fund Cover Sheets'!D256</f>
        <v>270407</v>
      </c>
      <c r="E30" s="88">
        <f>'Fund Cover Sheets'!E256</f>
        <v>0</v>
      </c>
      <c r="F30" s="88">
        <f>'Fund Cover Sheets'!F256</f>
        <v>303435</v>
      </c>
      <c r="G30" s="88">
        <f>'Fund Cover Sheets'!G256</f>
        <v>263801</v>
      </c>
      <c r="H30" s="88">
        <f>'Fund Cover Sheets'!H256</f>
        <v>266667</v>
      </c>
      <c r="I30" s="88">
        <f>'Fund Cover Sheets'!I256</f>
        <v>269533</v>
      </c>
      <c r="J30" s="88">
        <f>'Fund Cover Sheets'!J256</f>
        <v>272399</v>
      </c>
      <c r="K30" s="88">
        <f>'Fund Cover Sheets'!K256</f>
        <v>271092</v>
      </c>
    </row>
    <row r="31" spans="1:11" ht="24" customHeight="1">
      <c r="A31" s="71"/>
      <c r="B31" s="68" t="s">
        <v>746</v>
      </c>
      <c r="C31" s="88">
        <f>'Fund Cover Sheets'!C186</f>
        <v>3003908</v>
      </c>
      <c r="D31" s="88">
        <f>'Fund Cover Sheets'!D186</f>
        <v>1355530</v>
      </c>
      <c r="E31" s="88">
        <f>'Fund Cover Sheets'!E186</f>
        <v>144741</v>
      </c>
      <c r="F31" s="88">
        <f>'Fund Cover Sheets'!F186</f>
        <v>407759</v>
      </c>
      <c r="G31" s="88">
        <f>'Fund Cover Sheets'!G186</f>
        <v>-30817</v>
      </c>
      <c r="H31" s="88">
        <f>'Fund Cover Sheets'!H186</f>
        <v>-74793</v>
      </c>
      <c r="I31" s="88">
        <f>'Fund Cover Sheets'!I186</f>
        <v>-52599</v>
      </c>
      <c r="J31" s="88">
        <f>'Fund Cover Sheets'!J186</f>
        <v>14537</v>
      </c>
      <c r="K31" s="88">
        <f>'Fund Cover Sheets'!K186</f>
        <v>5853</v>
      </c>
    </row>
    <row r="32" spans="1:11">
      <c r="A32" s="71"/>
      <c r="B32" s="68"/>
      <c r="C32" s="88"/>
      <c r="D32" s="88"/>
      <c r="E32" s="88"/>
      <c r="F32" s="88"/>
      <c r="G32" s="88"/>
      <c r="H32" s="88"/>
      <c r="I32" s="88"/>
      <c r="J32" s="88"/>
      <c r="K32" s="88"/>
    </row>
    <row r="33" spans="1:11">
      <c r="A33" s="71"/>
      <c r="B33" s="68"/>
      <c r="C33" s="88"/>
      <c r="D33" s="88"/>
      <c r="E33" s="88"/>
      <c r="F33" s="88"/>
      <c r="G33" s="88"/>
      <c r="H33" s="88"/>
      <c r="I33" s="88"/>
      <c r="J33" s="88"/>
      <c r="K33" s="88"/>
    </row>
    <row r="34" spans="1:11">
      <c r="A34" s="1"/>
      <c r="B34" s="68"/>
      <c r="C34" s="88"/>
      <c r="D34" s="88"/>
      <c r="E34" s="88"/>
      <c r="F34" s="88"/>
      <c r="G34" s="88"/>
      <c r="H34" s="88"/>
      <c r="I34" s="88"/>
      <c r="J34" s="88"/>
      <c r="K34" s="88"/>
    </row>
    <row r="35" spans="1:11" ht="24" customHeight="1">
      <c r="A35" s="70" t="s">
        <v>793</v>
      </c>
      <c r="B35" s="68"/>
      <c r="C35" s="88"/>
      <c r="D35" s="88"/>
      <c r="E35" s="88"/>
      <c r="F35" s="88"/>
      <c r="G35" s="88"/>
      <c r="H35" s="88"/>
      <c r="I35" s="88"/>
      <c r="J35" s="88"/>
      <c r="K35" s="88"/>
    </row>
    <row r="36" spans="1:11" ht="24" customHeight="1">
      <c r="A36" s="1"/>
      <c r="B36" s="68" t="s">
        <v>550</v>
      </c>
      <c r="C36" s="88">
        <f>'Fund Cover Sheets'!C337</f>
        <v>5196289</v>
      </c>
      <c r="D36" s="88">
        <f>'Fund Cover Sheets'!D337</f>
        <v>2826144</v>
      </c>
      <c r="E36" s="88">
        <f>'Fund Cover Sheets'!E337</f>
        <v>2285570</v>
      </c>
      <c r="F36" s="88">
        <f>'Fund Cover Sheets'!F337</f>
        <v>2290008</v>
      </c>
      <c r="G36" s="88">
        <f>'Fund Cover Sheets'!G337</f>
        <v>1952155</v>
      </c>
      <c r="H36" s="88">
        <f>'Fund Cover Sheets'!H337</f>
        <v>1280256</v>
      </c>
      <c r="I36" s="88">
        <f>'Fund Cover Sheets'!I337</f>
        <v>1117507</v>
      </c>
      <c r="J36" s="88">
        <f>'Fund Cover Sheets'!J337</f>
        <v>1779499</v>
      </c>
      <c r="K36" s="88">
        <f>'Fund Cover Sheets'!K337</f>
        <v>2931880</v>
      </c>
    </row>
    <row r="37" spans="1:11" ht="24" customHeight="1">
      <c r="A37" s="1"/>
      <c r="B37" s="68" t="s">
        <v>551</v>
      </c>
      <c r="C37" s="88">
        <f>'Fund Cover Sheets'!C383</f>
        <v>1570874</v>
      </c>
      <c r="D37" s="88">
        <f>'Fund Cover Sheets'!D383</f>
        <v>1378030</v>
      </c>
      <c r="E37" s="88">
        <f>'Fund Cover Sheets'!E383</f>
        <v>913772</v>
      </c>
      <c r="F37" s="88">
        <f>'Fund Cover Sheets'!F383</f>
        <v>1334728</v>
      </c>
      <c r="G37" s="88">
        <f>'Fund Cover Sheets'!G383</f>
        <v>705765</v>
      </c>
      <c r="H37" s="88">
        <f>'Fund Cover Sheets'!H383</f>
        <v>545868</v>
      </c>
      <c r="I37" s="88">
        <f>'Fund Cover Sheets'!I383</f>
        <v>520843</v>
      </c>
      <c r="J37" s="88">
        <f>'Fund Cover Sheets'!J383</f>
        <v>660489</v>
      </c>
      <c r="K37" s="88">
        <f>'Fund Cover Sheets'!K383</f>
        <v>1252306</v>
      </c>
    </row>
    <row r="38" spans="1:11">
      <c r="A38" s="1"/>
      <c r="B38" s="68"/>
      <c r="C38" s="88"/>
      <c r="D38" s="88"/>
      <c r="E38" s="88"/>
      <c r="F38" s="88"/>
      <c r="G38" s="88"/>
      <c r="H38" s="88"/>
      <c r="I38" s="88"/>
      <c r="J38" s="88"/>
      <c r="K38" s="88"/>
    </row>
    <row r="39" spans="1:11">
      <c r="A39" s="1"/>
      <c r="B39" s="68"/>
      <c r="C39" s="88"/>
      <c r="D39" s="88"/>
      <c r="E39" s="88"/>
      <c r="F39" s="88"/>
      <c r="G39" s="88"/>
      <c r="H39" s="88"/>
      <c r="I39" s="88"/>
      <c r="J39" s="88"/>
      <c r="K39" s="88"/>
    </row>
    <row r="40" spans="1:11">
      <c r="A40" s="1"/>
      <c r="B40" s="68"/>
      <c r="C40" s="88"/>
      <c r="D40" s="88"/>
      <c r="E40" s="88"/>
      <c r="F40" s="88"/>
      <c r="G40" s="88"/>
      <c r="H40" s="88"/>
      <c r="I40" s="88"/>
      <c r="J40" s="88"/>
      <c r="K40" s="88"/>
    </row>
    <row r="41" spans="1:11" ht="24" customHeight="1">
      <c r="A41" s="70" t="s">
        <v>748</v>
      </c>
      <c r="B41" s="68"/>
      <c r="C41" s="88"/>
      <c r="D41" s="88"/>
      <c r="E41" s="88"/>
      <c r="F41" s="88"/>
      <c r="G41" s="88"/>
      <c r="H41" s="88"/>
      <c r="I41" s="88"/>
      <c r="J41" s="88"/>
      <c r="K41" s="88"/>
    </row>
    <row r="42" spans="1:11" ht="24" customHeight="1">
      <c r="A42" s="70"/>
      <c r="B42" s="68" t="s">
        <v>544</v>
      </c>
      <c r="C42" s="88">
        <f>'Fund Cover Sheets'!C514</f>
        <v>499355</v>
      </c>
      <c r="D42" s="88">
        <f>'Fund Cover Sheets'!D514</f>
        <v>489057</v>
      </c>
      <c r="E42" s="88">
        <f>'Fund Cover Sheets'!E514</f>
        <v>396472</v>
      </c>
      <c r="F42" s="88">
        <f>'Fund Cover Sheets'!F514</f>
        <v>485393</v>
      </c>
      <c r="G42" s="88">
        <f>'Fund Cover Sheets'!G514</f>
        <v>474039</v>
      </c>
      <c r="H42" s="88">
        <f>'Fund Cover Sheets'!H514</f>
        <v>455729</v>
      </c>
      <c r="I42" s="88">
        <f>'Fund Cover Sheets'!I514</f>
        <v>427699</v>
      </c>
      <c r="J42" s="88">
        <f>'Fund Cover Sheets'!J514</f>
        <v>389114</v>
      </c>
      <c r="K42" s="88">
        <f>'Fund Cover Sheets'!K514</f>
        <v>339077</v>
      </c>
    </row>
    <row r="43" spans="1:11" ht="24" customHeight="1">
      <c r="A43" s="70"/>
      <c r="B43" s="68" t="s">
        <v>749</v>
      </c>
      <c r="C43" s="88">
        <f>'Fund Cover Sheets'!C554</f>
        <v>14807</v>
      </c>
      <c r="D43" s="88">
        <f>'Fund Cover Sheets'!D554</f>
        <v>19904</v>
      </c>
      <c r="E43" s="88">
        <f>'Fund Cover Sheets'!E554</f>
        <v>23999</v>
      </c>
      <c r="F43" s="88">
        <f>'Fund Cover Sheets'!F554</f>
        <v>40164</v>
      </c>
      <c r="G43" s="88">
        <f>'Fund Cover Sheets'!G554</f>
        <v>31274</v>
      </c>
      <c r="H43" s="88">
        <f>'Fund Cover Sheets'!H554</f>
        <v>18784</v>
      </c>
      <c r="I43" s="88">
        <f>'Fund Cover Sheets'!I554</f>
        <v>6294</v>
      </c>
      <c r="J43" s="88">
        <f>'Fund Cover Sheets'!J554</f>
        <v>-6196</v>
      </c>
      <c r="K43" s="88">
        <f>'Fund Cover Sheets'!K554</f>
        <v>-18686</v>
      </c>
    </row>
    <row r="44" spans="1:11">
      <c r="A44" s="70"/>
      <c r="B44" s="68"/>
      <c r="C44" s="88"/>
      <c r="D44" s="88"/>
      <c r="E44" s="88"/>
      <c r="F44" s="88"/>
      <c r="G44" s="88"/>
      <c r="H44" s="88"/>
      <c r="I44" s="88"/>
      <c r="J44" s="88"/>
      <c r="K44" s="88"/>
    </row>
    <row r="45" spans="1:11">
      <c r="B45" s="73"/>
      <c r="C45" s="107"/>
      <c r="D45" s="108"/>
      <c r="E45" s="108"/>
      <c r="F45" s="108"/>
      <c r="G45" s="105"/>
      <c r="H45" s="105"/>
      <c r="I45" s="104"/>
      <c r="J45" s="104"/>
      <c r="K45" s="104"/>
    </row>
    <row r="46" spans="1:11" ht="24" customHeight="1" thickBot="1">
      <c r="B46" s="95" t="s">
        <v>791</v>
      </c>
      <c r="C46" s="97">
        <f t="shared" ref="C46:K46" si="0">SUM(C9:C45)</f>
        <v>17243885</v>
      </c>
      <c r="D46" s="97">
        <f t="shared" si="0"/>
        <v>13642348</v>
      </c>
      <c r="E46" s="97">
        <f t="shared" si="0"/>
        <v>8767728</v>
      </c>
      <c r="F46" s="97">
        <f t="shared" si="0"/>
        <v>10062778</v>
      </c>
      <c r="G46" s="97">
        <f t="shared" si="0"/>
        <v>7368934</v>
      </c>
      <c r="H46" s="97">
        <f t="shared" si="0"/>
        <v>5521495</v>
      </c>
      <c r="I46" s="97">
        <f t="shared" si="0"/>
        <v>4917167</v>
      </c>
      <c r="J46" s="97">
        <f t="shared" si="0"/>
        <v>4763048</v>
      </c>
      <c r="K46" s="97">
        <f t="shared" si="0"/>
        <v>5394549</v>
      </c>
    </row>
    <row r="47" spans="1:11" ht="15.75" thickTop="1">
      <c r="B47" s="1"/>
      <c r="C47" s="44"/>
      <c r="D47" s="104"/>
      <c r="E47" s="104"/>
      <c r="F47" s="104"/>
      <c r="G47" s="104"/>
      <c r="H47" s="104"/>
      <c r="I47" s="104"/>
      <c r="J47" s="104"/>
      <c r="K47" s="104"/>
    </row>
    <row r="48" spans="1:11">
      <c r="A48" s="109" t="s">
        <v>794</v>
      </c>
      <c r="B48" s="110" t="s">
        <v>880</v>
      </c>
      <c r="C48" s="44"/>
      <c r="D48" s="104"/>
      <c r="E48" s="104"/>
      <c r="F48" s="104"/>
      <c r="G48" s="104"/>
      <c r="H48" s="104"/>
      <c r="I48" s="104"/>
      <c r="J48" s="104"/>
      <c r="K48" s="104"/>
    </row>
    <row r="49" spans="1:11">
      <c r="B49" s="1"/>
      <c r="C49" s="44"/>
      <c r="D49" s="104"/>
      <c r="E49" s="104"/>
      <c r="F49" s="104"/>
      <c r="G49" s="104"/>
      <c r="H49" s="104"/>
      <c r="I49" s="104"/>
      <c r="J49" s="104"/>
      <c r="K49" s="104"/>
    </row>
    <row r="50" spans="1:11">
      <c r="B50" s="1"/>
      <c r="C50" s="44"/>
      <c r="D50" s="104"/>
      <c r="E50" s="104"/>
      <c r="F50" s="104"/>
      <c r="G50" s="104"/>
      <c r="H50" s="104"/>
      <c r="I50" s="104"/>
      <c r="J50" s="104"/>
      <c r="K50" s="104"/>
    </row>
    <row r="51" spans="1:11">
      <c r="B51" s="1"/>
      <c r="C51" s="44"/>
      <c r="D51" s="104"/>
      <c r="E51" s="104"/>
      <c r="F51" s="104"/>
      <c r="G51" s="104"/>
      <c r="H51" s="104"/>
      <c r="I51" s="104"/>
      <c r="J51" s="104"/>
      <c r="K51" s="104"/>
    </row>
    <row r="52" spans="1:11">
      <c r="B52" s="1"/>
      <c r="C52" s="44"/>
      <c r="D52" s="104"/>
      <c r="E52" s="104"/>
      <c r="F52" s="104"/>
      <c r="G52" s="104"/>
      <c r="H52" s="104"/>
      <c r="I52" s="104"/>
      <c r="J52" s="104"/>
      <c r="K52" s="104"/>
    </row>
    <row r="53" spans="1:11">
      <c r="C53" s="44"/>
      <c r="D53" s="104"/>
      <c r="E53" s="104"/>
      <c r="F53" s="104"/>
      <c r="G53" s="104"/>
      <c r="H53" s="104"/>
      <c r="I53" s="104"/>
      <c r="J53" s="104"/>
      <c r="K53" s="104"/>
    </row>
    <row r="54" spans="1:11">
      <c r="C54" s="44"/>
      <c r="D54" s="104"/>
      <c r="E54" s="104"/>
      <c r="F54" s="104"/>
      <c r="G54" s="104"/>
      <c r="H54" s="104"/>
      <c r="I54" s="104"/>
      <c r="J54" s="104"/>
      <c r="K54" s="104"/>
    </row>
    <row r="55" spans="1:11">
      <c r="C55" s="44"/>
      <c r="D55" s="104"/>
      <c r="E55" s="104"/>
      <c r="F55" s="104"/>
      <c r="G55" s="104"/>
      <c r="H55" s="104"/>
      <c r="I55" s="104"/>
      <c r="J55" s="104"/>
      <c r="K55" s="104"/>
    </row>
    <row r="56" spans="1:11">
      <c r="C56" s="44"/>
      <c r="D56" s="104"/>
      <c r="E56" s="104"/>
      <c r="F56" s="104"/>
      <c r="G56" s="104"/>
      <c r="H56" s="104"/>
      <c r="I56" s="104"/>
      <c r="J56" s="104"/>
      <c r="K56" s="104"/>
    </row>
    <row r="57" spans="1:11">
      <c r="C57" s="44"/>
      <c r="D57" s="104"/>
      <c r="E57" s="104"/>
      <c r="F57" s="104"/>
      <c r="G57" s="104"/>
      <c r="H57" s="104"/>
      <c r="I57" s="104"/>
      <c r="J57" s="104"/>
      <c r="K57" s="104"/>
    </row>
    <row r="58" spans="1:11">
      <c r="C58" s="44"/>
      <c r="D58" s="104"/>
      <c r="E58" s="104"/>
      <c r="F58" s="104"/>
      <c r="G58" s="104"/>
      <c r="H58" s="104"/>
      <c r="I58" s="104"/>
      <c r="J58" s="104"/>
      <c r="K58" s="104"/>
    </row>
    <row r="59" spans="1:11">
      <c r="C59" s="44"/>
      <c r="D59" s="104"/>
      <c r="E59" s="104"/>
      <c r="F59" s="104"/>
      <c r="G59" s="104"/>
      <c r="H59" s="104"/>
      <c r="I59" s="104"/>
      <c r="J59" s="104"/>
      <c r="K59" s="104"/>
    </row>
    <row r="60" spans="1:11">
      <c r="C60" s="44"/>
      <c r="D60" s="104"/>
      <c r="E60" s="104"/>
      <c r="F60" s="104"/>
      <c r="G60" s="104"/>
      <c r="H60" s="104"/>
      <c r="I60" s="104"/>
      <c r="J60" s="104"/>
      <c r="K60" s="104"/>
    </row>
    <row r="61" spans="1:11">
      <c r="A61" s="99"/>
      <c r="B61" s="99"/>
      <c r="C61" s="44"/>
      <c r="D61" s="104"/>
      <c r="E61" s="104"/>
      <c r="F61" s="104"/>
      <c r="G61" s="104"/>
      <c r="H61" s="104"/>
      <c r="I61" s="104"/>
      <c r="J61" s="104"/>
      <c r="K61" s="104"/>
    </row>
    <row r="62" spans="1:11">
      <c r="A62" s="99"/>
      <c r="B62" s="99"/>
      <c r="C62" s="44"/>
      <c r="D62" s="104"/>
      <c r="E62" s="104"/>
      <c r="F62" s="104"/>
      <c r="G62" s="104"/>
      <c r="H62" s="104"/>
      <c r="I62" s="104"/>
      <c r="J62" s="104"/>
      <c r="K62" s="104"/>
    </row>
    <row r="63" spans="1:11">
      <c r="A63" s="99"/>
      <c r="B63" s="99"/>
      <c r="C63" s="44"/>
      <c r="D63" s="104"/>
      <c r="E63" s="104"/>
      <c r="F63" s="104"/>
      <c r="G63" s="104"/>
      <c r="H63" s="104"/>
      <c r="I63" s="104"/>
      <c r="J63" s="104"/>
      <c r="K63" s="104"/>
    </row>
    <row r="64" spans="1:11">
      <c r="A64" s="99"/>
      <c r="B64" s="99"/>
      <c r="C64" s="44"/>
      <c r="D64" s="104"/>
      <c r="E64" s="104"/>
      <c r="F64" s="104"/>
      <c r="G64" s="104"/>
      <c r="H64" s="104"/>
      <c r="I64" s="104"/>
      <c r="J64" s="104"/>
      <c r="K64" s="104"/>
    </row>
    <row r="65" spans="1:11">
      <c r="A65" s="99"/>
      <c r="B65" s="99"/>
      <c r="C65" s="44"/>
      <c r="D65" s="104"/>
      <c r="E65" s="104"/>
      <c r="F65" s="104"/>
      <c r="G65" s="104"/>
      <c r="H65" s="104"/>
      <c r="I65" s="104"/>
      <c r="J65" s="104"/>
      <c r="K65" s="104"/>
    </row>
    <row r="66" spans="1:11">
      <c r="A66" s="99"/>
      <c r="B66" s="99"/>
      <c r="C66" s="44"/>
      <c r="D66" s="104"/>
      <c r="E66" s="104"/>
      <c r="F66" s="104"/>
      <c r="G66" s="104"/>
      <c r="H66" s="104"/>
      <c r="I66" s="104"/>
      <c r="J66" s="104"/>
      <c r="K66" s="104"/>
    </row>
    <row r="67" spans="1:11">
      <c r="A67" s="99"/>
      <c r="B67" s="99"/>
      <c r="C67" s="44"/>
      <c r="D67" s="104"/>
      <c r="E67" s="104"/>
      <c r="F67" s="104"/>
      <c r="G67" s="104"/>
      <c r="H67" s="104"/>
      <c r="I67" s="104"/>
      <c r="J67" s="104"/>
      <c r="K67" s="104"/>
    </row>
    <row r="68" spans="1:11">
      <c r="A68" s="99"/>
      <c r="B68" s="99"/>
      <c r="C68" s="44"/>
      <c r="D68" s="104"/>
      <c r="E68" s="104"/>
      <c r="F68" s="104"/>
      <c r="G68" s="104"/>
      <c r="H68" s="104"/>
      <c r="I68" s="104"/>
      <c r="J68" s="104"/>
      <c r="K68" s="104"/>
    </row>
    <row r="69" spans="1:11">
      <c r="A69" s="99"/>
      <c r="B69" s="99"/>
      <c r="C69" s="44"/>
      <c r="D69" s="104"/>
      <c r="E69" s="104"/>
      <c r="F69" s="104"/>
      <c r="G69" s="104"/>
      <c r="H69" s="104"/>
      <c r="I69" s="104"/>
      <c r="J69" s="104"/>
      <c r="K69" s="104"/>
    </row>
    <row r="70" spans="1:11">
      <c r="A70" s="99"/>
      <c r="B70" s="99"/>
      <c r="C70" s="44"/>
      <c r="D70" s="104"/>
      <c r="E70" s="104"/>
      <c r="F70" s="104"/>
      <c r="G70" s="104"/>
      <c r="H70" s="104"/>
      <c r="I70" s="104"/>
      <c r="J70" s="104"/>
      <c r="K70" s="104"/>
    </row>
    <row r="71" spans="1:11">
      <c r="A71" s="99"/>
      <c r="B71" s="99"/>
      <c r="C71" s="44"/>
      <c r="D71" s="104"/>
      <c r="E71" s="104"/>
      <c r="F71" s="104"/>
      <c r="G71" s="104"/>
      <c r="H71" s="104"/>
      <c r="I71" s="104"/>
      <c r="J71" s="104"/>
      <c r="K71" s="104"/>
    </row>
    <row r="72" spans="1:11">
      <c r="A72" s="99"/>
      <c r="B72" s="99"/>
      <c r="C72" s="44"/>
      <c r="D72" s="104"/>
      <c r="E72" s="104"/>
      <c r="F72" s="104"/>
      <c r="G72" s="104"/>
      <c r="H72" s="104"/>
      <c r="I72" s="104"/>
      <c r="J72" s="104"/>
      <c r="K72" s="104"/>
    </row>
    <row r="73" spans="1:11">
      <c r="A73" s="99"/>
      <c r="B73" s="99"/>
      <c r="E73" s="38"/>
      <c r="F73" s="38"/>
      <c r="G73" s="38"/>
      <c r="H73" s="38"/>
      <c r="I73" s="38"/>
      <c r="J73" s="38"/>
      <c r="K73" s="38"/>
    </row>
    <row r="74" spans="1:11">
      <c r="A74" s="99"/>
      <c r="B74" s="99"/>
      <c r="E74" s="38"/>
      <c r="F74" s="38"/>
      <c r="G74" s="38"/>
      <c r="H74" s="38"/>
      <c r="I74" s="38"/>
      <c r="J74" s="38"/>
      <c r="K74" s="38"/>
    </row>
    <row r="75" spans="1:11">
      <c r="A75" s="99"/>
      <c r="B75" s="99"/>
      <c r="E75" s="38"/>
      <c r="F75" s="38"/>
      <c r="G75" s="38"/>
      <c r="H75" s="38"/>
      <c r="I75" s="38"/>
      <c r="J75" s="38"/>
      <c r="K75" s="38"/>
    </row>
    <row r="76" spans="1:11">
      <c r="A76" s="99"/>
      <c r="B76" s="99"/>
      <c r="E76" s="38"/>
      <c r="F76" s="38"/>
      <c r="G76" s="38"/>
      <c r="H76" s="38"/>
      <c r="I76" s="38"/>
      <c r="J76" s="38"/>
      <c r="K76" s="38"/>
    </row>
    <row r="77" spans="1:11">
      <c r="A77" s="99"/>
      <c r="B77" s="99"/>
      <c r="C77" s="99"/>
      <c r="D77" s="99"/>
      <c r="E77" s="38"/>
      <c r="F77" s="38"/>
      <c r="G77" s="38"/>
      <c r="H77" s="38"/>
      <c r="I77" s="38"/>
      <c r="J77" s="38"/>
      <c r="K77" s="38"/>
    </row>
    <row r="78" spans="1:11">
      <c r="A78" s="99"/>
      <c r="B78" s="99"/>
      <c r="C78" s="99"/>
      <c r="D78" s="99"/>
      <c r="E78" s="38"/>
      <c r="F78" s="38"/>
      <c r="G78" s="38"/>
      <c r="H78" s="38"/>
      <c r="I78" s="38"/>
      <c r="J78" s="38"/>
      <c r="K78" s="38"/>
    </row>
    <row r="79" spans="1:11">
      <c r="A79" s="99"/>
      <c r="B79" s="99"/>
      <c r="C79" s="99"/>
      <c r="D79" s="99"/>
      <c r="E79" s="38"/>
      <c r="F79" s="38"/>
      <c r="G79" s="38"/>
      <c r="H79" s="38"/>
      <c r="I79" s="38"/>
      <c r="J79" s="38"/>
      <c r="K79" s="38"/>
    </row>
    <row r="80" spans="1:11">
      <c r="A80" s="99"/>
      <c r="B80" s="99"/>
      <c r="C80" s="99"/>
      <c r="D80" s="99"/>
      <c r="E80" s="38"/>
      <c r="F80" s="38"/>
      <c r="G80" s="38"/>
      <c r="H80" s="38"/>
      <c r="I80" s="38"/>
      <c r="J80" s="38"/>
      <c r="K80" s="38"/>
    </row>
    <row r="81" spans="1:11">
      <c r="A81" s="99"/>
      <c r="B81" s="99"/>
      <c r="C81" s="99"/>
      <c r="D81" s="99"/>
      <c r="E81" s="38"/>
      <c r="F81" s="38"/>
      <c r="G81" s="38"/>
      <c r="H81" s="38"/>
      <c r="I81" s="38"/>
      <c r="J81" s="38"/>
      <c r="K81" s="38"/>
    </row>
    <row r="82" spans="1:11">
      <c r="A82" s="99"/>
      <c r="B82" s="99"/>
      <c r="C82" s="99"/>
      <c r="D82" s="99"/>
      <c r="E82" s="38"/>
      <c r="F82" s="38"/>
      <c r="G82" s="38"/>
      <c r="H82" s="38"/>
      <c r="I82" s="38"/>
      <c r="J82" s="38"/>
      <c r="K82" s="38"/>
    </row>
    <row r="83" spans="1:11">
      <c r="A83" s="99"/>
      <c r="B83" s="99"/>
      <c r="C83" s="99"/>
      <c r="D83" s="99"/>
      <c r="E83" s="38"/>
      <c r="F83" s="38"/>
      <c r="G83" s="38"/>
      <c r="H83" s="38"/>
      <c r="I83" s="38"/>
      <c r="J83" s="38"/>
      <c r="K83" s="38"/>
    </row>
    <row r="84" spans="1:11">
      <c r="A84" s="99"/>
      <c r="B84" s="99"/>
      <c r="C84" s="99"/>
      <c r="D84" s="99"/>
      <c r="E84" s="38"/>
      <c r="F84" s="38"/>
      <c r="G84" s="38"/>
      <c r="H84" s="38"/>
      <c r="I84" s="38"/>
      <c r="J84" s="38"/>
      <c r="K84" s="38"/>
    </row>
    <row r="85" spans="1:11">
      <c r="A85" s="99"/>
      <c r="B85" s="99"/>
      <c r="C85" s="99"/>
      <c r="D85" s="99"/>
      <c r="E85" s="38"/>
      <c r="F85" s="38"/>
      <c r="G85" s="38"/>
      <c r="H85" s="38"/>
      <c r="I85" s="38"/>
      <c r="J85" s="38"/>
      <c r="K85" s="38"/>
    </row>
    <row r="86" spans="1:11">
      <c r="A86" s="99"/>
      <c r="B86" s="99"/>
      <c r="C86" s="99"/>
      <c r="D86" s="99"/>
      <c r="E86" s="38"/>
      <c r="F86" s="38"/>
      <c r="G86" s="38"/>
      <c r="H86" s="38"/>
      <c r="I86" s="38"/>
      <c r="J86" s="38"/>
      <c r="K86" s="38"/>
    </row>
    <row r="87" spans="1:11">
      <c r="A87" s="99"/>
      <c r="B87" s="99"/>
      <c r="C87" s="99"/>
      <c r="D87" s="99"/>
      <c r="E87" s="38"/>
      <c r="F87" s="38"/>
      <c r="G87" s="38"/>
      <c r="H87" s="38"/>
      <c r="I87" s="38"/>
      <c r="J87" s="38"/>
      <c r="K87" s="38"/>
    </row>
    <row r="88" spans="1:11">
      <c r="A88" s="99"/>
      <c r="B88" s="99"/>
      <c r="C88" s="99"/>
      <c r="D88" s="99"/>
      <c r="E88" s="38"/>
      <c r="F88" s="38"/>
      <c r="G88" s="38"/>
      <c r="H88" s="38"/>
      <c r="I88" s="38"/>
      <c r="J88" s="38"/>
      <c r="K88" s="38"/>
    </row>
    <row r="89" spans="1:11">
      <c r="A89" s="99"/>
      <c r="B89" s="99"/>
      <c r="C89" s="99"/>
      <c r="D89" s="99"/>
      <c r="E89" s="38"/>
      <c r="F89" s="38"/>
      <c r="G89" s="38"/>
      <c r="H89" s="38"/>
      <c r="I89" s="38"/>
      <c r="J89" s="38"/>
      <c r="K89" s="38"/>
    </row>
    <row r="90" spans="1:11">
      <c r="A90" s="99"/>
      <c r="B90" s="99"/>
      <c r="C90" s="99"/>
      <c r="D90" s="99"/>
      <c r="E90" s="38"/>
      <c r="F90" s="38"/>
      <c r="G90" s="38"/>
      <c r="H90" s="38"/>
      <c r="I90" s="38"/>
      <c r="J90" s="38"/>
      <c r="K90" s="38"/>
    </row>
    <row r="91" spans="1:11">
      <c r="A91" s="99"/>
      <c r="B91" s="99"/>
      <c r="C91" s="99"/>
      <c r="D91" s="99"/>
      <c r="E91" s="38"/>
      <c r="F91" s="38"/>
      <c r="G91" s="38"/>
      <c r="H91" s="38"/>
      <c r="I91" s="38"/>
      <c r="J91" s="38"/>
      <c r="K91" s="38"/>
    </row>
    <row r="92" spans="1:11">
      <c r="A92" s="99"/>
      <c r="B92" s="99"/>
      <c r="C92" s="99"/>
      <c r="D92" s="99"/>
      <c r="E92" s="38"/>
      <c r="F92" s="38"/>
      <c r="G92" s="38"/>
      <c r="H92" s="38"/>
      <c r="I92" s="38"/>
      <c r="J92" s="38"/>
      <c r="K92" s="38"/>
    </row>
    <row r="93" spans="1:11">
      <c r="A93" s="99"/>
      <c r="B93" s="99"/>
      <c r="C93" s="99"/>
      <c r="D93" s="99"/>
      <c r="E93" s="38"/>
      <c r="F93" s="38"/>
      <c r="G93" s="38"/>
      <c r="H93" s="38"/>
      <c r="I93" s="38"/>
      <c r="J93" s="38"/>
      <c r="K93" s="38"/>
    </row>
    <row r="94" spans="1:11">
      <c r="A94" s="99"/>
      <c r="B94" s="99"/>
      <c r="C94" s="99"/>
      <c r="D94" s="99"/>
      <c r="E94" s="38"/>
      <c r="F94" s="38"/>
      <c r="G94" s="38"/>
      <c r="H94" s="38"/>
      <c r="I94" s="38"/>
      <c r="J94" s="38"/>
      <c r="K94" s="38"/>
    </row>
    <row r="95" spans="1:11">
      <c r="A95" s="99"/>
      <c r="B95" s="99"/>
      <c r="C95" s="99"/>
      <c r="D95" s="99"/>
      <c r="E95" s="38"/>
      <c r="F95" s="38"/>
      <c r="G95" s="38"/>
      <c r="H95" s="38"/>
      <c r="I95" s="38"/>
      <c r="J95" s="38"/>
      <c r="K95" s="38"/>
    </row>
    <row r="96" spans="1:11">
      <c r="A96" s="99"/>
      <c r="B96" s="99"/>
      <c r="C96" s="99"/>
      <c r="D96" s="99"/>
      <c r="E96" s="38"/>
      <c r="F96" s="38"/>
      <c r="G96" s="38"/>
      <c r="H96" s="38"/>
      <c r="I96" s="38"/>
      <c r="J96" s="38"/>
      <c r="K96" s="38"/>
    </row>
    <row r="97" spans="1:11">
      <c r="A97" s="99"/>
      <c r="B97" s="99"/>
      <c r="C97" s="99"/>
      <c r="D97" s="99"/>
      <c r="E97" s="38"/>
      <c r="F97" s="38"/>
      <c r="G97" s="38"/>
      <c r="H97" s="38"/>
      <c r="I97" s="38"/>
      <c r="J97" s="38"/>
      <c r="K97" s="38"/>
    </row>
    <row r="98" spans="1:11">
      <c r="A98" s="99"/>
      <c r="B98" s="99"/>
      <c r="C98" s="99"/>
      <c r="D98" s="99"/>
      <c r="E98" s="38"/>
      <c r="F98" s="38"/>
      <c r="G98" s="38"/>
      <c r="H98" s="38"/>
      <c r="I98" s="38"/>
      <c r="J98" s="38"/>
      <c r="K98" s="38"/>
    </row>
    <row r="99" spans="1:11">
      <c r="A99" s="99"/>
      <c r="B99" s="99"/>
      <c r="C99" s="99"/>
      <c r="D99" s="99"/>
      <c r="E99" s="38"/>
      <c r="F99" s="38"/>
      <c r="G99" s="38"/>
      <c r="H99" s="38"/>
      <c r="I99" s="38"/>
      <c r="J99" s="38"/>
      <c r="K99" s="38"/>
    </row>
  </sheetData>
  <mergeCells count="3">
    <mergeCell ref="A1:K1"/>
    <mergeCell ref="A2:K2"/>
    <mergeCell ref="A3:K3"/>
  </mergeCells>
  <printOptions horizontalCentered="1"/>
  <pageMargins left="0.5" right="0.1" top="0.5" bottom="0" header="0" footer="0"/>
  <pageSetup scale="71" orientation="portrait" r:id="rId1"/>
</worksheet>
</file>

<file path=xl/worksheets/sheet4.xml><?xml version="1.0" encoding="utf-8"?>
<worksheet xmlns="http://schemas.openxmlformats.org/spreadsheetml/2006/main" xmlns:r="http://schemas.openxmlformats.org/officeDocument/2006/relationships">
  <dimension ref="A1:M63"/>
  <sheetViews>
    <sheetView zoomScaleNormal="100" workbookViewId="0">
      <selection activeCell="N15" sqref="N15"/>
    </sheetView>
  </sheetViews>
  <sheetFormatPr defaultColWidth="10.42578125" defaultRowHeight="15"/>
  <cols>
    <col min="1" max="1" width="2.7109375" style="38" customWidth="1"/>
    <col min="2" max="2" width="26.7109375" style="10" customWidth="1"/>
    <col min="3" max="3" width="2.7109375" style="10" customWidth="1"/>
    <col min="4" max="4" width="12.7109375" style="10" customWidth="1"/>
    <col min="5" max="5" width="2.7109375" style="10" customWidth="1"/>
    <col min="6" max="6" width="12.7109375" style="10" customWidth="1"/>
    <col min="7" max="7" width="2.7109375" style="10" customWidth="1"/>
    <col min="8" max="8" width="12.7109375" style="10" customWidth="1"/>
    <col min="9" max="9" width="2.7109375" style="10" customWidth="1"/>
    <col min="10" max="10" width="12.7109375" style="10" customWidth="1"/>
    <col min="11" max="11" width="2.7109375" style="10" customWidth="1"/>
    <col min="12" max="12" width="12.7109375" style="38" customWidth="1"/>
    <col min="13" max="13" width="6.85546875" style="83" customWidth="1"/>
    <col min="14" max="16384" width="10.42578125" style="38"/>
  </cols>
  <sheetData>
    <row r="1" spans="1:13" ht="18.75">
      <c r="B1" s="883" t="s">
        <v>735</v>
      </c>
      <c r="C1" s="883"/>
      <c r="D1" s="883"/>
      <c r="E1" s="883"/>
      <c r="F1" s="883"/>
      <c r="G1" s="883"/>
      <c r="H1" s="883"/>
      <c r="I1" s="883"/>
      <c r="J1" s="883"/>
      <c r="K1" s="883"/>
      <c r="L1" s="883"/>
    </row>
    <row r="2" spans="1:13" ht="22.5">
      <c r="B2" s="884" t="s">
        <v>1309</v>
      </c>
      <c r="C2" s="884"/>
      <c r="D2" s="884"/>
      <c r="E2" s="884"/>
      <c r="F2" s="884"/>
      <c r="G2" s="884"/>
      <c r="H2" s="884"/>
      <c r="I2" s="884"/>
      <c r="J2" s="884"/>
      <c r="K2" s="884"/>
      <c r="L2" s="884"/>
    </row>
    <row r="3" spans="1:13" ht="18.75">
      <c r="B3" s="883" t="s">
        <v>783</v>
      </c>
      <c r="C3" s="883"/>
      <c r="D3" s="883"/>
      <c r="E3" s="883"/>
      <c r="F3" s="883"/>
      <c r="G3" s="883"/>
      <c r="H3" s="883"/>
      <c r="I3" s="883"/>
      <c r="J3" s="883"/>
      <c r="K3" s="883"/>
      <c r="L3" s="883"/>
    </row>
    <row r="4" spans="1:13">
      <c r="B4" s="11"/>
      <c r="C4" s="11"/>
      <c r="D4" s="11"/>
      <c r="E4" s="11"/>
      <c r="F4" s="11"/>
      <c r="G4" s="11"/>
      <c r="H4" s="11"/>
      <c r="I4" s="11"/>
      <c r="J4" s="11"/>
      <c r="K4" s="11"/>
      <c r="L4" s="84"/>
    </row>
    <row r="5" spans="1:13">
      <c r="C5" s="11"/>
      <c r="D5" s="11" t="s">
        <v>784</v>
      </c>
      <c r="E5" s="11"/>
      <c r="F5" s="12" t="s">
        <v>785</v>
      </c>
      <c r="G5" s="11"/>
      <c r="H5" s="11" t="s">
        <v>786</v>
      </c>
      <c r="I5" s="12"/>
      <c r="J5" s="12" t="s">
        <v>787</v>
      </c>
      <c r="K5" s="12"/>
      <c r="L5" s="12" t="s">
        <v>788</v>
      </c>
    </row>
    <row r="6" spans="1:13" ht="15.75" thickBot="1">
      <c r="B6" s="85" t="s">
        <v>737</v>
      </c>
      <c r="C6" s="86"/>
      <c r="D6" s="86" t="s">
        <v>487</v>
      </c>
      <c r="E6" s="85"/>
      <c r="F6" s="85" t="s">
        <v>789</v>
      </c>
      <c r="G6" s="85"/>
      <c r="H6" s="85" t="s">
        <v>484</v>
      </c>
      <c r="I6" s="85"/>
      <c r="J6" s="85" t="s">
        <v>790</v>
      </c>
      <c r="K6" s="85"/>
      <c r="L6" s="85" t="s">
        <v>487</v>
      </c>
    </row>
    <row r="7" spans="1:13">
      <c r="B7" s="20"/>
      <c r="C7" s="87"/>
      <c r="D7" s="87"/>
      <c r="E7" s="20"/>
      <c r="F7" s="20"/>
      <c r="G7" s="20"/>
      <c r="H7" s="20"/>
      <c r="I7" s="20"/>
      <c r="J7" s="20"/>
      <c r="K7" s="20"/>
      <c r="L7" s="20"/>
    </row>
    <row r="8" spans="1:13" ht="24" customHeight="1">
      <c r="A8" s="70" t="s">
        <v>738</v>
      </c>
      <c r="B8" s="1"/>
      <c r="C8" s="76"/>
      <c r="D8" s="88">
        <f>'Fund Cover Sheets'!F32</f>
        <v>5777996</v>
      </c>
      <c r="E8" s="88"/>
      <c r="F8" s="88">
        <f>'Fund Cover Sheets'!G20</f>
        <v>15642962</v>
      </c>
      <c r="G8" s="88"/>
      <c r="H8" s="88">
        <f>'Fund Cover Sheets'!G28</f>
        <v>15952180</v>
      </c>
      <c r="I8" s="88"/>
      <c r="J8" s="88">
        <f>F8-H8</f>
        <v>-309218</v>
      </c>
      <c r="K8" s="88"/>
      <c r="L8" s="89">
        <f>D8+J8</f>
        <v>5468778</v>
      </c>
      <c r="M8" s="90"/>
    </row>
    <row r="9" spans="1:13">
      <c r="A9" s="70"/>
      <c r="B9" s="1"/>
      <c r="C9" s="91"/>
      <c r="D9" s="72"/>
      <c r="E9" s="72"/>
      <c r="F9" s="72"/>
      <c r="G9" s="72"/>
      <c r="H9" s="72"/>
      <c r="I9" s="72"/>
      <c r="J9" s="72"/>
      <c r="K9" s="72"/>
      <c r="L9" s="89"/>
      <c r="M9" s="90"/>
    </row>
    <row r="10" spans="1:13" ht="24" customHeight="1">
      <c r="A10" s="70" t="s">
        <v>739</v>
      </c>
      <c r="B10" s="1"/>
      <c r="C10" s="91"/>
      <c r="D10" s="72"/>
      <c r="E10" s="72"/>
      <c r="F10" s="72"/>
      <c r="G10" s="72"/>
      <c r="H10" s="72"/>
      <c r="I10" s="72"/>
      <c r="J10" s="72"/>
      <c r="K10" s="72"/>
      <c r="L10" s="89"/>
      <c r="M10" s="90"/>
    </row>
    <row r="11" spans="1:13" ht="24" customHeight="1">
      <c r="A11" s="70"/>
      <c r="B11" s="1" t="s">
        <v>665</v>
      </c>
      <c r="C11" s="91"/>
      <c r="D11" s="72">
        <f>'Fund Cover Sheets'!F142</f>
        <v>584506</v>
      </c>
      <c r="E11" s="72"/>
      <c r="F11" s="72">
        <f>'Fund Cover Sheets'!G132</f>
        <v>535817</v>
      </c>
      <c r="G11" s="72"/>
      <c r="H11" s="88">
        <f>'Fund Cover Sheets'!G138</f>
        <v>691787</v>
      </c>
      <c r="I11" s="72"/>
      <c r="J11" s="88">
        <f t="shared" ref="J11:J18" si="0">F11-H11</f>
        <v>-155970</v>
      </c>
      <c r="K11" s="72"/>
      <c r="L11" s="89">
        <f t="shared" ref="L11:L20" si="1">D11+J11</f>
        <v>428536</v>
      </c>
      <c r="M11" s="90"/>
    </row>
    <row r="12" spans="1:13" ht="24" customHeight="1">
      <c r="A12" s="71"/>
      <c r="B12" s="68" t="s">
        <v>740</v>
      </c>
      <c r="C12" s="91"/>
      <c r="D12" s="72">
        <f>'Fund Cover Sheets'!F469</f>
        <v>411240</v>
      </c>
      <c r="E12" s="72"/>
      <c r="F12" s="72">
        <f>'Fund Cover Sheets'!G458</f>
        <v>1988014</v>
      </c>
      <c r="G12" s="72"/>
      <c r="H12" s="88">
        <f>'Fund Cover Sheets'!G465</f>
        <v>2086308</v>
      </c>
      <c r="I12" s="72"/>
      <c r="J12" s="88">
        <f t="shared" si="0"/>
        <v>-98294</v>
      </c>
      <c r="K12" s="72"/>
      <c r="L12" s="89">
        <f t="shared" si="1"/>
        <v>312946</v>
      </c>
      <c r="M12" s="90"/>
    </row>
    <row r="13" spans="1:13" ht="24" customHeight="1">
      <c r="A13" s="71"/>
      <c r="B13" s="68" t="s">
        <v>552</v>
      </c>
      <c r="C13" s="91"/>
      <c r="D13" s="72">
        <f>'Fund Cover Sheets'!F425</f>
        <v>-186751</v>
      </c>
      <c r="E13" s="72"/>
      <c r="F13" s="72">
        <f>'Fund Cover Sheets'!G416</f>
        <v>714113</v>
      </c>
      <c r="G13" s="72"/>
      <c r="H13" s="72">
        <f>'Fund Cover Sheets'!G421</f>
        <v>465000</v>
      </c>
      <c r="I13" s="72"/>
      <c r="J13" s="88">
        <f t="shared" si="0"/>
        <v>249113</v>
      </c>
      <c r="K13" s="72"/>
      <c r="L13" s="89">
        <f t="shared" si="1"/>
        <v>62362</v>
      </c>
      <c r="M13" s="90"/>
    </row>
    <row r="14" spans="1:13" ht="24" customHeight="1">
      <c r="A14" s="71"/>
      <c r="B14" s="68" t="s">
        <v>475</v>
      </c>
      <c r="C14" s="91"/>
      <c r="D14" s="72">
        <f>'Fund Cover Sheets'!F594</f>
        <v>-460497</v>
      </c>
      <c r="E14" s="92"/>
      <c r="F14" s="72">
        <f>'Fund Cover Sheets'!G584</f>
        <v>246261</v>
      </c>
      <c r="G14" s="92"/>
      <c r="H14" s="72">
        <f>'Fund Cover Sheets'!G590</f>
        <v>863107</v>
      </c>
      <c r="I14" s="92"/>
      <c r="J14" s="88">
        <f t="shared" si="0"/>
        <v>-616846</v>
      </c>
      <c r="K14" s="92"/>
      <c r="L14" s="89">
        <f t="shared" si="1"/>
        <v>-1077343</v>
      </c>
      <c r="M14" s="90"/>
    </row>
    <row r="15" spans="1:13" ht="24" customHeight="1">
      <c r="A15" s="71"/>
      <c r="B15" s="68" t="s">
        <v>479</v>
      </c>
      <c r="C15" s="91"/>
      <c r="D15" s="72">
        <f>'Fund Cover Sheets'!F633</f>
        <v>-905573</v>
      </c>
      <c r="E15" s="93"/>
      <c r="F15" s="72">
        <f>'Fund Cover Sheets'!G623</f>
        <v>130536</v>
      </c>
      <c r="G15" s="93"/>
      <c r="H15" s="72">
        <f>'Fund Cover Sheets'!G629</f>
        <v>419243</v>
      </c>
      <c r="I15" s="93"/>
      <c r="J15" s="88">
        <f t="shared" si="0"/>
        <v>-288707</v>
      </c>
      <c r="K15" s="93"/>
      <c r="L15" s="89">
        <f t="shared" si="1"/>
        <v>-1194280</v>
      </c>
      <c r="M15" s="90"/>
    </row>
    <row r="16" spans="1:13" ht="24" customHeight="1">
      <c r="A16" s="71"/>
      <c r="B16" s="68" t="s">
        <v>1330</v>
      </c>
      <c r="C16" s="91"/>
      <c r="D16" s="72">
        <f>'Fund Cover Sheets'!F669</f>
        <v>0</v>
      </c>
      <c r="E16" s="93"/>
      <c r="F16" s="72">
        <f>'Fund Cover Sheets'!G660</f>
        <v>0</v>
      </c>
      <c r="G16" s="93"/>
      <c r="H16" s="72">
        <f>'Fund Cover Sheets'!G665</f>
        <v>10000</v>
      </c>
      <c r="I16" s="93"/>
      <c r="J16" s="88">
        <f t="shared" si="0"/>
        <v>-10000</v>
      </c>
      <c r="K16" s="93"/>
      <c r="L16" s="89">
        <f t="shared" si="1"/>
        <v>-10000</v>
      </c>
      <c r="M16" s="90"/>
    </row>
    <row r="17" spans="1:13" ht="24" customHeight="1">
      <c r="A17" s="71"/>
      <c r="B17" s="68" t="s">
        <v>741</v>
      </c>
      <c r="C17" s="82"/>
      <c r="D17" s="72">
        <f>'Fund Cover Sheets'!F67</f>
        <v>5408</v>
      </c>
      <c r="E17" s="3"/>
      <c r="F17" s="3">
        <f>'Fund Cover Sheets'!G59</f>
        <v>13381</v>
      </c>
      <c r="G17" s="3"/>
      <c r="H17" s="3">
        <f>'Fund Cover Sheets'!G63</f>
        <v>8835</v>
      </c>
      <c r="I17" s="3"/>
      <c r="J17" s="88">
        <f t="shared" si="0"/>
        <v>4546</v>
      </c>
      <c r="K17" s="3"/>
      <c r="L17" s="89">
        <f t="shared" si="1"/>
        <v>9954</v>
      </c>
      <c r="M17" s="90"/>
    </row>
    <row r="18" spans="1:13" ht="24" customHeight="1">
      <c r="A18" s="71"/>
      <c r="B18" s="68" t="s">
        <v>742</v>
      </c>
      <c r="C18" s="82"/>
      <c r="D18" s="72">
        <f>'Fund Cover Sheets'!F103</f>
        <v>-25038</v>
      </c>
      <c r="E18" s="8"/>
      <c r="F18" s="3">
        <f>'Fund Cover Sheets'!G95</f>
        <v>15637</v>
      </c>
      <c r="G18" s="8"/>
      <c r="H18" s="3">
        <f>'Fund Cover Sheets'!G99</f>
        <v>18835</v>
      </c>
      <c r="I18" s="8"/>
      <c r="J18" s="88">
        <f t="shared" si="0"/>
        <v>-3198</v>
      </c>
      <c r="K18" s="8"/>
      <c r="L18" s="89">
        <f t="shared" si="1"/>
        <v>-28236</v>
      </c>
      <c r="M18" s="90"/>
    </row>
    <row r="19" spans="1:13">
      <c r="A19" s="71"/>
      <c r="B19" s="68"/>
      <c r="C19" s="82"/>
      <c r="D19" s="3"/>
      <c r="E19" s="3"/>
      <c r="F19" s="3"/>
      <c r="G19" s="3"/>
      <c r="H19" s="3"/>
      <c r="I19" s="3"/>
      <c r="J19" s="88"/>
      <c r="K19" s="3"/>
      <c r="L19" s="89"/>
      <c r="M19" s="90"/>
    </row>
    <row r="20" spans="1:13" ht="24" customHeight="1">
      <c r="A20" s="70" t="s">
        <v>743</v>
      </c>
      <c r="B20" s="63"/>
      <c r="C20" s="91"/>
      <c r="D20" s="72">
        <f>'Fund Cover Sheets'!F293</f>
        <v>0</v>
      </c>
      <c r="E20" s="72"/>
      <c r="F20" s="72">
        <f>'Fund Cover Sheets'!G284</f>
        <v>324725</v>
      </c>
      <c r="G20" s="72"/>
      <c r="H20" s="72">
        <f>'Fund Cover Sheets'!G289</f>
        <v>324725</v>
      </c>
      <c r="I20" s="72"/>
      <c r="J20" s="88">
        <f>F20-H20</f>
        <v>0</v>
      </c>
      <c r="K20" s="72"/>
      <c r="L20" s="89">
        <f t="shared" si="1"/>
        <v>0</v>
      </c>
      <c r="M20" s="90"/>
    </row>
    <row r="21" spans="1:13">
      <c r="A21" s="71"/>
      <c r="B21" s="63"/>
      <c r="C21" s="82"/>
      <c r="D21" s="3"/>
      <c r="E21" s="94"/>
      <c r="F21" s="3"/>
      <c r="G21" s="94"/>
      <c r="H21" s="94"/>
      <c r="I21" s="94"/>
      <c r="J21" s="88"/>
      <c r="K21" s="94"/>
      <c r="L21" s="89"/>
      <c r="M21" s="90"/>
    </row>
    <row r="22" spans="1:13" ht="24" customHeight="1">
      <c r="A22" s="70" t="s">
        <v>744</v>
      </c>
      <c r="B22" s="63"/>
      <c r="C22" s="82"/>
      <c r="D22" s="3"/>
      <c r="E22" s="3"/>
      <c r="F22" s="3"/>
      <c r="G22" s="3"/>
      <c r="H22" s="3"/>
      <c r="I22" s="3"/>
      <c r="J22" s="88"/>
      <c r="K22" s="3"/>
      <c r="L22" s="89"/>
      <c r="M22" s="90"/>
    </row>
    <row r="23" spans="1:13" ht="24" customHeight="1">
      <c r="A23" s="71"/>
      <c r="B23" s="68" t="s">
        <v>868</v>
      </c>
      <c r="C23" s="82"/>
      <c r="D23" s="3">
        <f>'Fund Cover Sheets'!F256</f>
        <v>303435</v>
      </c>
      <c r="E23" s="3"/>
      <c r="F23" s="3">
        <f>'Fund Cover Sheets'!G220</f>
        <v>237311</v>
      </c>
      <c r="G23" s="3"/>
      <c r="H23" s="3">
        <f>'Fund Cover Sheets'!G245</f>
        <v>276945</v>
      </c>
      <c r="I23" s="3"/>
      <c r="J23" s="88">
        <f>F23-H23</f>
        <v>-39634</v>
      </c>
      <c r="K23" s="3"/>
      <c r="L23" s="89">
        <f>D23+J23</f>
        <v>263801</v>
      </c>
      <c r="M23" s="90"/>
    </row>
    <row r="24" spans="1:13" s="10" customFormat="1" ht="24" customHeight="1">
      <c r="A24" s="71"/>
      <c r="B24" s="68" t="s">
        <v>746</v>
      </c>
      <c r="C24" s="6"/>
      <c r="D24" s="3">
        <f>'Fund Cover Sheets'!F186</f>
        <v>407759</v>
      </c>
      <c r="E24" s="2"/>
      <c r="F24" s="2">
        <f>'Fund Cover Sheets'!G174</f>
        <v>2183577</v>
      </c>
      <c r="G24" s="2"/>
      <c r="H24" s="2">
        <f>'Fund Cover Sheets'!G182</f>
        <v>2622153</v>
      </c>
      <c r="I24" s="2"/>
      <c r="J24" s="88">
        <f>F24-H24</f>
        <v>-438576</v>
      </c>
      <c r="K24" s="2"/>
      <c r="L24" s="89">
        <f>D24+J24</f>
        <v>-30817</v>
      </c>
      <c r="M24" s="79"/>
    </row>
    <row r="25" spans="1:13">
      <c r="A25" s="1"/>
      <c r="B25" s="68"/>
      <c r="C25" s="91"/>
      <c r="D25" s="72"/>
      <c r="E25" s="72"/>
      <c r="F25" s="72"/>
      <c r="G25" s="72"/>
      <c r="H25" s="72"/>
      <c r="I25" s="72"/>
      <c r="J25" s="88"/>
      <c r="K25" s="72"/>
      <c r="L25" s="89"/>
      <c r="M25" s="90"/>
    </row>
    <row r="26" spans="1:13" ht="24" customHeight="1">
      <c r="A26" s="70" t="s">
        <v>793</v>
      </c>
      <c r="B26" s="68"/>
      <c r="C26" s="91"/>
      <c r="D26" s="72"/>
      <c r="E26" s="72"/>
      <c r="F26" s="72"/>
      <c r="G26" s="72"/>
      <c r="H26" s="72"/>
      <c r="I26" s="72"/>
      <c r="J26" s="72"/>
      <c r="K26" s="72"/>
      <c r="L26" s="89"/>
      <c r="M26" s="90"/>
    </row>
    <row r="27" spans="1:13" ht="24" customHeight="1">
      <c r="A27" s="1"/>
      <c r="B27" s="68" t="s">
        <v>550</v>
      </c>
      <c r="C27" s="91"/>
      <c r="D27" s="72">
        <f>'Fund Cover Sheets'!F337</f>
        <v>2290008</v>
      </c>
      <c r="E27" s="72"/>
      <c r="F27" s="72">
        <f>'Fund Cover Sheets'!G323</f>
        <v>4538518</v>
      </c>
      <c r="G27" s="72"/>
      <c r="H27" s="72">
        <f>'Fund Cover Sheets'!G333</f>
        <v>4876371</v>
      </c>
      <c r="I27" s="72"/>
      <c r="J27" s="88">
        <f>F27-H27</f>
        <v>-337853</v>
      </c>
      <c r="K27" s="72"/>
      <c r="L27" s="89">
        <f>D27+J27</f>
        <v>1952155</v>
      </c>
      <c r="M27" s="90"/>
    </row>
    <row r="28" spans="1:13" ht="24" customHeight="1">
      <c r="A28" s="1"/>
      <c r="B28" s="68" t="s">
        <v>551</v>
      </c>
      <c r="C28" s="91"/>
      <c r="D28" s="72">
        <f>'Fund Cover Sheets'!F383</f>
        <v>1334728</v>
      </c>
      <c r="E28" s="72"/>
      <c r="F28" s="72">
        <f>'Fund Cover Sheets'!G368</f>
        <v>2416491</v>
      </c>
      <c r="G28" s="72"/>
      <c r="H28" s="72">
        <f>'Fund Cover Sheets'!G379</f>
        <v>3045454</v>
      </c>
      <c r="I28" s="72"/>
      <c r="J28" s="88">
        <f>F28-H28</f>
        <v>-628963</v>
      </c>
      <c r="K28" s="72"/>
      <c r="L28" s="89">
        <f>D28+J28</f>
        <v>705765</v>
      </c>
      <c r="M28" s="90"/>
    </row>
    <row r="29" spans="1:13" ht="30" customHeight="1">
      <c r="A29" s="1"/>
      <c r="B29" s="68"/>
      <c r="C29" s="91"/>
      <c r="D29" s="72"/>
      <c r="E29" s="72"/>
      <c r="F29" s="72"/>
      <c r="G29" s="72"/>
      <c r="H29" s="72"/>
      <c r="I29" s="72"/>
      <c r="J29" s="88"/>
      <c r="K29" s="72"/>
      <c r="L29" s="89"/>
      <c r="M29" s="90"/>
    </row>
    <row r="30" spans="1:13" ht="24" customHeight="1">
      <c r="A30" s="70" t="s">
        <v>748</v>
      </c>
      <c r="B30" s="68"/>
      <c r="C30" s="91"/>
      <c r="D30" s="72"/>
      <c r="E30" s="72"/>
      <c r="F30" s="72"/>
      <c r="G30" s="72"/>
      <c r="H30" s="72"/>
      <c r="I30" s="72"/>
      <c r="J30" s="88"/>
      <c r="K30" s="72"/>
      <c r="L30" s="89"/>
      <c r="M30" s="90"/>
    </row>
    <row r="31" spans="1:13" ht="24" customHeight="1">
      <c r="A31" s="70"/>
      <c r="B31" s="68" t="s">
        <v>544</v>
      </c>
      <c r="C31" s="91"/>
      <c r="D31" s="72">
        <f>'Fund Cover Sheets'!F514</f>
        <v>485393</v>
      </c>
      <c r="E31" s="72"/>
      <c r="F31" s="72">
        <f>'Fund Cover Sheets'!G502</f>
        <v>1536635</v>
      </c>
      <c r="G31" s="72"/>
      <c r="H31" s="72">
        <f>'Fund Cover Sheets'!G510</f>
        <v>1547989</v>
      </c>
      <c r="I31" s="72"/>
      <c r="J31" s="88">
        <f>F31-H31</f>
        <v>-11354</v>
      </c>
      <c r="K31" s="72"/>
      <c r="L31" s="89">
        <f>D31+J31</f>
        <v>474039</v>
      </c>
      <c r="M31" s="90"/>
    </row>
    <row r="32" spans="1:13" ht="24" customHeight="1">
      <c r="A32" s="70"/>
      <c r="B32" s="68" t="s">
        <v>749</v>
      </c>
      <c r="C32" s="91"/>
      <c r="D32" s="72">
        <f>'Fund Cover Sheets'!F554</f>
        <v>40164</v>
      </c>
      <c r="E32" s="72"/>
      <c r="F32" s="72">
        <f>'Fund Cover Sheets'!G545</f>
        <v>43210</v>
      </c>
      <c r="G32" s="72"/>
      <c r="H32" s="72">
        <f>'Fund Cover Sheets'!G550</f>
        <v>52100</v>
      </c>
      <c r="I32" s="72"/>
      <c r="J32" s="88">
        <f>F32-H32</f>
        <v>-8890</v>
      </c>
      <c r="K32" s="72"/>
      <c r="L32" s="89">
        <f>D32+J32</f>
        <v>31274</v>
      </c>
      <c r="M32" s="90"/>
    </row>
    <row r="33" spans="1:13" ht="24" customHeight="1">
      <c r="A33" s="70"/>
      <c r="B33" s="73"/>
      <c r="C33" s="82"/>
      <c r="D33" s="3"/>
      <c r="E33" s="3"/>
      <c r="F33" s="3"/>
      <c r="G33" s="3"/>
      <c r="H33" s="3"/>
      <c r="I33" s="3"/>
      <c r="J33" s="3"/>
      <c r="K33" s="3"/>
      <c r="L33" s="72"/>
      <c r="M33" s="90"/>
    </row>
    <row r="34" spans="1:13" ht="15" customHeight="1" thickBot="1">
      <c r="A34" s="71"/>
      <c r="B34" s="95" t="s">
        <v>791</v>
      </c>
      <c r="C34" s="96"/>
      <c r="D34" s="97">
        <f>SUM(D8:D33)</f>
        <v>10062778</v>
      </c>
      <c r="E34" s="97"/>
      <c r="F34" s="97">
        <f>SUM(F8:F33)</f>
        <v>30567188</v>
      </c>
      <c r="G34" s="97"/>
      <c r="H34" s="97">
        <f>SUM(H8:H33)</f>
        <v>33261032</v>
      </c>
      <c r="I34" s="97"/>
      <c r="J34" s="97">
        <f>SUM(J8:J33)</f>
        <v>-2693844</v>
      </c>
      <c r="K34" s="97"/>
      <c r="L34" s="97">
        <f>SUM(L8:L33)</f>
        <v>7368934</v>
      </c>
      <c r="M34" s="90"/>
    </row>
    <row r="35" spans="1:13" ht="24" customHeight="1" thickTop="1">
      <c r="A35" s="71"/>
      <c r="B35" s="1"/>
      <c r="C35" s="76"/>
      <c r="D35" s="88"/>
      <c r="E35" s="88"/>
      <c r="F35" s="88"/>
      <c r="G35" s="88"/>
      <c r="H35" s="88"/>
      <c r="I35" s="88"/>
      <c r="J35" s="88"/>
      <c r="K35" s="88"/>
      <c r="L35" s="89"/>
      <c r="M35" s="90"/>
    </row>
    <row r="36" spans="1:13" ht="15" customHeight="1">
      <c r="A36" s="109" t="s">
        <v>794</v>
      </c>
      <c r="B36" s="110" t="s">
        <v>880</v>
      </c>
      <c r="C36" s="91"/>
      <c r="D36" s="72"/>
      <c r="E36" s="72"/>
      <c r="F36" s="72"/>
      <c r="G36" s="72"/>
      <c r="H36" s="72"/>
      <c r="I36" s="72"/>
      <c r="J36" s="72"/>
      <c r="K36" s="72"/>
      <c r="L36" s="72"/>
      <c r="M36" s="90"/>
    </row>
    <row r="37" spans="1:13" ht="15" customHeight="1">
      <c r="M37" s="89"/>
    </row>
    <row r="38" spans="1:13" ht="12" customHeight="1">
      <c r="A38" s="71"/>
      <c r="B38" s="1"/>
      <c r="C38" s="76"/>
      <c r="D38" s="88"/>
      <c r="E38" s="88"/>
      <c r="F38" s="72"/>
      <c r="G38" s="88"/>
      <c r="H38" s="88"/>
      <c r="I38" s="88"/>
      <c r="J38" s="88"/>
      <c r="K38" s="88"/>
      <c r="L38" s="89"/>
      <c r="M38" s="90"/>
    </row>
    <row r="39" spans="1:13" ht="12" customHeight="1">
      <c r="A39" s="71"/>
      <c r="B39" s="1"/>
      <c r="C39" s="76"/>
      <c r="D39" s="88"/>
      <c r="E39" s="88"/>
      <c r="F39" s="72"/>
      <c r="G39" s="88"/>
      <c r="H39" s="88"/>
      <c r="I39" s="88"/>
      <c r="J39" s="88"/>
      <c r="K39" s="88"/>
      <c r="L39" s="89"/>
      <c r="M39" s="90"/>
    </row>
    <row r="40" spans="1:13">
      <c r="A40" s="71"/>
      <c r="B40" s="9"/>
      <c r="C40" s="118"/>
      <c r="D40" s="118"/>
      <c r="E40" s="118"/>
      <c r="F40" s="118"/>
      <c r="G40" s="118"/>
      <c r="H40" s="118"/>
      <c r="I40" s="118"/>
      <c r="J40" s="118"/>
      <c r="K40" s="118"/>
      <c r="L40" s="119"/>
      <c r="M40" s="120"/>
    </row>
    <row r="41" spans="1:13">
      <c r="A41" s="71"/>
      <c r="B41" s="9"/>
      <c r="C41" s="118"/>
      <c r="D41" s="118"/>
      <c r="E41" s="118"/>
      <c r="F41" s="118"/>
      <c r="G41" s="118"/>
      <c r="H41" s="118"/>
      <c r="I41" s="118"/>
      <c r="J41" s="118"/>
      <c r="K41" s="118"/>
      <c r="L41" s="119"/>
      <c r="M41" s="120"/>
    </row>
    <row r="42" spans="1:13">
      <c r="A42" s="71"/>
      <c r="B42" s="9"/>
      <c r="C42" s="118"/>
      <c r="D42" s="118"/>
      <c r="E42" s="118"/>
      <c r="F42" s="118"/>
      <c r="G42" s="118"/>
      <c r="H42" s="118"/>
      <c r="I42" s="118"/>
      <c r="J42" s="118"/>
      <c r="K42" s="118"/>
      <c r="L42" s="119"/>
      <c r="M42" s="120"/>
    </row>
    <row r="43" spans="1:13">
      <c r="A43" s="71"/>
      <c r="B43" s="9"/>
      <c r="C43" s="118"/>
      <c r="D43" s="118"/>
      <c r="E43" s="118"/>
      <c r="F43" s="118"/>
      <c r="G43" s="118"/>
      <c r="H43" s="118"/>
      <c r="I43" s="118"/>
      <c r="J43" s="118"/>
      <c r="K43" s="118"/>
      <c r="L43" s="119"/>
      <c r="M43" s="120"/>
    </row>
    <row r="44" spans="1:13">
      <c r="A44" s="71"/>
      <c r="B44" s="1"/>
      <c r="C44" s="76"/>
      <c r="D44" s="76"/>
      <c r="E44" s="76"/>
      <c r="F44" s="76"/>
      <c r="G44" s="76"/>
      <c r="H44" s="76"/>
      <c r="I44" s="76"/>
      <c r="J44" s="76"/>
      <c r="K44" s="76"/>
      <c r="L44" s="71"/>
    </row>
    <row r="45" spans="1:13">
      <c r="C45" s="98"/>
      <c r="D45" s="98"/>
      <c r="E45" s="98"/>
      <c r="F45" s="98"/>
      <c r="G45" s="98"/>
      <c r="H45" s="98"/>
      <c r="I45" s="98"/>
      <c r="J45" s="98"/>
      <c r="K45" s="98"/>
    </row>
    <row r="46" spans="1:13">
      <c r="C46" s="98"/>
      <c r="D46" s="98"/>
      <c r="E46" s="98"/>
      <c r="F46" s="98"/>
      <c r="G46" s="98"/>
      <c r="H46" s="98"/>
      <c r="I46" s="98"/>
      <c r="J46" s="98"/>
      <c r="K46" s="98"/>
    </row>
    <row r="47" spans="1:13">
      <c r="C47" s="98"/>
      <c r="D47" s="98"/>
      <c r="E47" s="98"/>
      <c r="F47" s="98"/>
      <c r="G47" s="98"/>
      <c r="H47" s="98"/>
      <c r="I47" s="98"/>
      <c r="J47" s="98"/>
      <c r="K47" s="98"/>
    </row>
    <row r="48" spans="1:13">
      <c r="C48" s="98"/>
      <c r="D48" s="98"/>
      <c r="E48" s="98"/>
      <c r="F48" s="98"/>
      <c r="G48" s="98"/>
      <c r="H48" s="98"/>
      <c r="I48" s="98"/>
      <c r="J48" s="98"/>
      <c r="K48" s="98"/>
    </row>
    <row r="49" spans="3:11">
      <c r="C49" s="98"/>
      <c r="D49" s="98"/>
      <c r="E49" s="98"/>
      <c r="F49" s="98"/>
      <c r="G49" s="98"/>
      <c r="H49" s="98"/>
      <c r="I49" s="98"/>
      <c r="J49" s="98"/>
      <c r="K49" s="98"/>
    </row>
    <row r="50" spans="3:11">
      <c r="C50" s="98"/>
      <c r="D50" s="98"/>
      <c r="E50" s="98"/>
      <c r="F50" s="98"/>
      <c r="G50" s="98"/>
      <c r="H50" s="98"/>
      <c r="I50" s="98"/>
      <c r="J50" s="98"/>
      <c r="K50" s="98"/>
    </row>
    <row r="51" spans="3:11">
      <c r="C51" s="98"/>
      <c r="D51" s="98"/>
      <c r="E51" s="98"/>
      <c r="F51" s="98"/>
      <c r="G51" s="98"/>
      <c r="H51" s="98"/>
      <c r="I51" s="98"/>
      <c r="J51" s="98"/>
      <c r="K51" s="98"/>
    </row>
    <row r="52" spans="3:11">
      <c r="C52" s="98"/>
      <c r="D52" s="98"/>
      <c r="E52" s="98"/>
      <c r="F52" s="98"/>
      <c r="G52" s="98"/>
      <c r="H52" s="98"/>
      <c r="I52" s="98"/>
      <c r="J52" s="98"/>
      <c r="K52" s="98"/>
    </row>
    <row r="53" spans="3:11">
      <c r="C53" s="98"/>
      <c r="D53" s="98"/>
      <c r="E53" s="98"/>
      <c r="F53" s="98"/>
      <c r="G53" s="98"/>
      <c r="H53" s="98"/>
      <c r="I53" s="98"/>
      <c r="J53" s="98"/>
      <c r="K53" s="98"/>
    </row>
    <row r="54" spans="3:11">
      <c r="C54" s="98"/>
      <c r="D54" s="98"/>
      <c r="E54" s="98"/>
      <c r="F54" s="98"/>
      <c r="G54" s="98"/>
      <c r="H54" s="98"/>
      <c r="I54" s="98"/>
      <c r="J54" s="98"/>
      <c r="K54" s="98"/>
    </row>
    <row r="55" spans="3:11">
      <c r="C55" s="98"/>
      <c r="D55" s="98"/>
      <c r="E55" s="98"/>
      <c r="F55" s="98"/>
      <c r="G55" s="98"/>
      <c r="H55" s="98"/>
      <c r="I55" s="98"/>
      <c r="J55" s="98"/>
      <c r="K55" s="98"/>
    </row>
    <row r="56" spans="3:11">
      <c r="C56" s="98"/>
      <c r="D56" s="98"/>
      <c r="E56" s="98"/>
      <c r="F56" s="98"/>
      <c r="G56" s="98"/>
      <c r="H56" s="98"/>
      <c r="I56" s="98"/>
      <c r="J56" s="98"/>
      <c r="K56" s="98"/>
    </row>
    <row r="57" spans="3:11">
      <c r="C57" s="98"/>
      <c r="D57" s="98"/>
      <c r="E57" s="98"/>
      <c r="F57" s="98"/>
      <c r="G57" s="98"/>
      <c r="H57" s="98"/>
      <c r="I57" s="98"/>
      <c r="J57" s="98"/>
      <c r="K57" s="98"/>
    </row>
    <row r="58" spans="3:11">
      <c r="C58" s="98"/>
      <c r="D58" s="98"/>
      <c r="E58" s="98"/>
      <c r="F58" s="98"/>
      <c r="G58" s="98"/>
      <c r="H58" s="98"/>
      <c r="I58" s="98"/>
      <c r="J58" s="98"/>
      <c r="K58" s="98"/>
    </row>
    <row r="59" spans="3:11">
      <c r="C59" s="98"/>
      <c r="D59" s="98"/>
      <c r="E59" s="98"/>
      <c r="F59" s="98"/>
      <c r="G59" s="98"/>
      <c r="H59" s="98"/>
      <c r="I59" s="98"/>
      <c r="J59" s="98"/>
      <c r="K59" s="98"/>
    </row>
    <row r="60" spans="3:11">
      <c r="C60" s="98"/>
      <c r="D60" s="98"/>
      <c r="E60" s="98"/>
      <c r="F60" s="98"/>
      <c r="G60" s="98"/>
      <c r="H60" s="98"/>
      <c r="I60" s="98"/>
      <c r="J60" s="98"/>
      <c r="K60" s="98"/>
    </row>
    <row r="61" spans="3:11">
      <c r="C61" s="98"/>
      <c r="D61" s="98"/>
      <c r="E61" s="98"/>
      <c r="F61" s="98"/>
      <c r="G61" s="98"/>
      <c r="H61" s="98"/>
      <c r="I61" s="98"/>
      <c r="J61" s="98"/>
      <c r="K61" s="98"/>
    </row>
    <row r="62" spans="3:11">
      <c r="C62" s="98"/>
      <c r="D62" s="98"/>
      <c r="E62" s="98"/>
      <c r="F62" s="98"/>
      <c r="G62" s="98"/>
      <c r="H62" s="98"/>
      <c r="I62" s="98"/>
      <c r="J62" s="98"/>
      <c r="K62" s="98"/>
    </row>
    <row r="63" spans="3:11">
      <c r="C63" s="98"/>
      <c r="D63" s="98"/>
      <c r="E63" s="98"/>
      <c r="F63" s="98"/>
      <c r="G63" s="98"/>
      <c r="H63" s="98"/>
      <c r="I63" s="98"/>
      <c r="J63" s="98"/>
      <c r="K63" s="98"/>
    </row>
  </sheetData>
  <mergeCells count="3">
    <mergeCell ref="B1:L1"/>
    <mergeCell ref="B2:L2"/>
    <mergeCell ref="B3:L3"/>
  </mergeCells>
  <printOptions horizontalCentered="1"/>
  <pageMargins left="0" right="0.1" top="0.5" bottom="0" header="0" footer="0"/>
  <pageSetup scale="90" orientation="portrait" r:id="rId1"/>
</worksheet>
</file>

<file path=xl/worksheets/sheet5.xml><?xml version="1.0" encoding="utf-8"?>
<worksheet xmlns="http://schemas.openxmlformats.org/spreadsheetml/2006/main" xmlns:r="http://schemas.openxmlformats.org/officeDocument/2006/relationships">
  <dimension ref="A1:K767"/>
  <sheetViews>
    <sheetView zoomScale="85" zoomScaleNormal="85" zoomScaleSheetLayoutView="75" workbookViewId="0">
      <selection activeCell="R14" sqref="R14"/>
    </sheetView>
  </sheetViews>
  <sheetFormatPr defaultRowHeight="12.75"/>
  <cols>
    <col min="1" max="1" width="3.7109375" style="25" customWidth="1"/>
    <col min="2" max="2" width="32.7109375" style="25" customWidth="1"/>
    <col min="3" max="4" width="12.7109375" style="35" customWidth="1"/>
    <col min="5" max="11" width="12.7109375" style="36" customWidth="1"/>
    <col min="12" max="16384" width="9.140625" style="25"/>
  </cols>
  <sheetData>
    <row r="1" spans="1:11" ht="18.75" customHeight="1">
      <c r="A1" s="13"/>
      <c r="B1" s="885" t="s">
        <v>726</v>
      </c>
      <c r="C1" s="885"/>
      <c r="D1" s="885"/>
      <c r="E1" s="885"/>
      <c r="F1" s="885"/>
      <c r="G1" s="885"/>
      <c r="H1" s="885"/>
      <c r="I1" s="885"/>
      <c r="J1" s="885"/>
      <c r="K1" s="885"/>
    </row>
    <row r="2" spans="1:11" ht="18.75">
      <c r="A2" s="13"/>
      <c r="B2" s="37"/>
      <c r="C2" s="51"/>
      <c r="D2" s="52"/>
      <c r="E2" s="52"/>
      <c r="F2" s="53"/>
      <c r="G2" s="53"/>
      <c r="H2" s="53"/>
      <c r="I2" s="53"/>
      <c r="J2" s="53"/>
      <c r="K2" s="53"/>
    </row>
    <row r="3" spans="1:11" ht="15" customHeight="1">
      <c r="A3" s="13"/>
      <c r="B3" s="886" t="s">
        <v>1046</v>
      </c>
      <c r="C3" s="886"/>
      <c r="D3" s="886"/>
      <c r="E3" s="886"/>
      <c r="F3" s="886"/>
      <c r="G3" s="886"/>
      <c r="H3" s="886"/>
      <c r="I3" s="886"/>
      <c r="J3" s="886"/>
      <c r="K3" s="886"/>
    </row>
    <row r="4" spans="1:11" ht="15">
      <c r="A4" s="13"/>
      <c r="B4" s="886"/>
      <c r="C4" s="886"/>
      <c r="D4" s="886"/>
      <c r="E4" s="886"/>
      <c r="F4" s="886"/>
      <c r="G4" s="886"/>
      <c r="H4" s="886"/>
      <c r="I4" s="886"/>
      <c r="J4" s="886"/>
      <c r="K4" s="886"/>
    </row>
    <row r="5" spans="1:11" ht="15">
      <c r="A5" s="13"/>
      <c r="B5" s="886"/>
      <c r="C5" s="886"/>
      <c r="D5" s="886"/>
      <c r="E5" s="886"/>
      <c r="F5" s="886"/>
      <c r="G5" s="886"/>
      <c r="H5" s="886"/>
      <c r="I5" s="886"/>
      <c r="J5" s="886"/>
      <c r="K5" s="886"/>
    </row>
    <row r="6" spans="1:11" ht="15">
      <c r="A6" s="13"/>
      <c r="B6" s="39"/>
      <c r="C6" s="54"/>
      <c r="D6" s="54"/>
      <c r="E6" s="54"/>
      <c r="F6" s="53"/>
      <c r="G6" s="53"/>
      <c r="H6" s="53"/>
      <c r="I6" s="53"/>
      <c r="J6" s="53"/>
      <c r="K6" s="53"/>
    </row>
    <row r="7" spans="1:11" ht="15">
      <c r="A7" s="13"/>
      <c r="B7" s="10"/>
      <c r="C7" s="64"/>
      <c r="D7" s="65"/>
      <c r="E7" s="65" t="s">
        <v>834</v>
      </c>
      <c r="F7" s="1"/>
      <c r="G7" s="1"/>
      <c r="H7" s="1"/>
      <c r="I7" s="1"/>
      <c r="J7" s="1"/>
      <c r="K7" s="1"/>
    </row>
    <row r="8" spans="1:11" ht="15">
      <c r="A8" s="13"/>
      <c r="B8" s="12"/>
      <c r="C8" s="64" t="s">
        <v>243</v>
      </c>
      <c r="D8" s="64" t="s">
        <v>244</v>
      </c>
      <c r="E8" s="65" t="s">
        <v>679</v>
      </c>
      <c r="F8" s="65" t="s">
        <v>834</v>
      </c>
      <c r="G8" s="65" t="s">
        <v>915</v>
      </c>
      <c r="H8" s="65" t="s">
        <v>946</v>
      </c>
      <c r="I8" s="65" t="s">
        <v>947</v>
      </c>
      <c r="J8" s="65" t="s">
        <v>948</v>
      </c>
      <c r="K8" s="65" t="s">
        <v>949</v>
      </c>
    </row>
    <row r="9" spans="1:11" ht="15.75" thickBot="1">
      <c r="A9" s="13"/>
      <c r="B9" s="40"/>
      <c r="C9" s="67" t="s">
        <v>1</v>
      </c>
      <c r="D9" s="67" t="s">
        <v>1</v>
      </c>
      <c r="E9" s="67" t="s">
        <v>638</v>
      </c>
      <c r="F9" s="67" t="s">
        <v>19</v>
      </c>
      <c r="G9" s="67" t="s">
        <v>679</v>
      </c>
      <c r="H9" s="67" t="s">
        <v>19</v>
      </c>
      <c r="I9" s="67" t="s">
        <v>19</v>
      </c>
      <c r="J9" s="67" t="s">
        <v>19</v>
      </c>
      <c r="K9" s="67" t="s">
        <v>19</v>
      </c>
    </row>
    <row r="10" spans="1:11" ht="15">
      <c r="A10" s="13"/>
      <c r="B10" s="10"/>
      <c r="C10" s="44"/>
      <c r="D10" s="44"/>
      <c r="E10" s="44"/>
      <c r="F10" s="53"/>
      <c r="G10" s="53"/>
      <c r="H10" s="53"/>
      <c r="I10" s="53"/>
      <c r="J10" s="53"/>
      <c r="K10" s="53"/>
    </row>
    <row r="11" spans="1:11" ht="15">
      <c r="A11" s="13"/>
      <c r="B11" s="41" t="s">
        <v>484</v>
      </c>
      <c r="C11" s="44"/>
      <c r="D11" s="44"/>
      <c r="E11" s="44"/>
      <c r="F11" s="53"/>
      <c r="G11" s="53"/>
      <c r="H11" s="53"/>
      <c r="I11" s="53"/>
      <c r="J11" s="53"/>
      <c r="K11" s="53"/>
    </row>
    <row r="12" spans="1:11" ht="20.100000000000001" customHeight="1">
      <c r="A12" s="13"/>
      <c r="B12" s="14" t="s">
        <v>691</v>
      </c>
      <c r="C12" s="2">
        <f>SUM('Budget Detail FY 2016-23'!L59:L66)</f>
        <v>388629</v>
      </c>
      <c r="D12" s="2">
        <f>SUM('Budget Detail FY 2016-23'!M59:M66)</f>
        <v>460265</v>
      </c>
      <c r="E12" s="2">
        <f>SUM('Budget Detail FY 2016-23'!N59:N66)</f>
        <v>525478</v>
      </c>
      <c r="F12" s="2">
        <f>SUM('Budget Detail FY 2016-23'!O59:O66)</f>
        <v>528800</v>
      </c>
      <c r="G12" s="2">
        <f>SUM('Budget Detail FY 2016-23'!P59:P66)</f>
        <v>579552</v>
      </c>
      <c r="H12" s="2">
        <f>SUM('Budget Detail FY 2016-23'!Q59:Q66)</f>
        <v>585749</v>
      </c>
      <c r="I12" s="2">
        <f>SUM('Budget Detail FY 2016-23'!R59:R66)</f>
        <v>601401</v>
      </c>
      <c r="J12" s="2">
        <f>SUM('Budget Detail FY 2016-23'!S59:S66)</f>
        <v>617523</v>
      </c>
      <c r="K12" s="2">
        <f>SUM('Budget Detail FY 2016-23'!T59:T66)</f>
        <v>634129</v>
      </c>
    </row>
    <row r="13" spans="1:11" ht="20.100000000000001" customHeight="1">
      <c r="A13" s="13"/>
      <c r="B13" s="14" t="s">
        <v>692</v>
      </c>
      <c r="C13" s="2">
        <f>SUM('Budget Detail FY 2016-23'!L67:L76)</f>
        <v>150348</v>
      </c>
      <c r="D13" s="2">
        <f>SUM('Budget Detail FY 2016-23'!M67:M76)</f>
        <v>161660</v>
      </c>
      <c r="E13" s="2">
        <f>SUM('Budget Detail FY 2016-23'!N67:N76)</f>
        <v>206137</v>
      </c>
      <c r="F13" s="2">
        <f>SUM('Budget Detail FY 2016-23'!O67:O76)</f>
        <v>199235</v>
      </c>
      <c r="G13" s="2">
        <f>SUM('Budget Detail FY 2016-23'!P67:P76)</f>
        <v>224357</v>
      </c>
      <c r="H13" s="2">
        <f>SUM('Budget Detail FY 2016-23'!Q67:Q76)</f>
        <v>238063</v>
      </c>
      <c r="I13" s="2">
        <f>SUM('Budget Detail FY 2016-23'!R67:R76)</f>
        <v>253551</v>
      </c>
      <c r="J13" s="2">
        <f>SUM('Budget Detail FY 2016-23'!S67:S76)</f>
        <v>270230</v>
      </c>
      <c r="K13" s="2">
        <f>SUM('Budget Detail FY 2016-23'!T67:T76)</f>
        <v>288093</v>
      </c>
    </row>
    <row r="14" spans="1:11" ht="20.100000000000001" customHeight="1">
      <c r="A14" s="13"/>
      <c r="B14" s="14" t="s">
        <v>693</v>
      </c>
      <c r="C14" s="2">
        <f>SUM('Budget Detail FY 2016-23'!L77:L91)</f>
        <v>115668</v>
      </c>
      <c r="D14" s="2">
        <f>SUM('Budget Detail FY 2016-23'!M77:M91)</f>
        <v>140692</v>
      </c>
      <c r="E14" s="2">
        <f>SUM('Budget Detail FY 2016-23'!N77:N91)</f>
        <v>135660</v>
      </c>
      <c r="F14" s="2">
        <f>SUM('Budget Detail FY 2016-23'!O77:O91)</f>
        <v>133522</v>
      </c>
      <c r="G14" s="2">
        <f>SUM('Budget Detail FY 2016-23'!P77:P91)</f>
        <v>141990</v>
      </c>
      <c r="H14" s="2">
        <f>SUM('Budget Detail FY 2016-23'!Q77:Q91)</f>
        <v>122603</v>
      </c>
      <c r="I14" s="2">
        <f>SUM('Budget Detail FY 2016-23'!R77:R91)</f>
        <v>125334</v>
      </c>
      <c r="J14" s="2">
        <f>SUM('Budget Detail FY 2016-23'!S77:S91)</f>
        <v>127165</v>
      </c>
      <c r="K14" s="2">
        <f>SUM('Budget Detail FY 2016-23'!T77:T91)</f>
        <v>129860</v>
      </c>
    </row>
    <row r="15" spans="1:11" ht="20.100000000000001" customHeight="1">
      <c r="A15" s="13"/>
      <c r="B15" s="42" t="s">
        <v>694</v>
      </c>
      <c r="C15" s="2">
        <f>SUM('Budget Detail FY 2016-23'!L92:L92)</f>
        <v>10624</v>
      </c>
      <c r="D15" s="2">
        <f>SUM('Budget Detail FY 2016-23'!M92:M92)</f>
        <v>7563</v>
      </c>
      <c r="E15" s="2">
        <f>SUM('Budget Detail FY 2016-23'!N92:N92)</f>
        <v>10000</v>
      </c>
      <c r="F15" s="2">
        <f>SUM('Budget Detail FY 2016-23'!O92:O92)</f>
        <v>10000</v>
      </c>
      <c r="G15" s="2">
        <f>SUM('Budget Detail FY 2016-23'!P92:P92)</f>
        <v>10000</v>
      </c>
      <c r="H15" s="2">
        <f>SUM('Budget Detail FY 2016-23'!Q92:Q92)</f>
        <v>10000</v>
      </c>
      <c r="I15" s="2">
        <f>SUM('Budget Detail FY 2016-23'!R92:R92)</f>
        <v>10000</v>
      </c>
      <c r="J15" s="2">
        <f>SUM('Budget Detail FY 2016-23'!S92:S92)</f>
        <v>10000</v>
      </c>
      <c r="K15" s="2">
        <f>SUM('Budget Detail FY 2016-23'!T92:T92)</f>
        <v>10000</v>
      </c>
    </row>
    <row r="16" spans="1:11" s="113" customFormat="1" ht="20.100000000000001" customHeight="1" thickBot="1">
      <c r="A16" s="111"/>
      <c r="B16" s="112" t="s">
        <v>727</v>
      </c>
      <c r="C16" s="80">
        <f>SUM(C12:C15)</f>
        <v>665269</v>
      </c>
      <c r="D16" s="80">
        <f t="shared" ref="D16:J16" si="0">SUM(D12:D15)</f>
        <v>770180</v>
      </c>
      <c r="E16" s="80">
        <f t="shared" si="0"/>
        <v>877275</v>
      </c>
      <c r="F16" s="80">
        <f>SUM(F12:F15)</f>
        <v>871557</v>
      </c>
      <c r="G16" s="80">
        <f t="shared" si="0"/>
        <v>955899</v>
      </c>
      <c r="H16" s="80">
        <f t="shared" si="0"/>
        <v>956415</v>
      </c>
      <c r="I16" s="80">
        <f t="shared" si="0"/>
        <v>990286</v>
      </c>
      <c r="J16" s="80">
        <f t="shared" si="0"/>
        <v>1024918</v>
      </c>
      <c r="K16" s="80">
        <f>SUM(K12:K15)</f>
        <v>1062082</v>
      </c>
    </row>
    <row r="17" spans="1:11" s="113" customFormat="1" ht="15" thickTop="1">
      <c r="A17" s="111"/>
      <c r="B17" s="16"/>
      <c r="C17" s="122"/>
      <c r="D17" s="122"/>
      <c r="E17" s="122"/>
      <c r="F17" s="122"/>
      <c r="G17" s="122"/>
      <c r="H17" s="122"/>
      <c r="I17" s="122"/>
      <c r="J17" s="122"/>
      <c r="K17" s="122"/>
    </row>
    <row r="18" spans="1:11" ht="15">
      <c r="A18" s="13"/>
      <c r="B18" s="15"/>
      <c r="C18" s="55"/>
      <c r="D18" s="55"/>
      <c r="E18" s="55"/>
      <c r="F18" s="53"/>
      <c r="G18" s="53"/>
      <c r="H18" s="53"/>
      <c r="I18" s="53"/>
      <c r="J18" s="53"/>
      <c r="K18" s="53"/>
    </row>
    <row r="19" spans="1:11" ht="15">
      <c r="A19" s="13"/>
      <c r="B19" s="10"/>
      <c r="C19" s="44"/>
      <c r="D19" s="44"/>
      <c r="E19" s="44"/>
      <c r="F19" s="53"/>
      <c r="G19" s="53"/>
      <c r="H19" s="53"/>
      <c r="I19" s="53"/>
      <c r="J19" s="53"/>
      <c r="K19" s="53"/>
    </row>
    <row r="20" spans="1:11" ht="15">
      <c r="A20" s="13"/>
      <c r="B20" s="10"/>
      <c r="C20" s="44"/>
      <c r="D20" s="44"/>
      <c r="E20" s="44"/>
      <c r="F20" s="53"/>
      <c r="G20" s="53"/>
      <c r="H20" s="53"/>
      <c r="I20" s="53"/>
      <c r="J20" s="53"/>
      <c r="K20" s="53"/>
    </row>
    <row r="21" spans="1:11" ht="15">
      <c r="A21" s="13"/>
      <c r="B21" s="10"/>
      <c r="C21" s="44"/>
      <c r="D21" s="44"/>
      <c r="E21" s="44"/>
      <c r="F21" s="53"/>
      <c r="G21" s="53"/>
      <c r="H21" s="53"/>
      <c r="I21" s="53"/>
      <c r="J21" s="53"/>
      <c r="K21" s="53"/>
    </row>
    <row r="22" spans="1:11" ht="15">
      <c r="A22" s="13"/>
      <c r="B22" s="10"/>
      <c r="C22" s="44"/>
      <c r="D22" s="44"/>
      <c r="E22" s="44"/>
      <c r="F22" s="53"/>
      <c r="G22" s="53"/>
      <c r="H22" s="53"/>
      <c r="I22" s="53"/>
      <c r="J22" s="53"/>
      <c r="K22" s="53"/>
    </row>
    <row r="23" spans="1:11" ht="15">
      <c r="A23" s="13"/>
      <c r="B23" s="10"/>
      <c r="C23" s="44"/>
      <c r="D23" s="44"/>
      <c r="E23" s="44"/>
      <c r="F23" s="53"/>
      <c r="G23" s="53"/>
      <c r="H23" s="53"/>
      <c r="I23" s="53"/>
      <c r="J23" s="53"/>
      <c r="K23" s="53"/>
    </row>
    <row r="24" spans="1:11" ht="15">
      <c r="A24" s="13"/>
      <c r="B24" s="10"/>
      <c r="C24" s="44"/>
      <c r="D24" s="44"/>
      <c r="E24" s="44"/>
      <c r="F24" s="53"/>
      <c r="G24" s="53"/>
      <c r="H24" s="53"/>
      <c r="I24" s="53"/>
      <c r="J24" s="53"/>
      <c r="K24" s="53"/>
    </row>
    <row r="25" spans="1:11" ht="15">
      <c r="A25" s="13"/>
      <c r="B25" s="10"/>
      <c r="C25" s="44"/>
      <c r="D25" s="44"/>
      <c r="E25" s="44"/>
      <c r="F25" s="53"/>
      <c r="G25" s="53"/>
      <c r="H25" s="53"/>
      <c r="I25" s="53"/>
      <c r="J25" s="53"/>
      <c r="K25" s="53"/>
    </row>
    <row r="26" spans="1:11" ht="15">
      <c r="A26" s="13"/>
      <c r="B26" s="10"/>
      <c r="C26" s="44"/>
      <c r="D26" s="44"/>
      <c r="E26" s="44"/>
      <c r="F26" s="53"/>
      <c r="G26" s="53"/>
      <c r="H26" s="53"/>
      <c r="I26" s="53"/>
      <c r="J26" s="53"/>
      <c r="K26" s="53"/>
    </row>
    <row r="27" spans="1:11" ht="15">
      <c r="A27" s="13"/>
      <c r="B27" s="10"/>
      <c r="C27" s="44"/>
      <c r="D27" s="44"/>
      <c r="E27" s="44"/>
      <c r="F27" s="53"/>
      <c r="G27" s="53"/>
      <c r="H27" s="53"/>
      <c r="I27" s="53"/>
      <c r="J27" s="53"/>
      <c r="K27" s="53"/>
    </row>
    <row r="28" spans="1:11" ht="15">
      <c r="A28" s="13"/>
      <c r="B28" s="10"/>
      <c r="C28" s="44"/>
      <c r="D28" s="44"/>
      <c r="E28" s="44"/>
      <c r="F28" s="53"/>
      <c r="G28" s="53"/>
      <c r="H28" s="53"/>
      <c r="I28" s="53"/>
      <c r="J28" s="53"/>
      <c r="K28" s="53"/>
    </row>
    <row r="29" spans="1:11" ht="15">
      <c r="A29" s="13"/>
      <c r="B29" s="10"/>
      <c r="C29" s="44"/>
      <c r="D29" s="44"/>
      <c r="E29" s="44"/>
      <c r="F29" s="53"/>
      <c r="G29" s="53"/>
      <c r="H29" s="53"/>
      <c r="I29" s="53"/>
      <c r="J29" s="53"/>
      <c r="K29" s="53"/>
    </row>
    <row r="30" spans="1:11" ht="15">
      <c r="A30" s="13"/>
      <c r="B30" s="10"/>
      <c r="C30" s="44"/>
      <c r="D30" s="44"/>
      <c r="E30" s="44"/>
      <c r="F30" s="53"/>
      <c r="G30" s="53"/>
      <c r="H30" s="53"/>
      <c r="I30" s="53"/>
      <c r="J30" s="53"/>
      <c r="K30" s="53"/>
    </row>
    <row r="31" spans="1:11" ht="15">
      <c r="A31" s="13"/>
      <c r="B31"/>
      <c r="C31" s="24"/>
      <c r="D31" s="24"/>
      <c r="E31" s="24"/>
      <c r="F31" s="24"/>
      <c r="G31" s="24"/>
      <c r="H31" s="53"/>
      <c r="I31" s="53"/>
      <c r="J31" s="53"/>
      <c r="K31" s="53"/>
    </row>
    <row r="32" spans="1:11" ht="18.75">
      <c r="A32" s="13"/>
      <c r="B32" s="887" t="s">
        <v>728</v>
      </c>
      <c r="C32" s="887"/>
      <c r="D32" s="887"/>
      <c r="E32" s="887"/>
      <c r="F32" s="887"/>
      <c r="G32" s="887"/>
      <c r="H32" s="887"/>
      <c r="I32" s="887"/>
      <c r="J32" s="887"/>
      <c r="K32" s="887"/>
    </row>
    <row r="33" spans="1:11" ht="15">
      <c r="A33" s="13"/>
      <c r="B33" s="38"/>
      <c r="C33" s="53"/>
      <c r="D33" s="53"/>
      <c r="E33" s="53"/>
      <c r="F33" s="53"/>
      <c r="G33" s="53"/>
      <c r="H33" s="53"/>
      <c r="I33" s="53"/>
      <c r="J33" s="53"/>
      <c r="K33" s="53"/>
    </row>
    <row r="34" spans="1:11" ht="15" customHeight="1">
      <c r="A34" s="13"/>
      <c r="B34" s="886" t="s">
        <v>1047</v>
      </c>
      <c r="C34" s="886"/>
      <c r="D34" s="886"/>
      <c r="E34" s="886"/>
      <c r="F34" s="886"/>
      <c r="G34" s="886"/>
      <c r="H34" s="886"/>
      <c r="I34" s="886"/>
      <c r="J34" s="886"/>
      <c r="K34" s="886"/>
    </row>
    <row r="35" spans="1:11" ht="15">
      <c r="A35" s="13"/>
      <c r="B35" s="886"/>
      <c r="C35" s="886"/>
      <c r="D35" s="886"/>
      <c r="E35" s="886"/>
      <c r="F35" s="886"/>
      <c r="G35" s="886"/>
      <c r="H35" s="886"/>
      <c r="I35" s="886"/>
      <c r="J35" s="886"/>
      <c r="K35" s="886"/>
    </row>
    <row r="36" spans="1:11" ht="15">
      <c r="A36" s="13"/>
      <c r="B36" s="886"/>
      <c r="C36" s="886"/>
      <c r="D36" s="886"/>
      <c r="E36" s="886"/>
      <c r="F36" s="886"/>
      <c r="G36" s="886"/>
      <c r="H36" s="886"/>
      <c r="I36" s="886"/>
      <c r="J36" s="886"/>
      <c r="K36" s="886"/>
    </row>
    <row r="37" spans="1:11" ht="15">
      <c r="A37" s="13"/>
      <c r="B37" s="43"/>
      <c r="C37" s="56"/>
      <c r="D37" s="56"/>
      <c r="E37" s="56"/>
      <c r="F37" s="53"/>
      <c r="G37" s="53"/>
      <c r="H37" s="53"/>
      <c r="I37" s="53"/>
      <c r="J37" s="53"/>
      <c r="K37" s="53"/>
    </row>
    <row r="38" spans="1:11" ht="15">
      <c r="A38" s="13"/>
      <c r="B38" s="10"/>
      <c r="C38" s="64"/>
      <c r="D38" s="65"/>
      <c r="E38" s="65" t="s">
        <v>834</v>
      </c>
      <c r="F38" s="1"/>
      <c r="G38" s="1"/>
      <c r="H38" s="1"/>
      <c r="I38" s="1"/>
      <c r="J38" s="1"/>
      <c r="K38" s="1"/>
    </row>
    <row r="39" spans="1:11" ht="15">
      <c r="A39" s="13"/>
      <c r="B39" s="12"/>
      <c r="C39" s="64" t="s">
        <v>243</v>
      </c>
      <c r="D39" s="64" t="s">
        <v>244</v>
      </c>
      <c r="E39" s="65" t="s">
        <v>679</v>
      </c>
      <c r="F39" s="65" t="s">
        <v>834</v>
      </c>
      <c r="G39" s="65" t="s">
        <v>915</v>
      </c>
      <c r="H39" s="65" t="s">
        <v>946</v>
      </c>
      <c r="I39" s="65" t="s">
        <v>947</v>
      </c>
      <c r="J39" s="65" t="s">
        <v>948</v>
      </c>
      <c r="K39" s="65" t="s">
        <v>949</v>
      </c>
    </row>
    <row r="40" spans="1:11" ht="15.75" thickBot="1">
      <c r="A40" s="13"/>
      <c r="B40" s="40"/>
      <c r="C40" s="67" t="s">
        <v>1</v>
      </c>
      <c r="D40" s="67" t="s">
        <v>1</v>
      </c>
      <c r="E40" s="67" t="s">
        <v>638</v>
      </c>
      <c r="F40" s="67" t="s">
        <v>19</v>
      </c>
      <c r="G40" s="67" t="s">
        <v>679</v>
      </c>
      <c r="H40" s="67" t="s">
        <v>19</v>
      </c>
      <c r="I40" s="67" t="s">
        <v>19</v>
      </c>
      <c r="J40" s="67" t="s">
        <v>19</v>
      </c>
      <c r="K40" s="67" t="s">
        <v>19</v>
      </c>
    </row>
    <row r="41" spans="1:11" ht="15">
      <c r="A41" s="13"/>
      <c r="B41" s="10"/>
      <c r="C41" s="44"/>
      <c r="D41" s="44"/>
      <c r="E41" s="44"/>
      <c r="F41" s="53"/>
      <c r="G41" s="53"/>
      <c r="H41" s="53"/>
      <c r="I41" s="53"/>
      <c r="J41" s="53"/>
      <c r="K41" s="53"/>
    </row>
    <row r="42" spans="1:11" ht="15">
      <c r="A42" s="13"/>
      <c r="B42" s="41" t="s">
        <v>484</v>
      </c>
      <c r="C42" s="44"/>
      <c r="D42" s="44"/>
      <c r="E42" s="44"/>
      <c r="F42" s="53"/>
      <c r="G42" s="53"/>
      <c r="H42" s="53"/>
      <c r="I42" s="53"/>
      <c r="J42" s="53"/>
      <c r="K42" s="53"/>
    </row>
    <row r="43" spans="1:11" ht="20.100000000000001" customHeight="1">
      <c r="A43" s="13"/>
      <c r="B43" s="14" t="s">
        <v>691</v>
      </c>
      <c r="C43" s="2">
        <f>'Budget Detail FY 2016-23'!L96</f>
        <v>218467</v>
      </c>
      <c r="D43" s="2">
        <f>'Budget Detail FY 2016-23'!M96</f>
        <v>234874</v>
      </c>
      <c r="E43" s="2">
        <f>'Budget Detail FY 2016-23'!N96</f>
        <v>252079</v>
      </c>
      <c r="F43" s="2">
        <f>'Budget Detail FY 2016-23'!O96</f>
        <v>252079</v>
      </c>
      <c r="G43" s="2">
        <f>'Budget Detail FY 2016-23'!P96</f>
        <v>272370</v>
      </c>
      <c r="H43" s="2">
        <f>'Budget Detail FY 2016-23'!Q96</f>
        <v>280541</v>
      </c>
      <c r="I43" s="2">
        <f>'Budget Detail FY 2016-23'!R96</f>
        <v>288957</v>
      </c>
      <c r="J43" s="2">
        <f>'Budget Detail FY 2016-23'!S96</f>
        <v>297626</v>
      </c>
      <c r="K43" s="2">
        <f>'Budget Detail FY 2016-23'!T96</f>
        <v>306555</v>
      </c>
    </row>
    <row r="44" spans="1:11" ht="20.100000000000001" customHeight="1">
      <c r="A44" s="13"/>
      <c r="B44" s="14" t="s">
        <v>692</v>
      </c>
      <c r="C44" s="2">
        <f>SUM('Budget Detail FY 2016-23'!L97:L102)</f>
        <v>75570</v>
      </c>
      <c r="D44" s="2">
        <f>SUM('Budget Detail FY 2016-23'!M97:M102)</f>
        <v>78103</v>
      </c>
      <c r="E44" s="2">
        <f>SUM('Budget Detail FY 2016-23'!N97:N102)</f>
        <v>115958</v>
      </c>
      <c r="F44" s="2">
        <f>SUM('Budget Detail FY 2016-23'!O97:O102)</f>
        <v>105375</v>
      </c>
      <c r="G44" s="2">
        <f>SUM('Budget Detail FY 2016-23'!P97:P102)</f>
        <v>119623</v>
      </c>
      <c r="H44" s="2">
        <f>SUM('Budget Detail FY 2016-23'!Q97:Q102)</f>
        <v>127339</v>
      </c>
      <c r="I44" s="2">
        <f>SUM('Budget Detail FY 2016-23'!R97:R102)</f>
        <v>134719</v>
      </c>
      <c r="J44" s="2">
        <f>SUM('Budget Detail FY 2016-23'!S97:S102)</f>
        <v>142625</v>
      </c>
      <c r="K44" s="2">
        <f>SUM('Budget Detail FY 2016-23'!T97:T102)</f>
        <v>151076</v>
      </c>
    </row>
    <row r="45" spans="1:11" ht="20.100000000000001" customHeight="1">
      <c r="A45" s="13"/>
      <c r="B45" s="14" t="s">
        <v>693</v>
      </c>
      <c r="C45" s="2">
        <f>SUM('Budget Detail FY 2016-23'!L103:L112)</f>
        <v>79872</v>
      </c>
      <c r="D45" s="2">
        <f>SUM('Budget Detail FY 2016-23'!M103:M112)</f>
        <v>83934</v>
      </c>
      <c r="E45" s="2">
        <f>SUM('Budget Detail FY 2016-23'!N103:N112)</f>
        <v>95420</v>
      </c>
      <c r="F45" s="2">
        <f>SUM('Budget Detail FY 2016-23'!O103:O112)</f>
        <v>86400</v>
      </c>
      <c r="G45" s="2">
        <f>SUM('Budget Detail FY 2016-23'!P103:P112)</f>
        <v>95936</v>
      </c>
      <c r="H45" s="2">
        <f>SUM('Budget Detail FY 2016-23'!Q103:Q112)</f>
        <v>94000</v>
      </c>
      <c r="I45" s="2">
        <f>SUM('Budget Detail FY 2016-23'!R103:R112)</f>
        <v>94900</v>
      </c>
      <c r="J45" s="2">
        <f>SUM('Budget Detail FY 2016-23'!S103:S112)</f>
        <v>97258</v>
      </c>
      <c r="K45" s="2">
        <f>SUM('Budget Detail FY 2016-23'!T103:T112)</f>
        <v>101814</v>
      </c>
    </row>
    <row r="46" spans="1:11" ht="20.100000000000001" customHeight="1">
      <c r="B46" s="14" t="s">
        <v>694</v>
      </c>
      <c r="C46" s="2">
        <f>SUM('Budget Detail FY 2016-23'!L113:L113)</f>
        <v>2650</v>
      </c>
      <c r="D46" s="2">
        <f>SUM('Budget Detail FY 2016-23'!M113:M113)</f>
        <v>2528</v>
      </c>
      <c r="E46" s="2">
        <f>SUM('Budget Detail FY 2016-23'!N113:N113)</f>
        <v>2700</v>
      </c>
      <c r="F46" s="2">
        <f>SUM('Budget Detail FY 2016-23'!O113:O113)</f>
        <v>2700</v>
      </c>
      <c r="G46" s="2">
        <f>SUM('Budget Detail FY 2016-23'!P113:P113)</f>
        <v>2700</v>
      </c>
      <c r="H46" s="2">
        <f>SUM('Budget Detail FY 2016-23'!Q113:Q113)</f>
        <v>2700</v>
      </c>
      <c r="I46" s="2">
        <f>SUM('Budget Detail FY 2016-23'!R113:R113)</f>
        <v>2700</v>
      </c>
      <c r="J46" s="2">
        <f>SUM('Budget Detail FY 2016-23'!S113:S113)</f>
        <v>2700</v>
      </c>
      <c r="K46" s="2">
        <f>SUM('Budget Detail FY 2016-23'!T113:T113)</f>
        <v>2700</v>
      </c>
    </row>
    <row r="47" spans="1:11" s="113" customFormat="1" ht="20.100000000000001" customHeight="1" thickBot="1">
      <c r="B47" s="114" t="s">
        <v>836</v>
      </c>
      <c r="C47" s="80">
        <f t="shared" ref="C47:J47" si="1">SUM(C43:C46)</f>
        <v>376559</v>
      </c>
      <c r="D47" s="80">
        <f>SUM(D43:D46)</f>
        <v>399439</v>
      </c>
      <c r="E47" s="80">
        <f t="shared" si="1"/>
        <v>466157</v>
      </c>
      <c r="F47" s="80">
        <f t="shared" si="1"/>
        <v>446554</v>
      </c>
      <c r="G47" s="80">
        <f t="shared" si="1"/>
        <v>490629</v>
      </c>
      <c r="H47" s="80">
        <f t="shared" si="1"/>
        <v>504580</v>
      </c>
      <c r="I47" s="80">
        <f t="shared" si="1"/>
        <v>521276</v>
      </c>
      <c r="J47" s="80">
        <f t="shared" si="1"/>
        <v>540209</v>
      </c>
      <c r="K47" s="80">
        <f>SUM(K43:K46)</f>
        <v>562145</v>
      </c>
    </row>
    <row r="48" spans="1:11" s="113" customFormat="1" ht="15" thickTop="1">
      <c r="B48" s="16"/>
      <c r="C48" s="122"/>
      <c r="D48" s="122"/>
      <c r="E48" s="122"/>
      <c r="F48" s="122"/>
      <c r="G48" s="122"/>
      <c r="H48" s="122"/>
      <c r="I48" s="122"/>
      <c r="J48" s="122"/>
      <c r="K48" s="122"/>
    </row>
    <row r="49" spans="2:11" ht="15">
      <c r="B49" s="10"/>
      <c r="C49" s="44"/>
      <c r="D49" s="44"/>
      <c r="E49" s="44"/>
      <c r="F49" s="53"/>
      <c r="G49" s="53"/>
      <c r="H49" s="53"/>
      <c r="I49" s="53"/>
      <c r="J49" s="53"/>
      <c r="K49" s="53"/>
    </row>
    <row r="50" spans="2:11" ht="15">
      <c r="B50" s="10"/>
      <c r="C50" s="44"/>
      <c r="D50" s="44"/>
      <c r="E50" s="44"/>
      <c r="F50" s="53"/>
      <c r="G50" s="53"/>
      <c r="H50" s="53"/>
      <c r="I50" s="53"/>
      <c r="J50" s="53"/>
      <c r="K50" s="53"/>
    </row>
    <row r="51" spans="2:11" ht="12.75" customHeight="1">
      <c r="B51" s="10"/>
      <c r="C51" s="44"/>
      <c r="D51" s="44"/>
      <c r="E51" s="44"/>
      <c r="F51" s="53"/>
      <c r="G51" s="53"/>
      <c r="H51" s="53"/>
      <c r="I51" s="53"/>
      <c r="J51" s="53"/>
      <c r="K51" s="53"/>
    </row>
    <row r="52" spans="2:11" ht="17.25" customHeight="1">
      <c r="B52" s="10"/>
      <c r="C52" s="44"/>
      <c r="D52" s="44"/>
      <c r="E52" s="44"/>
      <c r="F52" s="53"/>
      <c r="G52" s="53"/>
      <c r="H52" s="53"/>
      <c r="I52" s="53"/>
      <c r="J52" s="53"/>
      <c r="K52" s="53"/>
    </row>
    <row r="53" spans="2:11" ht="15">
      <c r="B53" s="10"/>
      <c r="C53" s="44"/>
      <c r="D53" s="44"/>
      <c r="E53" s="44"/>
      <c r="F53" s="53"/>
      <c r="G53" s="53"/>
      <c r="H53" s="53"/>
      <c r="I53" s="53"/>
      <c r="J53" s="53"/>
      <c r="K53" s="53"/>
    </row>
    <row r="54" spans="2:11" ht="15">
      <c r="B54" s="10"/>
      <c r="C54" s="44"/>
      <c r="D54" s="44"/>
      <c r="E54" s="44"/>
      <c r="F54" s="53"/>
      <c r="G54" s="53"/>
      <c r="H54" s="53"/>
      <c r="I54" s="53"/>
      <c r="J54" s="53"/>
      <c r="K54" s="53"/>
    </row>
    <row r="55" spans="2:11" ht="15">
      <c r="B55" s="10"/>
      <c r="C55" s="44"/>
      <c r="D55" s="44"/>
      <c r="E55" s="44"/>
      <c r="F55" s="53"/>
      <c r="G55" s="53"/>
      <c r="H55" s="53"/>
      <c r="I55" s="53"/>
      <c r="J55" s="53"/>
      <c r="K55" s="53"/>
    </row>
    <row r="56" spans="2:11" ht="15">
      <c r="B56" s="10"/>
      <c r="C56" s="44"/>
      <c r="D56" s="44"/>
      <c r="E56" s="44"/>
      <c r="F56" s="53"/>
      <c r="G56" s="53"/>
      <c r="H56" s="53"/>
      <c r="I56" s="53"/>
      <c r="J56" s="53"/>
      <c r="K56" s="53"/>
    </row>
    <row r="57" spans="2:11" ht="15">
      <c r="B57" s="10"/>
      <c r="C57" s="44"/>
      <c r="D57" s="44"/>
      <c r="E57" s="44"/>
      <c r="F57" s="53"/>
      <c r="G57" s="53"/>
      <c r="H57" s="53"/>
      <c r="I57" s="53"/>
      <c r="J57" s="53"/>
      <c r="K57" s="53"/>
    </row>
    <row r="58" spans="2:11" ht="15">
      <c r="B58" s="10"/>
      <c r="C58" s="44"/>
      <c r="D58" s="44"/>
      <c r="E58" s="44"/>
      <c r="F58" s="53"/>
      <c r="G58" s="53"/>
      <c r="H58" s="53"/>
      <c r="I58" s="53"/>
      <c r="J58" s="53"/>
      <c r="K58" s="53"/>
    </row>
    <row r="59" spans="2:11" ht="15">
      <c r="B59" s="10"/>
      <c r="C59" s="44"/>
      <c r="D59" s="44"/>
      <c r="E59" s="44"/>
      <c r="F59" s="53"/>
      <c r="G59" s="53"/>
      <c r="H59" s="53"/>
      <c r="I59" s="53"/>
      <c r="J59" s="53"/>
      <c r="K59" s="53"/>
    </row>
    <row r="60" spans="2:11" ht="15">
      <c r="B60" s="10"/>
      <c r="C60" s="44"/>
      <c r="D60" s="44"/>
      <c r="E60" s="44"/>
      <c r="F60" s="53"/>
      <c r="G60" s="53"/>
      <c r="H60" s="53"/>
      <c r="I60" s="53"/>
      <c r="J60" s="53"/>
      <c r="K60" s="53"/>
    </row>
    <row r="61" spans="2:11" ht="18.75">
      <c r="B61" s="892" t="s">
        <v>729</v>
      </c>
      <c r="C61" s="892"/>
      <c r="D61" s="892"/>
      <c r="E61" s="892"/>
      <c r="F61" s="892"/>
      <c r="G61" s="892"/>
      <c r="H61" s="892"/>
      <c r="I61" s="892"/>
      <c r="J61" s="892"/>
      <c r="K61" s="892"/>
    </row>
    <row r="62" spans="2:11" ht="15">
      <c r="B62" s="38"/>
      <c r="C62" s="53"/>
      <c r="D62" s="53"/>
      <c r="E62" s="53"/>
      <c r="F62" s="53"/>
      <c r="G62" s="53"/>
      <c r="H62" s="53"/>
      <c r="I62" s="53"/>
      <c r="J62" s="53"/>
      <c r="K62" s="53"/>
    </row>
    <row r="63" spans="2:11" ht="12.75" customHeight="1">
      <c r="B63" s="893" t="s">
        <v>1048</v>
      </c>
      <c r="C63" s="893"/>
      <c r="D63" s="893"/>
      <c r="E63" s="893"/>
      <c r="F63" s="893"/>
      <c r="G63" s="893"/>
      <c r="H63" s="893"/>
      <c r="I63" s="893"/>
      <c r="J63" s="893"/>
      <c r="K63" s="893"/>
    </row>
    <row r="64" spans="2:11" ht="18.75" customHeight="1">
      <c r="B64" s="893"/>
      <c r="C64" s="893"/>
      <c r="D64" s="893"/>
      <c r="E64" s="893"/>
      <c r="F64" s="893"/>
      <c r="G64" s="893"/>
      <c r="H64" s="893"/>
      <c r="I64" s="893"/>
      <c r="J64" s="893"/>
      <c r="K64" s="893"/>
    </row>
    <row r="65" spans="2:11" ht="15">
      <c r="B65" s="45"/>
      <c r="C65" s="57"/>
      <c r="D65" s="57"/>
      <c r="E65" s="57"/>
      <c r="F65" s="53"/>
      <c r="G65" s="53"/>
      <c r="H65" s="53"/>
      <c r="I65" s="53"/>
      <c r="J65" s="53"/>
      <c r="K65" s="53"/>
    </row>
    <row r="66" spans="2:11" ht="15">
      <c r="B66" s="10"/>
      <c r="C66" s="64"/>
      <c r="D66" s="65"/>
      <c r="E66" s="65" t="s">
        <v>834</v>
      </c>
      <c r="F66" s="1"/>
      <c r="G66" s="1"/>
      <c r="H66" s="1"/>
      <c r="I66" s="1"/>
      <c r="J66" s="1"/>
      <c r="K66" s="1"/>
    </row>
    <row r="67" spans="2:11" ht="15">
      <c r="B67" s="12"/>
      <c r="C67" s="64" t="s">
        <v>243</v>
      </c>
      <c r="D67" s="64" t="s">
        <v>244</v>
      </c>
      <c r="E67" s="65" t="s">
        <v>679</v>
      </c>
      <c r="F67" s="65" t="s">
        <v>834</v>
      </c>
      <c r="G67" s="65" t="s">
        <v>915</v>
      </c>
      <c r="H67" s="65" t="s">
        <v>946</v>
      </c>
      <c r="I67" s="65" t="s">
        <v>947</v>
      </c>
      <c r="J67" s="65" t="s">
        <v>948</v>
      </c>
      <c r="K67" s="65" t="s">
        <v>949</v>
      </c>
    </row>
    <row r="68" spans="2:11" ht="15.75" thickBot="1">
      <c r="B68" s="40"/>
      <c r="C68" s="67" t="s">
        <v>1</v>
      </c>
      <c r="D68" s="67" t="s">
        <v>1</v>
      </c>
      <c r="E68" s="67" t="s">
        <v>638</v>
      </c>
      <c r="F68" s="67" t="s">
        <v>19</v>
      </c>
      <c r="G68" s="67" t="s">
        <v>679</v>
      </c>
      <c r="H68" s="67" t="s">
        <v>19</v>
      </c>
      <c r="I68" s="67" t="s">
        <v>19</v>
      </c>
      <c r="J68" s="67" t="s">
        <v>19</v>
      </c>
      <c r="K68" s="67" t="s">
        <v>19</v>
      </c>
    </row>
    <row r="69" spans="2:11" ht="15">
      <c r="B69" s="10"/>
      <c r="C69" s="44"/>
      <c r="D69" s="44"/>
      <c r="E69" s="44"/>
      <c r="F69" s="53"/>
      <c r="G69" s="53"/>
      <c r="H69" s="53"/>
      <c r="I69" s="53"/>
      <c r="J69" s="53"/>
      <c r="K69" s="53"/>
    </row>
    <row r="70" spans="2:11" ht="15">
      <c r="B70" s="41" t="s">
        <v>484</v>
      </c>
      <c r="C70" s="44"/>
      <c r="D70" s="44"/>
      <c r="E70" s="44"/>
      <c r="F70" s="53"/>
      <c r="G70" s="53"/>
      <c r="H70" s="53"/>
      <c r="I70" s="53"/>
      <c r="J70" s="53"/>
      <c r="K70" s="53"/>
    </row>
    <row r="71" spans="2:11" ht="20.100000000000001" customHeight="1">
      <c r="B71" s="14" t="s">
        <v>691</v>
      </c>
      <c r="C71" s="2">
        <f>SUM('Budget Detail FY 2016-23'!L117:L123)</f>
        <v>2659975</v>
      </c>
      <c r="D71" s="2">
        <f>SUM('Budget Detail FY 2016-23'!M117:M123)</f>
        <v>2780763</v>
      </c>
      <c r="E71" s="2">
        <f>SUM('Budget Detail FY 2016-23'!N117:N123)</f>
        <v>2974162</v>
      </c>
      <c r="F71" s="2">
        <f>SUM('Budget Detail FY 2016-23'!O117:O123)</f>
        <v>2946009</v>
      </c>
      <c r="G71" s="2">
        <f>SUM('Budget Detail FY 2016-23'!P117:P123)</f>
        <v>3151723</v>
      </c>
      <c r="H71" s="2">
        <f>SUM('Budget Detail FY 2016-23'!Q117:Q123)</f>
        <v>3240125</v>
      </c>
      <c r="I71" s="2">
        <f>SUM('Budget Detail FY 2016-23'!R117:R123)</f>
        <v>3331179</v>
      </c>
      <c r="J71" s="2">
        <f>SUM('Budget Detail FY 2016-23'!S117:S123)</f>
        <v>3424965</v>
      </c>
      <c r="K71" s="2">
        <f>SUM('Budget Detail FY 2016-23'!T117:T123)</f>
        <v>3521564</v>
      </c>
    </row>
    <row r="72" spans="2:11" ht="20.100000000000001" customHeight="1">
      <c r="B72" s="14" t="s">
        <v>692</v>
      </c>
      <c r="C72" s="2">
        <f>SUM('Budget Detail FY 2016-23'!L124:L130)</f>
        <v>1565443</v>
      </c>
      <c r="D72" s="2">
        <f>SUM('Budget Detail FY 2016-23'!M124:M130)</f>
        <v>1728589</v>
      </c>
      <c r="E72" s="2">
        <f>SUM('Budget Detail FY 2016-23'!N124:N130)</f>
        <v>2001658</v>
      </c>
      <c r="F72" s="2">
        <f>SUM('Budget Detail FY 2016-23'!O124:O130)</f>
        <v>1911606</v>
      </c>
      <c r="G72" s="2">
        <f>SUM('Budget Detail FY 2016-23'!P124:P130)</f>
        <v>1960422</v>
      </c>
      <c r="H72" s="2">
        <f>SUM('Budget Detail FY 2016-23'!Q124:Q130)</f>
        <v>2071062</v>
      </c>
      <c r="I72" s="2">
        <f>SUM('Budget Detail FY 2016-23'!R124:R130)</f>
        <v>2191334</v>
      </c>
      <c r="J72" s="2">
        <f>SUM('Budget Detail FY 2016-23'!S124:S130)</f>
        <v>2316987</v>
      </c>
      <c r="K72" s="2">
        <f>SUM('Budget Detail FY 2016-23'!T124:T130)</f>
        <v>2448201</v>
      </c>
    </row>
    <row r="73" spans="2:11" ht="20.100000000000001" customHeight="1">
      <c r="B73" s="14" t="s">
        <v>693</v>
      </c>
      <c r="C73" s="2">
        <f>SUM('Budget Detail FY 2016-23'!L131:L150)</f>
        <v>349348</v>
      </c>
      <c r="D73" s="2">
        <f>SUM('Budget Detail FY 2016-23'!M131:M150)</f>
        <v>297858</v>
      </c>
      <c r="E73" s="2">
        <f>SUM('Budget Detail FY 2016-23'!N131:N150)</f>
        <v>447697</v>
      </c>
      <c r="F73" s="2">
        <f>SUM('Budget Detail FY 2016-23'!O131:O150)</f>
        <v>406442</v>
      </c>
      <c r="G73" s="2">
        <f>SUM('Budget Detail FY 2016-23'!P131:P150)</f>
        <v>296620</v>
      </c>
      <c r="H73" s="2">
        <f>SUM('Budget Detail FY 2016-23'!Q131:Q150)</f>
        <v>282512</v>
      </c>
      <c r="I73" s="2">
        <f>SUM('Budget Detail FY 2016-23'!R131:R150)</f>
        <v>287176</v>
      </c>
      <c r="J73" s="2">
        <f>SUM('Budget Detail FY 2016-23'!S131:S150)</f>
        <v>279775</v>
      </c>
      <c r="K73" s="2">
        <f>SUM('Budget Detail FY 2016-23'!T131:T150)</f>
        <v>284086</v>
      </c>
    </row>
    <row r="74" spans="2:11" ht="20.100000000000001" customHeight="1">
      <c r="B74" s="14" t="s">
        <v>694</v>
      </c>
      <c r="C74" s="2">
        <f>SUM('Budget Detail FY 2016-23'!L151:L159)</f>
        <v>98647</v>
      </c>
      <c r="D74" s="2">
        <f>SUM('Budget Detail FY 2016-23'!M151:M159)</f>
        <v>96715</v>
      </c>
      <c r="E74" s="2">
        <f>SUM('Budget Detail FY 2016-23'!N151:N159)</f>
        <v>134700</v>
      </c>
      <c r="F74" s="2">
        <f>SUM('Budget Detail FY 2016-23'!O151:O159)</f>
        <v>123039</v>
      </c>
      <c r="G74" s="2">
        <f>SUM('Budget Detail FY 2016-23'!P151:P159)</f>
        <v>127560</v>
      </c>
      <c r="H74" s="2">
        <f>SUM('Budget Detail FY 2016-23'!Q151:Q159)</f>
        <v>130663</v>
      </c>
      <c r="I74" s="2">
        <f>SUM('Budget Detail FY 2016-23'!R151:R159)</f>
        <v>133921</v>
      </c>
      <c r="J74" s="2">
        <f>SUM('Budget Detail FY 2016-23'!S151:S159)</f>
        <v>137342</v>
      </c>
      <c r="K74" s="2">
        <f>SUM('Budget Detail FY 2016-23'!T151:T159)</f>
        <v>140934</v>
      </c>
    </row>
    <row r="75" spans="2:11" s="113" customFormat="1" ht="20.100000000000001" customHeight="1" thickBot="1">
      <c r="B75" s="114" t="s">
        <v>837</v>
      </c>
      <c r="C75" s="80">
        <f t="shared" ref="C75:J75" si="2">SUM(C71:C74)</f>
        <v>4673413</v>
      </c>
      <c r="D75" s="80">
        <f t="shared" si="2"/>
        <v>4903925</v>
      </c>
      <c r="E75" s="80">
        <f>SUM(E71:E74)</f>
        <v>5558217</v>
      </c>
      <c r="F75" s="80">
        <f t="shared" si="2"/>
        <v>5387096</v>
      </c>
      <c r="G75" s="80">
        <f t="shared" si="2"/>
        <v>5536325</v>
      </c>
      <c r="H75" s="80">
        <f t="shared" si="2"/>
        <v>5724362</v>
      </c>
      <c r="I75" s="80">
        <f t="shared" si="2"/>
        <v>5943610</v>
      </c>
      <c r="J75" s="80">
        <f t="shared" si="2"/>
        <v>6159069</v>
      </c>
      <c r="K75" s="80">
        <f>SUM(K71:K74)</f>
        <v>6394785</v>
      </c>
    </row>
    <row r="76" spans="2:11" s="113" customFormat="1" ht="15" thickTop="1">
      <c r="B76" s="16"/>
      <c r="C76" s="122"/>
      <c r="D76" s="122"/>
      <c r="E76" s="122"/>
      <c r="F76" s="122"/>
      <c r="G76" s="122"/>
      <c r="H76" s="122"/>
      <c r="I76" s="122"/>
      <c r="J76" s="122"/>
      <c r="K76" s="122"/>
    </row>
    <row r="77" spans="2:11" ht="15">
      <c r="B77" s="10"/>
      <c r="C77" s="44"/>
      <c r="D77" s="44"/>
      <c r="E77" s="44"/>
      <c r="F77" s="53"/>
      <c r="G77" s="53"/>
      <c r="H77" s="53"/>
      <c r="I77" s="53"/>
      <c r="J77" s="53"/>
      <c r="K77" s="53"/>
    </row>
    <row r="78" spans="2:11" ht="15">
      <c r="B78" s="10"/>
      <c r="C78" s="44"/>
      <c r="D78" s="44"/>
      <c r="E78" s="44"/>
      <c r="F78" s="53"/>
      <c r="G78" s="53"/>
      <c r="H78" s="53"/>
      <c r="I78" s="53"/>
      <c r="J78" s="53"/>
      <c r="K78" s="53"/>
    </row>
    <row r="79" spans="2:11" ht="15">
      <c r="B79" s="10"/>
      <c r="C79" s="44"/>
      <c r="D79" s="44"/>
      <c r="E79" s="44"/>
      <c r="F79" s="53"/>
      <c r="G79" s="53"/>
      <c r="H79" s="53"/>
      <c r="I79" s="53"/>
      <c r="J79" s="53"/>
      <c r="K79" s="53"/>
    </row>
    <row r="80" spans="2:11" ht="15">
      <c r="B80" s="10"/>
      <c r="C80" s="44"/>
      <c r="D80" s="44"/>
      <c r="E80" s="44"/>
      <c r="F80" s="53"/>
      <c r="G80" s="53"/>
      <c r="H80" s="53"/>
      <c r="I80" s="53"/>
      <c r="J80" s="53"/>
      <c r="K80" s="53"/>
    </row>
    <row r="81" spans="2:11" ht="15">
      <c r="B81" s="10"/>
      <c r="C81" s="44"/>
      <c r="D81" s="44"/>
      <c r="E81" s="44"/>
      <c r="F81" s="53"/>
      <c r="G81" s="53"/>
      <c r="H81" s="53"/>
      <c r="I81" s="53"/>
      <c r="J81" s="53"/>
      <c r="K81" s="53"/>
    </row>
    <row r="82" spans="2:11" ht="15">
      <c r="B82" s="10"/>
      <c r="C82" s="44"/>
      <c r="D82" s="44"/>
      <c r="E82" s="44"/>
      <c r="F82" s="53"/>
      <c r="G82" s="53"/>
      <c r="H82" s="53"/>
      <c r="I82" s="53"/>
      <c r="J82" s="53"/>
      <c r="K82" s="53"/>
    </row>
    <row r="83" spans="2:11" ht="15">
      <c r="B83" s="10"/>
      <c r="C83" s="44"/>
      <c r="D83" s="44"/>
      <c r="E83" s="44"/>
      <c r="F83" s="53"/>
      <c r="G83" s="53"/>
      <c r="H83" s="53"/>
      <c r="I83" s="53"/>
      <c r="J83" s="53"/>
      <c r="K83" s="53"/>
    </row>
    <row r="84" spans="2:11" ht="15">
      <c r="B84" s="10"/>
      <c r="C84" s="44"/>
      <c r="D84" s="44"/>
      <c r="E84" s="44"/>
      <c r="F84" s="53"/>
      <c r="G84" s="53"/>
      <c r="H84" s="53"/>
      <c r="I84" s="53"/>
      <c r="J84" s="53"/>
      <c r="K84" s="53"/>
    </row>
    <row r="85" spans="2:11" ht="15">
      <c r="B85" s="10"/>
      <c r="C85" s="44"/>
      <c r="D85" s="44"/>
      <c r="E85" s="44"/>
      <c r="F85" s="53"/>
      <c r="G85" s="53"/>
      <c r="H85" s="53"/>
      <c r="I85" s="53"/>
      <c r="J85" s="53"/>
      <c r="K85" s="53"/>
    </row>
    <row r="86" spans="2:11" ht="15">
      <c r="B86" s="10"/>
      <c r="C86" s="44"/>
      <c r="D86" s="44"/>
      <c r="E86" s="44"/>
      <c r="F86" s="53"/>
      <c r="G86" s="53"/>
      <c r="H86" s="53"/>
      <c r="I86" s="53"/>
      <c r="J86" s="53"/>
      <c r="K86" s="53"/>
    </row>
    <row r="87" spans="2:11" ht="15">
      <c r="B87" s="10"/>
      <c r="C87" s="44"/>
      <c r="D87" s="44"/>
      <c r="E87" s="44"/>
      <c r="F87" s="53"/>
      <c r="G87" s="53"/>
      <c r="H87" s="53"/>
      <c r="I87" s="53"/>
      <c r="J87" s="53"/>
      <c r="K87" s="53"/>
    </row>
    <row r="88" spans="2:11" ht="15">
      <c r="B88" s="10"/>
      <c r="C88" s="44"/>
      <c r="D88" s="44"/>
      <c r="E88" s="44"/>
      <c r="F88" s="53"/>
      <c r="G88" s="53"/>
      <c r="H88" s="53"/>
      <c r="I88" s="53"/>
      <c r="J88" s="53"/>
      <c r="K88" s="53"/>
    </row>
    <row r="89" spans="2:11" ht="15">
      <c r="B89" s="10"/>
      <c r="C89" s="44"/>
      <c r="D89" s="44"/>
      <c r="E89" s="44"/>
      <c r="F89" s="53"/>
      <c r="G89" s="53"/>
      <c r="H89" s="53"/>
      <c r="I89" s="53"/>
      <c r="J89" s="53"/>
      <c r="K89" s="53"/>
    </row>
    <row r="90" spans="2:11" ht="15">
      <c r="B90" s="10"/>
      <c r="C90" s="44"/>
      <c r="D90" s="44"/>
      <c r="E90" s="44"/>
      <c r="F90" s="53"/>
      <c r="G90" s="53"/>
      <c r="H90" s="53"/>
      <c r="I90" s="53"/>
      <c r="J90" s="53"/>
      <c r="K90" s="53"/>
    </row>
    <row r="91" spans="2:11" ht="15">
      <c r="B91" s="10"/>
      <c r="C91" s="44"/>
      <c r="D91" s="44"/>
      <c r="E91" s="44"/>
      <c r="F91" s="53"/>
      <c r="G91" s="53"/>
      <c r="H91" s="53"/>
      <c r="I91" s="53"/>
      <c r="J91" s="53"/>
      <c r="K91" s="53"/>
    </row>
    <row r="92" spans="2:11" ht="18.75" customHeight="1">
      <c r="B92" s="885" t="s">
        <v>730</v>
      </c>
      <c r="C92" s="885"/>
      <c r="D92" s="885"/>
      <c r="E92" s="885"/>
      <c r="F92" s="885"/>
      <c r="G92" s="885"/>
      <c r="H92" s="885"/>
      <c r="I92" s="885"/>
      <c r="J92" s="885"/>
      <c r="K92" s="885"/>
    </row>
    <row r="93" spans="2:11" ht="15">
      <c r="B93" s="38"/>
      <c r="C93" s="53"/>
      <c r="D93" s="53"/>
      <c r="E93" s="53"/>
      <c r="F93" s="53"/>
      <c r="G93" s="53"/>
      <c r="H93" s="53"/>
      <c r="I93" s="53"/>
      <c r="J93" s="53"/>
      <c r="K93" s="53"/>
    </row>
    <row r="94" spans="2:11" ht="12.75" customHeight="1">
      <c r="B94" s="889" t="s">
        <v>731</v>
      </c>
      <c r="C94" s="889"/>
      <c r="D94" s="889"/>
      <c r="E94" s="889"/>
      <c r="F94" s="889"/>
      <c r="G94" s="889"/>
      <c r="H94" s="889"/>
      <c r="I94" s="889"/>
      <c r="J94" s="889"/>
      <c r="K94" s="889"/>
    </row>
    <row r="95" spans="2:11" ht="12.75" customHeight="1">
      <c r="B95" s="889"/>
      <c r="C95" s="889"/>
      <c r="D95" s="889"/>
      <c r="E95" s="889"/>
      <c r="F95" s="889"/>
      <c r="G95" s="889"/>
      <c r="H95" s="889"/>
      <c r="I95" s="889"/>
      <c r="J95" s="889"/>
      <c r="K95" s="889"/>
    </row>
    <row r="96" spans="2:11" ht="12.75" customHeight="1">
      <c r="B96" s="889"/>
      <c r="C96" s="889"/>
      <c r="D96" s="889"/>
      <c r="E96" s="889"/>
      <c r="F96" s="889"/>
      <c r="G96" s="889"/>
      <c r="H96" s="889"/>
      <c r="I96" s="889"/>
      <c r="J96" s="889"/>
      <c r="K96" s="889"/>
    </row>
    <row r="97" spans="2:11" ht="12.75" customHeight="1">
      <c r="B97" s="889"/>
      <c r="C97" s="889"/>
      <c r="D97" s="889"/>
      <c r="E97" s="889"/>
      <c r="F97" s="889"/>
      <c r="G97" s="889"/>
      <c r="H97" s="889"/>
      <c r="I97" s="889"/>
      <c r="J97" s="889"/>
      <c r="K97" s="889"/>
    </row>
    <row r="98" spans="2:11" ht="15">
      <c r="B98" s="43"/>
      <c r="C98" s="56"/>
      <c r="D98" s="56"/>
      <c r="E98" s="56"/>
      <c r="F98" s="53"/>
      <c r="G98" s="53"/>
      <c r="H98" s="53"/>
      <c r="I98" s="53"/>
      <c r="J98" s="53"/>
      <c r="K98" s="53"/>
    </row>
    <row r="99" spans="2:11" ht="15">
      <c r="B99" s="10"/>
      <c r="C99" s="64"/>
      <c r="D99" s="65"/>
      <c r="E99" s="65" t="s">
        <v>834</v>
      </c>
      <c r="F99" s="1"/>
      <c r="G99" s="1"/>
      <c r="H99" s="1"/>
      <c r="I99" s="1"/>
      <c r="J99" s="1"/>
      <c r="K99" s="1"/>
    </row>
    <row r="100" spans="2:11" ht="15">
      <c r="B100" s="12"/>
      <c r="C100" s="64" t="s">
        <v>243</v>
      </c>
      <c r="D100" s="64" t="s">
        <v>244</v>
      </c>
      <c r="E100" s="65" t="s">
        <v>679</v>
      </c>
      <c r="F100" s="65" t="s">
        <v>834</v>
      </c>
      <c r="G100" s="65" t="s">
        <v>915</v>
      </c>
      <c r="H100" s="65" t="s">
        <v>946</v>
      </c>
      <c r="I100" s="65" t="s">
        <v>947</v>
      </c>
      <c r="J100" s="65" t="s">
        <v>948</v>
      </c>
      <c r="K100" s="65" t="s">
        <v>949</v>
      </c>
    </row>
    <row r="101" spans="2:11" ht="15.75" thickBot="1">
      <c r="B101" s="40"/>
      <c r="C101" s="67" t="s">
        <v>1</v>
      </c>
      <c r="D101" s="67" t="s">
        <v>1</v>
      </c>
      <c r="E101" s="67" t="s">
        <v>638</v>
      </c>
      <c r="F101" s="67" t="s">
        <v>19</v>
      </c>
      <c r="G101" s="67" t="s">
        <v>679</v>
      </c>
      <c r="H101" s="67" t="s">
        <v>19</v>
      </c>
      <c r="I101" s="67" t="s">
        <v>19</v>
      </c>
      <c r="J101" s="67" t="s">
        <v>19</v>
      </c>
      <c r="K101" s="67" t="s">
        <v>19</v>
      </c>
    </row>
    <row r="102" spans="2:11" ht="15">
      <c r="B102" s="10"/>
      <c r="C102" s="44"/>
      <c r="D102" s="44"/>
      <c r="E102" s="44"/>
      <c r="F102" s="53"/>
      <c r="G102" s="53"/>
      <c r="H102" s="53"/>
      <c r="I102" s="53"/>
      <c r="J102" s="53"/>
      <c r="K102" s="53"/>
    </row>
    <row r="103" spans="2:11" ht="15">
      <c r="B103" s="41" t="s">
        <v>484</v>
      </c>
      <c r="C103" s="44"/>
      <c r="D103" s="44"/>
      <c r="E103" s="44"/>
      <c r="F103" s="53"/>
      <c r="G103" s="53"/>
      <c r="H103" s="53"/>
      <c r="I103" s="53"/>
      <c r="J103" s="53"/>
      <c r="K103" s="53"/>
    </row>
    <row r="104" spans="2:11" ht="20.100000000000001" customHeight="1">
      <c r="B104" s="14" t="s">
        <v>691</v>
      </c>
      <c r="C104" s="2">
        <f>SUM('Budget Detail FY 2016-23'!L163:L164)</f>
        <v>339512</v>
      </c>
      <c r="D104" s="2">
        <f>SUM('Budget Detail FY 2016-23'!M163:M164)</f>
        <v>374208</v>
      </c>
      <c r="E104" s="2">
        <f>SUM('Budget Detail FY 2016-23'!N163:N164)</f>
        <v>457067</v>
      </c>
      <c r="F104" s="2">
        <f>SUM('Budget Detail FY 2016-23'!O163:O164)</f>
        <v>435000</v>
      </c>
      <c r="G104" s="2">
        <f>SUM('Budget Detail FY 2016-23'!P163:P164)</f>
        <v>488585</v>
      </c>
      <c r="H104" s="2">
        <f>SUM('Budget Detail FY 2016-23'!Q163:Q164)</f>
        <v>501803</v>
      </c>
      <c r="I104" s="2">
        <f>SUM('Budget Detail FY 2016-23'!R163:R164)</f>
        <v>515417</v>
      </c>
      <c r="J104" s="2">
        <f>SUM('Budget Detail FY 2016-23'!S163:S164)</f>
        <v>529440</v>
      </c>
      <c r="K104" s="2">
        <f>SUM('Budget Detail FY 2016-23'!T163:T164)</f>
        <v>543883</v>
      </c>
    </row>
    <row r="105" spans="2:11" ht="20.100000000000001" customHeight="1">
      <c r="B105" s="14" t="s">
        <v>692</v>
      </c>
      <c r="C105" s="2">
        <f>SUM('Budget Detail FY 2016-23'!L165:L170)</f>
        <v>150738</v>
      </c>
      <c r="D105" s="2">
        <f>SUM('Budget Detail FY 2016-23'!M165:M170)</f>
        <v>138585</v>
      </c>
      <c r="E105" s="2">
        <f>SUM('Budget Detail FY 2016-23'!N165:N170)</f>
        <v>177490</v>
      </c>
      <c r="F105" s="2">
        <f>SUM('Budget Detail FY 2016-23'!O165:O170)</f>
        <v>150301</v>
      </c>
      <c r="G105" s="2">
        <f>SUM('Budget Detail FY 2016-23'!P165:P170)</f>
        <v>179347</v>
      </c>
      <c r="H105" s="2">
        <f>SUM('Budget Detail FY 2016-23'!Q165:Q170)</f>
        <v>190594</v>
      </c>
      <c r="I105" s="2">
        <f>SUM('Budget Detail FY 2016-23'!R165:R170)</f>
        <v>202691</v>
      </c>
      <c r="J105" s="2">
        <f>SUM('Budget Detail FY 2016-23'!S165:S170)</f>
        <v>215708</v>
      </c>
      <c r="K105" s="2">
        <f>SUM('Budget Detail FY 2016-23'!T165:T170)</f>
        <v>229633</v>
      </c>
    </row>
    <row r="106" spans="2:11" ht="20.100000000000001" customHeight="1">
      <c r="B106" s="14" t="s">
        <v>693</v>
      </c>
      <c r="C106" s="2">
        <f>SUM('Budget Detail FY 2016-23'!L171:L182)</f>
        <v>102815</v>
      </c>
      <c r="D106" s="2">
        <f>SUM('Budget Detail FY 2016-23'!M171:M182)</f>
        <v>49929</v>
      </c>
      <c r="E106" s="2">
        <f>SUM('Budget Detail FY 2016-23'!N171:N182)</f>
        <v>51900</v>
      </c>
      <c r="F106" s="2">
        <f>SUM('Budget Detail FY 2016-23'!O171:O182)</f>
        <v>48950</v>
      </c>
      <c r="G106" s="2">
        <f>SUM('Budget Detail FY 2016-23'!P171:P182)</f>
        <v>153174</v>
      </c>
      <c r="H106" s="2">
        <f>SUM('Budget Detail FY 2016-23'!Q171:Q182)</f>
        <v>110873</v>
      </c>
      <c r="I106" s="2">
        <f>SUM('Budget Detail FY 2016-23'!R171:R182)</f>
        <v>62675</v>
      </c>
      <c r="J106" s="2">
        <f>SUM('Budget Detail FY 2016-23'!S171:S182)</f>
        <v>51008</v>
      </c>
      <c r="K106" s="2">
        <f>SUM('Budget Detail FY 2016-23'!T171:T182)</f>
        <v>50452</v>
      </c>
    </row>
    <row r="107" spans="2:11" ht="20.100000000000001" customHeight="1">
      <c r="B107" s="14" t="s">
        <v>694</v>
      </c>
      <c r="C107" s="2">
        <f>SUM('Budget Detail FY 2016-23'!L183:L187)</f>
        <v>8877</v>
      </c>
      <c r="D107" s="2">
        <f>SUM('Budget Detail FY 2016-23'!M183:M187)</f>
        <v>11236</v>
      </c>
      <c r="E107" s="2">
        <f>SUM('Budget Detail FY 2016-23'!N183:N187)</f>
        <v>14190</v>
      </c>
      <c r="F107" s="2">
        <f>SUM('Budget Detail FY 2016-23'!O183:O187)</f>
        <v>13640</v>
      </c>
      <c r="G107" s="2">
        <f>SUM('Budget Detail FY 2016-23'!P183:P187)</f>
        <v>8540</v>
      </c>
      <c r="H107" s="2">
        <f>SUM('Budget Detail FY 2016-23'!Q183:Q187)</f>
        <v>8655</v>
      </c>
      <c r="I107" s="2">
        <f>SUM('Budget Detail FY 2016-23'!R183:R187)</f>
        <v>8775</v>
      </c>
      <c r="J107" s="2">
        <f>SUM('Budget Detail FY 2016-23'!S183:S187)</f>
        <v>8901</v>
      </c>
      <c r="K107" s="2">
        <f>SUM('Budget Detail FY 2016-23'!T183:T187)</f>
        <v>9034</v>
      </c>
    </row>
    <row r="108" spans="2:11" s="113" customFormat="1" ht="20.100000000000001" customHeight="1" thickBot="1">
      <c r="B108" s="114" t="s">
        <v>732</v>
      </c>
      <c r="C108" s="80">
        <f t="shared" ref="C108:I108" si="3">SUM(C104:C107)</f>
        <v>601942</v>
      </c>
      <c r="D108" s="80">
        <f>SUM(D104:D107)</f>
        <v>573958</v>
      </c>
      <c r="E108" s="80">
        <f t="shared" si="3"/>
        <v>700647</v>
      </c>
      <c r="F108" s="80">
        <f t="shared" si="3"/>
        <v>647891</v>
      </c>
      <c r="G108" s="80">
        <f t="shared" si="3"/>
        <v>829646</v>
      </c>
      <c r="H108" s="80">
        <f t="shared" si="3"/>
        <v>811925</v>
      </c>
      <c r="I108" s="80">
        <f t="shared" si="3"/>
        <v>789558</v>
      </c>
      <c r="J108" s="80">
        <f>SUM(J104:J107)</f>
        <v>805057</v>
      </c>
      <c r="K108" s="80">
        <f>SUM(K104:K107)</f>
        <v>833002</v>
      </c>
    </row>
    <row r="109" spans="2:11" s="113" customFormat="1" ht="15" thickTop="1">
      <c r="B109" s="16"/>
      <c r="C109" s="122"/>
      <c r="D109" s="122"/>
      <c r="E109" s="122"/>
      <c r="F109" s="122"/>
      <c r="G109" s="122"/>
      <c r="H109" s="122"/>
      <c r="I109" s="122"/>
      <c r="J109" s="122"/>
      <c r="K109" s="122"/>
    </row>
    <row r="110" spans="2:11" ht="15">
      <c r="B110" s="10"/>
      <c r="C110" s="44"/>
      <c r="D110" s="44"/>
      <c r="E110" s="44"/>
      <c r="F110" s="53"/>
      <c r="G110" s="53"/>
      <c r="H110" s="53"/>
      <c r="I110" s="53"/>
      <c r="J110" s="53"/>
      <c r="K110" s="53"/>
    </row>
    <row r="111" spans="2:11" ht="15">
      <c r="B111" s="10"/>
      <c r="C111" s="44"/>
      <c r="D111" s="44"/>
      <c r="E111" s="44"/>
      <c r="F111" s="53"/>
      <c r="G111" s="53"/>
      <c r="H111" s="53"/>
      <c r="I111" s="53"/>
      <c r="J111" s="53"/>
      <c r="K111" s="53"/>
    </row>
    <row r="112" spans="2:11" ht="15">
      <c r="B112" s="10"/>
      <c r="C112" s="44"/>
      <c r="D112" s="44"/>
      <c r="E112" s="44"/>
      <c r="F112" s="53"/>
      <c r="G112" s="53"/>
      <c r="H112" s="53"/>
      <c r="I112" s="53"/>
      <c r="J112" s="53"/>
      <c r="K112" s="53"/>
    </row>
    <row r="113" spans="2:11" ht="15">
      <c r="B113" s="10"/>
      <c r="C113" s="44"/>
      <c r="D113" s="44"/>
      <c r="E113" s="44"/>
      <c r="F113" s="53"/>
      <c r="G113" s="53"/>
      <c r="H113" s="53"/>
      <c r="I113" s="53"/>
      <c r="J113" s="53"/>
      <c r="K113" s="53"/>
    </row>
    <row r="114" spans="2:11" ht="15">
      <c r="B114" s="10"/>
      <c r="C114" s="44"/>
      <c r="D114" s="44"/>
      <c r="E114" s="44"/>
      <c r="F114" s="53"/>
      <c r="G114" s="53"/>
      <c r="H114" s="53"/>
      <c r="I114" s="53"/>
      <c r="J114" s="53"/>
      <c r="K114" s="53"/>
    </row>
    <row r="115" spans="2:11" ht="15">
      <c r="B115" s="10"/>
      <c r="C115" s="44"/>
      <c r="D115" s="44"/>
      <c r="E115" s="44"/>
      <c r="F115" s="53"/>
      <c r="G115" s="53"/>
      <c r="H115" s="53"/>
      <c r="I115" s="53"/>
      <c r="J115" s="53"/>
      <c r="K115" s="53"/>
    </row>
    <row r="116" spans="2:11" ht="15">
      <c r="B116" s="10"/>
      <c r="C116" s="44"/>
      <c r="D116" s="44"/>
      <c r="E116" s="44"/>
      <c r="F116" s="53"/>
      <c r="G116" s="53"/>
      <c r="H116" s="53"/>
      <c r="I116" s="53"/>
      <c r="J116" s="53"/>
      <c r="K116" s="53"/>
    </row>
    <row r="117" spans="2:11" ht="15">
      <c r="B117" s="10"/>
      <c r="C117" s="44"/>
      <c r="D117" s="44"/>
      <c r="E117" s="44"/>
      <c r="F117" s="53"/>
      <c r="G117" s="53"/>
      <c r="H117" s="53"/>
      <c r="I117" s="53"/>
      <c r="J117" s="53"/>
      <c r="K117" s="53"/>
    </row>
    <row r="118" spans="2:11" ht="15">
      <c r="B118" s="10"/>
      <c r="C118" s="44"/>
      <c r="D118" s="44"/>
      <c r="E118" s="44"/>
      <c r="F118" s="53"/>
      <c r="G118" s="53"/>
      <c r="H118" s="53"/>
      <c r="I118" s="53"/>
      <c r="J118" s="53"/>
      <c r="K118" s="53"/>
    </row>
    <row r="119" spans="2:11" ht="15">
      <c r="B119" s="10"/>
      <c r="C119" s="44"/>
      <c r="D119" s="44"/>
      <c r="E119" s="44"/>
      <c r="F119" s="53"/>
      <c r="G119" s="53"/>
      <c r="H119" s="53"/>
      <c r="I119" s="53"/>
      <c r="J119" s="53"/>
      <c r="K119" s="53"/>
    </row>
    <row r="120" spans="2:11" ht="15">
      <c r="B120" s="10"/>
      <c r="C120" s="44"/>
      <c r="D120" s="44"/>
      <c r="E120" s="44"/>
      <c r="F120" s="53"/>
      <c r="G120" s="53"/>
      <c r="H120" s="53"/>
      <c r="I120" s="53"/>
      <c r="J120" s="53"/>
      <c r="K120" s="53"/>
    </row>
    <row r="121" spans="2:11" ht="15">
      <c r="B121" s="10"/>
      <c r="C121" s="44"/>
      <c r="D121" s="44"/>
      <c r="E121" s="44"/>
      <c r="F121" s="53"/>
      <c r="G121" s="53"/>
      <c r="H121" s="53"/>
      <c r="I121" s="53"/>
      <c r="J121" s="53"/>
      <c r="K121" s="53"/>
    </row>
    <row r="122" spans="2:11" ht="18.75" customHeight="1">
      <c r="B122" s="885" t="s">
        <v>1055</v>
      </c>
      <c r="C122" s="885"/>
      <c r="D122" s="885"/>
      <c r="E122" s="885"/>
      <c r="F122" s="885"/>
      <c r="G122" s="885"/>
      <c r="H122" s="885"/>
      <c r="I122" s="885"/>
      <c r="J122" s="885"/>
      <c r="K122" s="885"/>
    </row>
    <row r="123" spans="2:11" ht="15">
      <c r="B123" s="46"/>
      <c r="C123" s="58"/>
      <c r="D123" s="59"/>
      <c r="E123" s="59"/>
      <c r="F123" s="53"/>
      <c r="G123" s="53"/>
      <c r="H123" s="53"/>
      <c r="I123" s="53"/>
      <c r="J123" s="53"/>
      <c r="K123" s="53"/>
    </row>
    <row r="124" spans="2:11" ht="12.75" customHeight="1">
      <c r="B124" s="891" t="s">
        <v>733</v>
      </c>
      <c r="C124" s="891"/>
      <c r="D124" s="891"/>
      <c r="E124" s="891"/>
      <c r="F124" s="891"/>
      <c r="G124" s="891"/>
      <c r="H124" s="891"/>
      <c r="I124" s="891"/>
      <c r="J124" s="891"/>
      <c r="K124" s="891"/>
    </row>
    <row r="125" spans="2:11" ht="17.25" customHeight="1">
      <c r="B125" s="891"/>
      <c r="C125" s="891"/>
      <c r="D125" s="891"/>
      <c r="E125" s="891"/>
      <c r="F125" s="891"/>
      <c r="G125" s="891"/>
      <c r="H125" s="891"/>
      <c r="I125" s="891"/>
      <c r="J125" s="891"/>
      <c r="K125" s="891"/>
    </row>
    <row r="126" spans="2:11" ht="15">
      <c r="B126" s="47"/>
      <c r="C126" s="60"/>
      <c r="D126" s="60"/>
      <c r="E126" s="60"/>
      <c r="F126" s="53"/>
      <c r="G126" s="53"/>
      <c r="H126" s="53"/>
      <c r="I126" s="53"/>
      <c r="J126" s="53"/>
      <c r="K126" s="53"/>
    </row>
    <row r="127" spans="2:11" ht="15">
      <c r="B127" s="10"/>
      <c r="C127" s="64"/>
      <c r="D127" s="65"/>
      <c r="E127" s="65" t="s">
        <v>834</v>
      </c>
      <c r="F127" s="1"/>
      <c r="G127" s="1"/>
      <c r="H127" s="1"/>
      <c r="I127" s="1"/>
      <c r="J127" s="1"/>
      <c r="K127" s="1"/>
    </row>
    <row r="128" spans="2:11" ht="15">
      <c r="B128" s="12"/>
      <c r="C128" s="64" t="s">
        <v>243</v>
      </c>
      <c r="D128" s="64" t="s">
        <v>244</v>
      </c>
      <c r="E128" s="65" t="s">
        <v>679</v>
      </c>
      <c r="F128" s="65" t="s">
        <v>834</v>
      </c>
      <c r="G128" s="65" t="s">
        <v>915</v>
      </c>
      <c r="H128" s="65" t="s">
        <v>946</v>
      </c>
      <c r="I128" s="65" t="s">
        <v>947</v>
      </c>
      <c r="J128" s="65" t="s">
        <v>948</v>
      </c>
      <c r="K128" s="65" t="s">
        <v>949</v>
      </c>
    </row>
    <row r="129" spans="2:11" ht="15.75" thickBot="1">
      <c r="B129" s="40"/>
      <c r="C129" s="67" t="s">
        <v>1</v>
      </c>
      <c r="D129" s="67" t="s">
        <v>1</v>
      </c>
      <c r="E129" s="67" t="s">
        <v>638</v>
      </c>
      <c r="F129" s="67" t="s">
        <v>19</v>
      </c>
      <c r="G129" s="67" t="s">
        <v>679</v>
      </c>
      <c r="H129" s="67" t="s">
        <v>19</v>
      </c>
      <c r="I129" s="67" t="s">
        <v>19</v>
      </c>
      <c r="J129" s="67" t="s">
        <v>19</v>
      </c>
      <c r="K129" s="67" t="s">
        <v>19</v>
      </c>
    </row>
    <row r="130" spans="2:11" ht="15">
      <c r="B130" s="10"/>
      <c r="C130" s="44"/>
      <c r="D130" s="44"/>
      <c r="E130" s="44"/>
      <c r="F130" s="53"/>
      <c r="G130" s="53"/>
      <c r="H130" s="53"/>
      <c r="I130" s="53"/>
      <c r="J130" s="53"/>
      <c r="K130" s="53"/>
    </row>
    <row r="131" spans="2:11" ht="15">
      <c r="B131" s="41" t="s">
        <v>484</v>
      </c>
      <c r="C131" s="44"/>
      <c r="D131" s="44"/>
      <c r="E131" s="44"/>
      <c r="F131" s="53"/>
      <c r="G131" s="53"/>
      <c r="H131" s="53"/>
      <c r="I131" s="53"/>
      <c r="J131" s="53"/>
      <c r="K131" s="53"/>
    </row>
    <row r="132" spans="2:11" ht="20.100000000000001" customHeight="1">
      <c r="B132" s="14" t="s">
        <v>691</v>
      </c>
      <c r="C132" s="2">
        <f>SUM('Budget Detail FY 2016-23'!L191:L193)</f>
        <v>345777</v>
      </c>
      <c r="D132" s="2">
        <f>SUM('Budget Detail FY 2016-23'!M191:M193)</f>
        <v>362054</v>
      </c>
      <c r="E132" s="2">
        <f>SUM('Budget Detail FY 2016-23'!N191:N193)</f>
        <v>382325</v>
      </c>
      <c r="F132" s="2">
        <f>SUM('Budget Detail FY 2016-23'!O191:O193)</f>
        <v>396100</v>
      </c>
      <c r="G132" s="2">
        <f>SUM('Budget Detail FY 2016-23'!P191:P193)</f>
        <v>408909</v>
      </c>
      <c r="H132" s="2">
        <f>SUM('Budget Detail FY 2016-23'!Q191:Q193)</f>
        <v>420378</v>
      </c>
      <c r="I132" s="2">
        <f>SUM('Budget Detail FY 2016-23'!R191:R193)</f>
        <v>432191</v>
      </c>
      <c r="J132" s="2">
        <f>SUM('Budget Detail FY 2016-23'!S191:S193)</f>
        <v>444359</v>
      </c>
      <c r="K132" s="2">
        <f>SUM('Budget Detail FY 2016-23'!T191:T193)</f>
        <v>456892</v>
      </c>
    </row>
    <row r="133" spans="2:11" ht="20.100000000000001" customHeight="1">
      <c r="B133" s="14" t="s">
        <v>692</v>
      </c>
      <c r="C133" s="2">
        <f>SUM('Budget Detail FY 2016-23'!L194:L199)</f>
        <v>178885</v>
      </c>
      <c r="D133" s="2">
        <f>SUM('Budget Detail FY 2016-23'!M194:M199)</f>
        <v>196446</v>
      </c>
      <c r="E133" s="2">
        <f>SUM('Budget Detail FY 2016-23'!N194:N199)</f>
        <v>214046</v>
      </c>
      <c r="F133" s="2">
        <f>SUM('Budget Detail FY 2016-23'!O194:O199)</f>
        <v>200756</v>
      </c>
      <c r="G133" s="2">
        <f>SUM('Budget Detail FY 2016-23'!P194:P199)</f>
        <v>197100</v>
      </c>
      <c r="H133" s="2">
        <f>SUM('Budget Detail FY 2016-23'!Q194:Q199)</f>
        <v>210063</v>
      </c>
      <c r="I133" s="2">
        <f>SUM('Budget Detail FY 2016-23'!R194:R199)</f>
        <v>224019</v>
      </c>
      <c r="J133" s="2">
        <f>SUM('Budget Detail FY 2016-23'!S194:S199)</f>
        <v>239056</v>
      </c>
      <c r="K133" s="2">
        <f>SUM('Budget Detail FY 2016-23'!T194:T199)</f>
        <v>255178</v>
      </c>
    </row>
    <row r="134" spans="2:11" ht="20.100000000000001" customHeight="1">
      <c r="B134" s="14" t="s">
        <v>693</v>
      </c>
      <c r="C134" s="2">
        <f>SUM('Budget Detail FY 2016-23'!L200:L213)+SUM('Budget Detail FY 2016-23'!L229:L231)</f>
        <v>1537504</v>
      </c>
      <c r="D134" s="2">
        <f>SUM('Budget Detail FY 2016-23'!M200:M213)+SUM('Budget Detail FY 2016-23'!M229:M231)</f>
        <v>1450218</v>
      </c>
      <c r="E134" s="2">
        <f>SUM('Budget Detail FY 2016-23'!N200:N213)+SUM('Budget Detail FY 2016-23'!N229:N231)</f>
        <v>1242124</v>
      </c>
      <c r="F134" s="2">
        <f>SUM('Budget Detail FY 2016-23'!O200:O213)+SUM('Budget Detail FY 2016-23'!O229:O231)</f>
        <v>1289737</v>
      </c>
      <c r="G134" s="2">
        <f>SUM('Budget Detail FY 2016-23'!P200:P213)+SUM('Budget Detail FY 2016-23'!P229:P231)</f>
        <v>1304948</v>
      </c>
      <c r="H134" s="2">
        <f>SUM('Budget Detail FY 2016-23'!Q200:Q213)+SUM('Budget Detail FY 2016-23'!Q229:Q231)</f>
        <v>1438995</v>
      </c>
      <c r="I134" s="2">
        <f>SUM('Budget Detail FY 2016-23'!R200:R213)+SUM('Budget Detail FY 2016-23'!R229:R231)</f>
        <v>1359856</v>
      </c>
      <c r="J134" s="2">
        <f>SUM('Budget Detail FY 2016-23'!S200:S213)+SUM('Budget Detail FY 2016-23'!S229:S231)</f>
        <v>1395563</v>
      </c>
      <c r="K134" s="2">
        <f>SUM('Budget Detail FY 2016-23'!T200:T213)+SUM('Budget Detail FY 2016-23'!T229:T231)</f>
        <v>1434533</v>
      </c>
    </row>
    <row r="135" spans="2:11" ht="20.100000000000001" customHeight="1">
      <c r="B135" s="14" t="s">
        <v>694</v>
      </c>
      <c r="C135" s="2">
        <f>SUM('Budget Detail FY 2016-23'!L214:L225)</f>
        <v>67617</v>
      </c>
      <c r="D135" s="2">
        <f>SUM('Budget Detail FY 2016-23'!M214:M225)</f>
        <v>68784</v>
      </c>
      <c r="E135" s="2">
        <f>SUM('Budget Detail FY 2016-23'!N214:N225)</f>
        <v>107763</v>
      </c>
      <c r="F135" s="2">
        <f>SUM('Budget Detail FY 2016-23'!O214:O225)</f>
        <v>110263</v>
      </c>
      <c r="G135" s="2">
        <f>SUM('Budget Detail FY 2016-23'!P214:P225)</f>
        <v>167198</v>
      </c>
      <c r="H135" s="2">
        <f>SUM('Budget Detail FY 2016-23'!Q214:Q225)</f>
        <v>288343</v>
      </c>
      <c r="I135" s="2">
        <f>SUM('Budget Detail FY 2016-23'!R214:R225)</f>
        <v>274545</v>
      </c>
      <c r="J135" s="2">
        <f>SUM('Budget Detail FY 2016-23'!S214:S225)</f>
        <v>275807</v>
      </c>
      <c r="K135" s="2">
        <f>SUM('Budget Detail FY 2016-23'!T214:T225)</f>
        <v>242132</v>
      </c>
    </row>
    <row r="136" spans="2:11" s="113" customFormat="1" ht="20.100000000000001" customHeight="1" thickBot="1">
      <c r="B136" s="114" t="s">
        <v>838</v>
      </c>
      <c r="C136" s="80">
        <f t="shared" ref="C136:K136" si="4">SUM(C132:C135)</f>
        <v>2129783</v>
      </c>
      <c r="D136" s="80">
        <f t="shared" si="4"/>
        <v>2077502</v>
      </c>
      <c r="E136" s="80">
        <f>SUM(E132:E135)</f>
        <v>1946258</v>
      </c>
      <c r="F136" s="80">
        <f t="shared" si="4"/>
        <v>1996856</v>
      </c>
      <c r="G136" s="80">
        <f t="shared" si="4"/>
        <v>2078155</v>
      </c>
      <c r="H136" s="80">
        <f t="shared" si="4"/>
        <v>2357779</v>
      </c>
      <c r="I136" s="80">
        <f t="shared" si="4"/>
        <v>2290611</v>
      </c>
      <c r="J136" s="80">
        <f t="shared" si="4"/>
        <v>2354785</v>
      </c>
      <c r="K136" s="80">
        <f t="shared" si="4"/>
        <v>2388735</v>
      </c>
    </row>
    <row r="137" spans="2:11" ht="12.75" customHeight="1" thickTop="1">
      <c r="B137" s="20"/>
      <c r="C137" s="55"/>
      <c r="D137" s="55"/>
      <c r="E137" s="55"/>
      <c r="F137" s="53"/>
      <c r="G137" s="53"/>
      <c r="H137" s="53"/>
      <c r="I137" s="53"/>
      <c r="J137" s="53"/>
      <c r="K137" s="53"/>
    </row>
    <row r="138" spans="2:11" ht="12.75" customHeight="1">
      <c r="B138" s="20"/>
      <c r="C138" s="55"/>
      <c r="D138" s="55"/>
      <c r="E138" s="55"/>
      <c r="F138" s="53"/>
      <c r="G138" s="53"/>
      <c r="H138" s="53"/>
      <c r="I138" s="53"/>
      <c r="J138" s="53"/>
      <c r="K138" s="53"/>
    </row>
    <row r="139" spans="2:11" ht="17.25" customHeight="1">
      <c r="B139" s="18"/>
      <c r="C139" s="44"/>
      <c r="D139" s="44"/>
      <c r="E139" s="44"/>
      <c r="F139" s="53"/>
      <c r="G139" s="53"/>
      <c r="H139" s="53"/>
      <c r="I139" s="53"/>
      <c r="J139" s="53"/>
      <c r="K139" s="53"/>
    </row>
    <row r="140" spans="2:11" ht="15">
      <c r="B140" s="18"/>
      <c r="C140" s="44"/>
      <c r="D140" s="44"/>
      <c r="E140" s="44"/>
      <c r="F140" s="53"/>
      <c r="G140" s="53"/>
      <c r="H140" s="53"/>
      <c r="I140" s="53"/>
      <c r="J140" s="53"/>
      <c r="K140" s="53"/>
    </row>
    <row r="141" spans="2:11" ht="15">
      <c r="B141" s="18"/>
      <c r="C141" s="44"/>
      <c r="D141" s="44"/>
      <c r="E141" s="44"/>
      <c r="F141" s="53"/>
      <c r="G141" s="53"/>
      <c r="H141" s="53"/>
      <c r="I141" s="53"/>
      <c r="J141" s="53"/>
      <c r="K141" s="53"/>
    </row>
    <row r="142" spans="2:11" ht="15">
      <c r="B142" s="18"/>
      <c r="C142" s="44"/>
      <c r="D142" s="44"/>
      <c r="E142" s="44"/>
      <c r="F142" s="53"/>
      <c r="G142" s="53"/>
      <c r="H142" s="53"/>
      <c r="I142" s="53"/>
      <c r="J142" s="53"/>
      <c r="K142" s="53"/>
    </row>
    <row r="143" spans="2:11" ht="15">
      <c r="B143" s="18"/>
      <c r="C143" s="44"/>
      <c r="D143" s="44"/>
      <c r="E143" s="44"/>
      <c r="F143" s="53"/>
      <c r="G143" s="53"/>
      <c r="H143" s="53"/>
      <c r="I143" s="53"/>
      <c r="J143" s="53"/>
      <c r="K143" s="53"/>
    </row>
    <row r="144" spans="2:11" ht="15">
      <c r="B144" s="18"/>
      <c r="C144" s="44"/>
      <c r="D144" s="44"/>
      <c r="E144" s="44"/>
      <c r="F144" s="53"/>
      <c r="G144" s="53"/>
      <c r="H144" s="53"/>
      <c r="I144" s="53"/>
      <c r="J144" s="53"/>
      <c r="K144" s="53"/>
    </row>
    <row r="145" spans="2:11" ht="15">
      <c r="B145" s="18"/>
      <c r="C145" s="44"/>
      <c r="D145" s="44"/>
      <c r="E145" s="44"/>
      <c r="F145" s="53"/>
      <c r="G145" s="53"/>
      <c r="H145" s="53"/>
      <c r="I145" s="53"/>
      <c r="J145" s="53"/>
      <c r="K145" s="53"/>
    </row>
    <row r="146" spans="2:11" ht="15">
      <c r="B146" s="18"/>
      <c r="C146" s="44"/>
      <c r="D146" s="44"/>
      <c r="E146" s="44"/>
      <c r="F146" s="53"/>
      <c r="G146" s="53"/>
      <c r="H146" s="53"/>
      <c r="I146" s="53"/>
      <c r="J146" s="53"/>
      <c r="K146" s="53"/>
    </row>
    <row r="147" spans="2:11" ht="15">
      <c r="B147" s="18"/>
      <c r="C147" s="44"/>
      <c r="D147" s="44"/>
      <c r="E147" s="44"/>
      <c r="F147" s="53"/>
      <c r="G147" s="53"/>
      <c r="H147" s="53"/>
      <c r="I147" s="53"/>
      <c r="J147" s="53"/>
      <c r="K147" s="53"/>
    </row>
    <row r="148" spans="2:11" ht="15">
      <c r="B148" s="18"/>
      <c r="C148" s="44"/>
      <c r="D148" s="44"/>
      <c r="E148" s="44"/>
      <c r="F148" s="53"/>
      <c r="G148" s="53"/>
      <c r="H148" s="53"/>
      <c r="I148" s="53"/>
      <c r="J148" s="53"/>
      <c r="K148" s="53"/>
    </row>
    <row r="149" spans="2:11" ht="15">
      <c r="B149" s="18"/>
      <c r="C149" s="44"/>
      <c r="D149" s="44"/>
      <c r="E149" s="44"/>
      <c r="F149" s="53"/>
      <c r="G149" s="53"/>
      <c r="H149" s="53"/>
      <c r="I149" s="53"/>
      <c r="J149" s="53"/>
      <c r="K149" s="53"/>
    </row>
    <row r="150" spans="2:11" ht="15">
      <c r="B150" s="18"/>
      <c r="C150" s="44"/>
      <c r="D150" s="44"/>
      <c r="E150" s="44"/>
      <c r="F150" s="53"/>
      <c r="G150" s="53"/>
      <c r="H150" s="53"/>
      <c r="I150" s="53"/>
      <c r="J150" s="53"/>
      <c r="K150" s="53"/>
    </row>
    <row r="151" spans="2:11" ht="15">
      <c r="B151" s="18"/>
      <c r="C151" s="44"/>
      <c r="D151" s="44"/>
      <c r="E151" s="44"/>
      <c r="F151" s="53"/>
      <c r="G151" s="53"/>
      <c r="H151" s="53"/>
      <c r="I151" s="53"/>
      <c r="J151" s="53"/>
      <c r="K151" s="53"/>
    </row>
    <row r="152" spans="2:11" ht="15">
      <c r="B152" s="18"/>
      <c r="C152" s="44"/>
      <c r="D152" s="44"/>
      <c r="E152" s="44"/>
      <c r="F152" s="53"/>
      <c r="G152" s="53"/>
      <c r="H152" s="53"/>
      <c r="I152" s="53"/>
      <c r="J152" s="53"/>
      <c r="K152" s="53"/>
    </row>
    <row r="153" spans="2:11" ht="18.75" customHeight="1">
      <c r="B153" s="885" t="s">
        <v>734</v>
      </c>
      <c r="C153" s="885"/>
      <c r="D153" s="885"/>
      <c r="E153" s="885"/>
      <c r="F153" s="885"/>
      <c r="G153" s="885"/>
      <c r="H153" s="885"/>
      <c r="I153" s="885"/>
      <c r="J153" s="885"/>
      <c r="K153" s="885"/>
    </row>
    <row r="154" spans="2:11" ht="15">
      <c r="B154" s="48"/>
      <c r="C154" s="53"/>
      <c r="D154" s="53"/>
      <c r="E154" s="53"/>
      <c r="F154" s="53"/>
      <c r="G154" s="53"/>
      <c r="H154" s="53"/>
      <c r="I154" s="53"/>
      <c r="J154" s="53"/>
      <c r="K154" s="53"/>
    </row>
    <row r="155" spans="2:11" ht="12.75" customHeight="1">
      <c r="B155" s="886" t="s">
        <v>1049</v>
      </c>
      <c r="C155" s="886"/>
      <c r="D155" s="886"/>
      <c r="E155" s="886"/>
      <c r="F155" s="886"/>
      <c r="G155" s="886"/>
      <c r="H155" s="886"/>
      <c r="I155" s="886"/>
      <c r="J155" s="886"/>
      <c r="K155" s="886"/>
    </row>
    <row r="156" spans="2:11" ht="19.5" customHeight="1">
      <c r="B156" s="886"/>
      <c r="C156" s="886"/>
      <c r="D156" s="886"/>
      <c r="E156" s="886"/>
      <c r="F156" s="886"/>
      <c r="G156" s="886"/>
      <c r="H156" s="886"/>
      <c r="I156" s="886"/>
      <c r="J156" s="886"/>
      <c r="K156" s="886"/>
    </row>
    <row r="157" spans="2:11" ht="15">
      <c r="B157" s="49"/>
      <c r="C157" s="61"/>
      <c r="D157" s="61"/>
      <c r="E157" s="61"/>
      <c r="F157" s="53"/>
      <c r="G157" s="53"/>
      <c r="H157" s="53"/>
      <c r="I157" s="53"/>
      <c r="J157" s="53"/>
      <c r="K157" s="53"/>
    </row>
    <row r="158" spans="2:11" ht="15">
      <c r="B158" s="50"/>
      <c r="C158" s="64"/>
      <c r="D158" s="65"/>
      <c r="E158" s="65" t="s">
        <v>834</v>
      </c>
      <c r="F158" s="1"/>
      <c r="G158" s="1"/>
      <c r="H158" s="1"/>
      <c r="I158" s="1"/>
      <c r="J158" s="1"/>
      <c r="K158" s="1"/>
    </row>
    <row r="159" spans="2:11" ht="15">
      <c r="B159" s="12"/>
      <c r="C159" s="64" t="s">
        <v>243</v>
      </c>
      <c r="D159" s="64" t="s">
        <v>244</v>
      </c>
      <c r="E159" s="65" t="s">
        <v>679</v>
      </c>
      <c r="F159" s="65" t="s">
        <v>834</v>
      </c>
      <c r="G159" s="65" t="s">
        <v>915</v>
      </c>
      <c r="H159" s="65" t="s">
        <v>946</v>
      </c>
      <c r="I159" s="65" t="s">
        <v>947</v>
      </c>
      <c r="J159" s="65" t="s">
        <v>948</v>
      </c>
      <c r="K159" s="65" t="s">
        <v>949</v>
      </c>
    </row>
    <row r="160" spans="2:11" ht="15.75" thickBot="1">
      <c r="B160" s="40"/>
      <c r="C160" s="67" t="s">
        <v>1</v>
      </c>
      <c r="D160" s="67" t="s">
        <v>1</v>
      </c>
      <c r="E160" s="67" t="s">
        <v>638</v>
      </c>
      <c r="F160" s="67" t="s">
        <v>19</v>
      </c>
      <c r="G160" s="67" t="s">
        <v>679</v>
      </c>
      <c r="H160" s="67" t="s">
        <v>19</v>
      </c>
      <c r="I160" s="67" t="s">
        <v>19</v>
      </c>
      <c r="J160" s="67" t="s">
        <v>19</v>
      </c>
      <c r="K160" s="67" t="s">
        <v>19</v>
      </c>
    </row>
    <row r="161" spans="2:11" ht="15">
      <c r="B161" s="10"/>
      <c r="C161" s="44"/>
      <c r="D161" s="44"/>
      <c r="E161" s="44"/>
      <c r="F161" s="53"/>
      <c r="G161" s="53"/>
      <c r="H161" s="53"/>
      <c r="I161" s="53"/>
      <c r="J161" s="53"/>
      <c r="K161" s="53"/>
    </row>
    <row r="162" spans="2:11" ht="15">
      <c r="B162" s="41" t="s">
        <v>484</v>
      </c>
      <c r="C162" s="44"/>
      <c r="D162" s="44"/>
      <c r="E162" s="44"/>
      <c r="F162" s="53"/>
      <c r="G162" s="53"/>
      <c r="H162" s="53"/>
      <c r="I162" s="53"/>
      <c r="J162" s="53"/>
      <c r="K162" s="53"/>
    </row>
    <row r="163" spans="2:11" ht="20.100000000000001" customHeight="1">
      <c r="B163" s="15" t="s">
        <v>691</v>
      </c>
      <c r="C163" s="2">
        <f>'Budget Detail FY 2016-23'!L238+'Budget Detail FY 2016-23'!L237</f>
        <v>6129</v>
      </c>
      <c r="D163" s="2">
        <f>'Budget Detail FY 2016-23'!M238+'Budget Detail FY 2016-23'!M237</f>
        <v>800</v>
      </c>
      <c r="E163" s="2">
        <f>'Budget Detail FY 2016-23'!N238+'Budget Detail FY 2016-23'!N237</f>
        <v>26964</v>
      </c>
      <c r="F163" s="2">
        <f>'Budget Detail FY 2016-23'!O238+'Budget Detail FY 2016-23'!O237</f>
        <v>17440</v>
      </c>
      <c r="G163" s="2">
        <f>'Budget Detail FY 2016-23'!P238+'Budget Detail FY 2016-23'!P237</f>
        <v>500</v>
      </c>
      <c r="H163" s="2">
        <f>'Budget Detail FY 2016-23'!Q238+'Budget Detail FY 2016-23'!Q237</f>
        <v>500</v>
      </c>
      <c r="I163" s="2">
        <f>'Budget Detail FY 2016-23'!R238+'Budget Detail FY 2016-23'!R237</f>
        <v>500</v>
      </c>
      <c r="J163" s="2">
        <f>'Budget Detail FY 2016-23'!S238+'Budget Detail FY 2016-23'!S237</f>
        <v>500</v>
      </c>
      <c r="K163" s="2">
        <f>'Budget Detail FY 2016-23'!T238+'Budget Detail FY 2016-23'!T237</f>
        <v>500</v>
      </c>
    </row>
    <row r="164" spans="2:11" ht="20.100000000000001" customHeight="1">
      <c r="B164" s="15" t="s">
        <v>692</v>
      </c>
      <c r="C164" s="2">
        <f>SUM('Budget Detail FY 2016-23'!L239:L244)</f>
        <v>326795</v>
      </c>
      <c r="D164" s="2">
        <f>SUM('Budget Detail FY 2016-23'!M239:M244)</f>
        <v>331679</v>
      </c>
      <c r="E164" s="2">
        <f>SUM('Budget Detail FY 2016-23'!N239:N244)</f>
        <v>371211</v>
      </c>
      <c r="F164" s="2">
        <f>SUM('Budget Detail FY 2016-23'!O239:O244)</f>
        <v>336369</v>
      </c>
      <c r="G164" s="2">
        <f>SUM('Budget Detail FY 2016-23'!P239:P244)</f>
        <v>375608</v>
      </c>
      <c r="H164" s="2">
        <f>SUM('Budget Detail FY 2016-23'!Q239:Q244)</f>
        <v>397762</v>
      </c>
      <c r="I164" s="2">
        <f>SUM('Budget Detail FY 2016-23'!R239:R244)</f>
        <v>421312</v>
      </c>
      <c r="J164" s="2">
        <f>SUM('Budget Detail FY 2016-23'!S239:S244)</f>
        <v>441734</v>
      </c>
      <c r="K164" s="2">
        <f>SUM('Budget Detail FY 2016-23'!T239:T244)</f>
        <v>462577</v>
      </c>
    </row>
    <row r="165" spans="2:11" ht="20.100000000000001" customHeight="1">
      <c r="B165" s="15" t="s">
        <v>693</v>
      </c>
      <c r="C165" s="2">
        <f>SUM('Budget Detail FY 2016-23'!L245:L267)</f>
        <v>2408252</v>
      </c>
      <c r="D165" s="2">
        <f>SUM('Budget Detail FY 2016-23'!M245:M267)</f>
        <v>2770751</v>
      </c>
      <c r="E165" s="2">
        <f>SUM('Budget Detail FY 2016-23'!N245:N267)</f>
        <v>2822006</v>
      </c>
      <c r="F165" s="2">
        <f>SUM('Budget Detail FY 2016-23'!O245:O267)</f>
        <v>2995870</v>
      </c>
      <c r="G165" s="2">
        <f>SUM('Budget Detail FY 2016-23'!P245:P267)</f>
        <v>2945232</v>
      </c>
      <c r="H165" s="2">
        <f>SUM('Budget Detail FY 2016-23'!Q245:Q267)</f>
        <v>2970507</v>
      </c>
      <c r="I165" s="2">
        <f>SUM('Budget Detail FY 2016-23'!R245:R267)</f>
        <v>3002709</v>
      </c>
      <c r="J165" s="2">
        <f>SUM('Budget Detail FY 2016-23'!S245:S267)</f>
        <v>3046681</v>
      </c>
      <c r="K165" s="2">
        <f>SUM('Budget Detail FY 2016-23'!T245:T267)</f>
        <v>2957483</v>
      </c>
    </row>
    <row r="166" spans="2:11" ht="20.100000000000001" customHeight="1">
      <c r="B166" s="15" t="s">
        <v>694</v>
      </c>
      <c r="C166" s="2">
        <f>'Budget Detail FY 2016-23'!L268</f>
        <v>27873</v>
      </c>
      <c r="D166" s="2">
        <f>'Budget Detail FY 2016-23'!M268</f>
        <v>11106</v>
      </c>
      <c r="E166" s="2">
        <f>'Budget Detail FY 2016-23'!N268</f>
        <v>5000</v>
      </c>
      <c r="F166" s="2">
        <f>'Budget Detail FY 2016-23'!O268</f>
        <v>15000</v>
      </c>
      <c r="G166" s="2">
        <f>'Budget Detail FY 2016-23'!P268</f>
        <v>15000</v>
      </c>
      <c r="H166" s="2">
        <f>'Budget Detail FY 2016-23'!Q268</f>
        <v>15000</v>
      </c>
      <c r="I166" s="2">
        <f>'Budget Detail FY 2016-23'!R268</f>
        <v>15000</v>
      </c>
      <c r="J166" s="2">
        <f>'Budget Detail FY 2016-23'!S268</f>
        <v>15000</v>
      </c>
      <c r="K166" s="2">
        <f>'Budget Detail FY 2016-23'!T268</f>
        <v>15000</v>
      </c>
    </row>
    <row r="167" spans="2:11" ht="20.100000000000001" customHeight="1">
      <c r="B167" s="15" t="s">
        <v>696</v>
      </c>
      <c r="C167" s="2">
        <f>SUM('Budget Detail FY 2016-23'!L269:L275)</f>
        <v>2448123</v>
      </c>
      <c r="D167" s="2">
        <f>SUM('Budget Detail FY 2016-23'!M269:M275)</f>
        <v>2649065</v>
      </c>
      <c r="E167" s="2">
        <f>SUM('Budget Detail FY 2016-23'!N269:N275)</f>
        <v>2948210</v>
      </c>
      <c r="F167" s="2">
        <f>SUM('Budget Detail FY 2016-23'!O269:O275)</f>
        <v>3030682</v>
      </c>
      <c r="G167" s="2">
        <f>SUM('Budget Detail FY 2016-23'!P269:P275)</f>
        <v>2725186</v>
      </c>
      <c r="H167" s="2">
        <f>SUM('Budget Detail FY 2016-23'!Q269:Q275)</f>
        <v>2434185</v>
      </c>
      <c r="I167" s="2">
        <f>SUM('Budget Detail FY 2016-23'!R269:R275)</f>
        <v>2471283</v>
      </c>
      <c r="J167" s="2">
        <f>SUM('Budget Detail FY 2016-23'!S269:S275)</f>
        <v>2946296</v>
      </c>
      <c r="K167" s="2">
        <f>SUM('Budget Detail FY 2016-23'!T269:T275)</f>
        <v>3163551</v>
      </c>
    </row>
    <row r="168" spans="2:11" s="113" customFormat="1" ht="20.100000000000001" customHeight="1" thickBot="1">
      <c r="B168" s="115" t="s">
        <v>839</v>
      </c>
      <c r="C168" s="80">
        <f t="shared" ref="C168:K168" si="5">SUM(C163:C167)</f>
        <v>5217172</v>
      </c>
      <c r="D168" s="80">
        <f t="shared" si="5"/>
        <v>5763401</v>
      </c>
      <c r="E168" s="80">
        <f t="shared" si="5"/>
        <v>6173391</v>
      </c>
      <c r="F168" s="80">
        <f t="shared" si="5"/>
        <v>6395361</v>
      </c>
      <c r="G168" s="80">
        <f t="shared" si="5"/>
        <v>6061526</v>
      </c>
      <c r="H168" s="80">
        <f t="shared" si="5"/>
        <v>5817954</v>
      </c>
      <c r="I168" s="80">
        <f t="shared" si="5"/>
        <v>5910804</v>
      </c>
      <c r="J168" s="80">
        <f t="shared" si="5"/>
        <v>6450211</v>
      </c>
      <c r="K168" s="80">
        <f t="shared" si="5"/>
        <v>6599111</v>
      </c>
    </row>
    <row r="169" spans="2:11" ht="15.75" thickTop="1">
      <c r="B169" s="10"/>
      <c r="C169" s="44"/>
      <c r="D169" s="44"/>
      <c r="E169" s="44"/>
      <c r="F169" s="53"/>
      <c r="G169" s="53"/>
      <c r="H169" s="53"/>
      <c r="I169" s="53"/>
      <c r="J169" s="53"/>
      <c r="K169" s="53"/>
    </row>
    <row r="170" spans="2:11" ht="15">
      <c r="B170" s="10"/>
      <c r="C170" s="44"/>
      <c r="D170" s="44"/>
      <c r="E170" s="44"/>
      <c r="F170" s="53"/>
      <c r="G170" s="53"/>
      <c r="H170" s="53"/>
      <c r="I170" s="53"/>
      <c r="J170" s="53"/>
      <c r="K170" s="53"/>
    </row>
    <row r="171" spans="2:11" ht="15">
      <c r="B171" s="10"/>
      <c r="C171" s="44"/>
      <c r="D171" s="44"/>
      <c r="E171" s="44"/>
      <c r="F171" s="53"/>
      <c r="G171" s="53"/>
      <c r="H171" s="53"/>
      <c r="I171" s="53"/>
      <c r="J171" s="53"/>
      <c r="K171" s="53"/>
    </row>
    <row r="172" spans="2:11" ht="15">
      <c r="B172" s="10"/>
      <c r="C172" s="44"/>
      <c r="D172" s="44"/>
      <c r="E172" s="44"/>
      <c r="F172" s="53"/>
      <c r="G172" s="53"/>
      <c r="H172" s="53"/>
      <c r="I172" s="53"/>
      <c r="J172" s="53"/>
      <c r="K172" s="53"/>
    </row>
    <row r="173" spans="2:11" ht="15">
      <c r="B173" s="10"/>
      <c r="C173" s="44"/>
      <c r="D173" s="44"/>
      <c r="E173" s="44"/>
      <c r="F173" s="53"/>
      <c r="G173" s="53"/>
      <c r="H173" s="53"/>
      <c r="I173" s="53"/>
      <c r="J173" s="53"/>
      <c r="K173" s="53"/>
    </row>
    <row r="174" spans="2:11" ht="15">
      <c r="B174" s="10"/>
      <c r="C174" s="44"/>
      <c r="D174" s="44"/>
      <c r="E174" s="44"/>
      <c r="F174" s="53"/>
      <c r="G174" s="53"/>
      <c r="H174" s="53"/>
      <c r="I174" s="53"/>
      <c r="J174" s="53"/>
      <c r="K174" s="53"/>
    </row>
    <row r="175" spans="2:11" ht="15">
      <c r="B175" s="10"/>
      <c r="C175" s="44"/>
      <c r="D175" s="44"/>
      <c r="E175" s="44"/>
      <c r="F175" s="53"/>
      <c r="G175" s="53"/>
      <c r="H175" s="53"/>
      <c r="I175" s="53"/>
      <c r="J175" s="53"/>
      <c r="K175" s="53"/>
    </row>
    <row r="176" spans="2:11" ht="12.75" customHeight="1">
      <c r="B176" s="10"/>
      <c r="C176" s="44"/>
      <c r="D176" s="44"/>
      <c r="E176" s="44"/>
      <c r="F176" s="53"/>
      <c r="G176" s="53"/>
      <c r="H176" s="53"/>
      <c r="I176" s="53"/>
      <c r="J176" s="53"/>
      <c r="K176" s="53"/>
    </row>
    <row r="177" spans="2:11" ht="18" customHeight="1">
      <c r="B177" s="10"/>
      <c r="C177" s="44"/>
      <c r="D177" s="44"/>
      <c r="E177" s="44"/>
      <c r="F177" s="53"/>
      <c r="G177" s="53"/>
      <c r="H177" s="53"/>
      <c r="I177" s="53"/>
      <c r="J177" s="53"/>
      <c r="K177" s="53"/>
    </row>
    <row r="178" spans="2:11" ht="15">
      <c r="B178" s="10"/>
      <c r="C178" s="44"/>
      <c r="D178" s="44"/>
      <c r="E178" s="44"/>
      <c r="F178" s="53"/>
      <c r="G178" s="53"/>
      <c r="H178" s="53"/>
      <c r="I178" s="53"/>
      <c r="J178" s="53"/>
      <c r="K178" s="53"/>
    </row>
    <row r="179" spans="2:11" ht="15">
      <c r="B179" s="10"/>
      <c r="C179" s="44"/>
      <c r="D179" s="44"/>
      <c r="E179" s="44"/>
      <c r="F179" s="53"/>
      <c r="G179" s="53"/>
      <c r="H179" s="53"/>
      <c r="I179" s="53"/>
      <c r="J179" s="53"/>
      <c r="K179" s="53"/>
    </row>
    <row r="180" spans="2:11" ht="15">
      <c r="B180" s="10"/>
      <c r="C180" s="44"/>
      <c r="D180" s="44"/>
      <c r="E180" s="44"/>
      <c r="F180" s="53"/>
      <c r="G180" s="53"/>
      <c r="H180" s="53"/>
      <c r="I180" s="53"/>
      <c r="J180" s="53"/>
      <c r="K180" s="53"/>
    </row>
    <row r="181" spans="2:11" ht="15">
      <c r="B181" s="10"/>
      <c r="C181" s="44"/>
      <c r="D181" s="44"/>
      <c r="E181" s="44"/>
      <c r="F181" s="53"/>
      <c r="G181" s="53"/>
      <c r="H181" s="53"/>
      <c r="I181" s="53"/>
      <c r="J181" s="53"/>
      <c r="K181" s="53"/>
    </row>
    <row r="182" spans="2:11" ht="15">
      <c r="B182" s="10"/>
      <c r="C182" s="44"/>
      <c r="D182" s="44"/>
      <c r="E182" s="44"/>
      <c r="F182" s="53"/>
      <c r="G182" s="53"/>
      <c r="H182" s="53"/>
      <c r="I182" s="53"/>
      <c r="J182" s="53"/>
      <c r="K182" s="53"/>
    </row>
    <row r="183" spans="2:11" ht="15">
      <c r="B183" s="10"/>
      <c r="C183" s="44"/>
      <c r="D183" s="44"/>
      <c r="E183" s="44"/>
      <c r="F183" s="53"/>
      <c r="G183" s="53"/>
      <c r="H183" s="53"/>
      <c r="I183" s="53"/>
      <c r="J183" s="53"/>
      <c r="K183" s="53"/>
    </row>
    <row r="184" spans="2:11" ht="15">
      <c r="B184" s="10"/>
      <c r="C184" s="44"/>
      <c r="D184" s="44"/>
      <c r="E184" s="44"/>
      <c r="F184" s="53"/>
      <c r="G184" s="53"/>
      <c r="H184" s="53"/>
      <c r="I184" s="53"/>
      <c r="J184" s="53"/>
      <c r="K184" s="53"/>
    </row>
    <row r="185" spans="2:11" ht="15">
      <c r="B185" s="10"/>
      <c r="C185" s="44"/>
      <c r="D185" s="44"/>
      <c r="E185" s="44"/>
      <c r="F185" s="53"/>
      <c r="G185" s="53"/>
      <c r="H185" s="53"/>
      <c r="I185" s="53"/>
      <c r="J185" s="53"/>
      <c r="K185" s="53"/>
    </row>
    <row r="186" spans="2:11" ht="15">
      <c r="B186" s="16"/>
      <c r="C186" s="19"/>
      <c r="D186" s="19"/>
      <c r="E186" s="19"/>
      <c r="F186" s="19"/>
      <c r="G186" s="19"/>
      <c r="H186" s="19"/>
      <c r="I186" s="19"/>
      <c r="J186" s="19"/>
      <c r="K186" s="19"/>
    </row>
    <row r="187" spans="2:11" ht="15">
      <c r="B187" s="16"/>
      <c r="C187" s="19"/>
      <c r="D187" s="19"/>
      <c r="E187" s="19"/>
      <c r="F187" s="19"/>
      <c r="G187" s="19"/>
      <c r="H187" s="19"/>
      <c r="I187" s="19"/>
      <c r="J187" s="19"/>
      <c r="K187" s="19"/>
    </row>
    <row r="188" spans="2:11" ht="15">
      <c r="B188" s="17"/>
      <c r="C188" s="19"/>
      <c r="D188" s="19"/>
      <c r="E188" s="19"/>
      <c r="F188" s="19"/>
      <c r="G188" s="19"/>
      <c r="H188" s="19"/>
      <c r="I188" s="19"/>
      <c r="J188" s="19"/>
      <c r="K188" s="19"/>
    </row>
    <row r="189" spans="2:11" ht="15">
      <c r="B189" s="17"/>
      <c r="C189" s="19"/>
      <c r="D189" s="19"/>
      <c r="E189" s="19"/>
      <c r="F189" s="19"/>
      <c r="G189" s="19"/>
      <c r="H189" s="19"/>
      <c r="I189" s="19"/>
      <c r="J189" s="19"/>
      <c r="K189" s="19"/>
    </row>
    <row r="190" spans="2:11" ht="15">
      <c r="B190" s="32"/>
      <c r="C190" s="19"/>
      <c r="D190" s="19"/>
      <c r="E190" s="19"/>
      <c r="F190" s="19"/>
      <c r="G190" s="19"/>
      <c r="H190" s="19"/>
      <c r="I190" s="19"/>
      <c r="J190" s="19"/>
      <c r="K190" s="19"/>
    </row>
    <row r="191" spans="2:11" ht="15">
      <c r="B191" s="18"/>
      <c r="C191" s="19"/>
      <c r="D191" s="19"/>
      <c r="E191" s="19"/>
      <c r="F191" s="19"/>
      <c r="G191" s="19"/>
      <c r="H191" s="19"/>
      <c r="I191" s="19"/>
      <c r="J191" s="19"/>
      <c r="K191" s="19"/>
    </row>
    <row r="192" spans="2:11" ht="15">
      <c r="B192" s="18"/>
      <c r="C192" s="19"/>
      <c r="D192" s="19"/>
      <c r="E192" s="19"/>
      <c r="F192" s="19"/>
      <c r="G192" s="19"/>
      <c r="H192" s="19"/>
      <c r="I192" s="19"/>
      <c r="J192" s="19"/>
      <c r="K192" s="19"/>
    </row>
    <row r="193" spans="2:11" ht="15">
      <c r="B193" s="13"/>
      <c r="C193" s="19"/>
      <c r="D193" s="19"/>
      <c r="E193" s="19"/>
      <c r="F193" s="19"/>
      <c r="G193" s="19"/>
      <c r="H193" s="19"/>
      <c r="I193" s="19"/>
      <c r="J193" s="19"/>
      <c r="K193" s="19"/>
    </row>
    <row r="194" spans="2:11" ht="15">
      <c r="B194" s="13"/>
      <c r="C194" s="19"/>
      <c r="D194" s="19"/>
      <c r="E194" s="19"/>
      <c r="F194" s="19"/>
      <c r="G194" s="19"/>
      <c r="H194" s="19"/>
      <c r="I194" s="19"/>
      <c r="J194" s="19"/>
      <c r="K194" s="19"/>
    </row>
    <row r="195" spans="2:11" ht="15">
      <c r="B195" s="13"/>
      <c r="C195" s="19"/>
      <c r="D195" s="19"/>
      <c r="E195" s="19"/>
      <c r="F195" s="19"/>
      <c r="G195" s="19"/>
      <c r="H195" s="19"/>
      <c r="I195" s="19"/>
      <c r="J195" s="19"/>
      <c r="K195" s="19"/>
    </row>
    <row r="196" spans="2:11" ht="15">
      <c r="B196" s="13"/>
      <c r="C196" s="19"/>
      <c r="D196" s="19"/>
      <c r="E196" s="19"/>
      <c r="F196" s="19"/>
      <c r="G196" s="19"/>
      <c r="H196" s="19"/>
      <c r="I196" s="19"/>
      <c r="J196" s="19"/>
      <c r="K196" s="19"/>
    </row>
    <row r="197" spans="2:11" ht="15">
      <c r="B197" s="13"/>
      <c r="C197" s="19"/>
      <c r="D197" s="19"/>
      <c r="E197" s="19"/>
      <c r="F197" s="19"/>
      <c r="G197" s="19"/>
      <c r="H197" s="19"/>
      <c r="I197" s="19"/>
      <c r="J197" s="19"/>
      <c r="K197" s="19"/>
    </row>
    <row r="198" spans="2:11" ht="15">
      <c r="B198" s="13"/>
      <c r="C198" s="19"/>
      <c r="D198" s="19"/>
      <c r="E198" s="19"/>
      <c r="F198" s="19"/>
      <c r="G198" s="19"/>
      <c r="H198" s="19"/>
      <c r="I198" s="19"/>
      <c r="J198" s="19"/>
      <c r="K198" s="19"/>
    </row>
    <row r="199" spans="2:11" ht="15">
      <c r="B199" s="13"/>
      <c r="C199" s="19"/>
      <c r="D199" s="19"/>
      <c r="E199" s="19"/>
      <c r="F199" s="19"/>
      <c r="G199" s="19"/>
      <c r="H199" s="19"/>
      <c r="I199" s="19"/>
      <c r="J199" s="19"/>
      <c r="K199" s="19"/>
    </row>
    <row r="200" spans="2:11" ht="15">
      <c r="B200" s="13"/>
      <c r="C200" s="19"/>
      <c r="D200" s="19"/>
      <c r="E200" s="19"/>
      <c r="F200" s="19"/>
      <c r="G200" s="19"/>
      <c r="H200" s="19"/>
      <c r="I200" s="19"/>
      <c r="J200" s="19"/>
      <c r="K200" s="19"/>
    </row>
    <row r="201" spans="2:11" ht="15">
      <c r="B201" s="13"/>
      <c r="C201" s="19"/>
      <c r="D201" s="19"/>
      <c r="E201" s="19"/>
      <c r="F201" s="19"/>
      <c r="G201" s="19"/>
      <c r="H201" s="19"/>
      <c r="I201" s="19"/>
      <c r="J201" s="19"/>
      <c r="K201" s="19"/>
    </row>
    <row r="202" spans="2:11" ht="15">
      <c r="B202" s="13"/>
      <c r="C202" s="19"/>
      <c r="D202" s="19"/>
      <c r="E202" s="19"/>
      <c r="F202" s="19"/>
      <c r="G202" s="19"/>
      <c r="H202" s="19"/>
      <c r="I202" s="19"/>
      <c r="J202" s="19"/>
      <c r="K202" s="19"/>
    </row>
    <row r="205" spans="2:11" ht="18.75">
      <c r="B205" s="888"/>
      <c r="C205" s="888"/>
      <c r="D205" s="888"/>
      <c r="E205" s="888"/>
      <c r="F205" s="888"/>
      <c r="G205" s="888"/>
      <c r="H205" s="888"/>
      <c r="I205" s="888"/>
      <c r="J205" s="888"/>
      <c r="K205" s="25"/>
    </row>
    <row r="206" spans="2:11" ht="15">
      <c r="B206" s="26"/>
      <c r="C206" s="19"/>
      <c r="D206" s="19"/>
      <c r="E206" s="19"/>
      <c r="F206" s="19"/>
      <c r="G206" s="19"/>
      <c r="H206" s="19"/>
      <c r="I206" s="19"/>
      <c r="J206" s="19"/>
      <c r="K206" s="19"/>
    </row>
    <row r="207" spans="2:11">
      <c r="B207" s="890"/>
      <c r="C207" s="890"/>
      <c r="D207" s="890"/>
      <c r="E207" s="890"/>
      <c r="F207" s="890"/>
      <c r="G207" s="890"/>
      <c r="H207" s="890"/>
      <c r="I207" s="890"/>
      <c r="J207" s="890"/>
      <c r="K207" s="25"/>
    </row>
    <row r="208" spans="2:11" ht="20.25" customHeight="1">
      <c r="B208" s="890"/>
      <c r="C208" s="890"/>
      <c r="D208" s="890"/>
      <c r="E208" s="890"/>
      <c r="F208" s="890"/>
      <c r="G208" s="890"/>
      <c r="H208" s="890"/>
      <c r="I208" s="890"/>
      <c r="J208" s="890"/>
      <c r="K208" s="25"/>
    </row>
    <row r="209" spans="2:11" ht="15">
      <c r="B209" s="27"/>
      <c r="C209" s="28"/>
      <c r="D209" s="28"/>
      <c r="E209" s="28"/>
      <c r="F209" s="28"/>
      <c r="G209" s="28"/>
      <c r="H209" s="19"/>
      <c r="I209" s="19"/>
      <c r="J209" s="19"/>
      <c r="K209" s="19"/>
    </row>
    <row r="210" spans="2:11" ht="15">
      <c r="B210" s="29"/>
      <c r="C210" s="19"/>
      <c r="D210" s="22"/>
      <c r="E210" s="22"/>
      <c r="F210" s="22"/>
      <c r="G210" s="19"/>
      <c r="H210" s="19"/>
      <c r="I210" s="19"/>
      <c r="J210" s="19"/>
      <c r="K210" s="19"/>
    </row>
    <row r="211" spans="2:11" ht="15">
      <c r="B211" s="20"/>
      <c r="C211" s="22"/>
      <c r="D211" s="22"/>
      <c r="E211" s="22"/>
      <c r="F211" s="22"/>
      <c r="G211" s="22"/>
      <c r="H211" s="22"/>
      <c r="I211" s="22"/>
      <c r="J211" s="22"/>
      <c r="K211" s="22"/>
    </row>
    <row r="212" spans="2:11" ht="15">
      <c r="B212" s="13"/>
      <c r="C212" s="22"/>
      <c r="D212" s="22"/>
      <c r="E212" s="31"/>
      <c r="F212" s="31"/>
      <c r="G212" s="31"/>
      <c r="H212" s="31"/>
      <c r="I212" s="31"/>
      <c r="J212" s="31"/>
      <c r="K212" s="31"/>
    </row>
    <row r="213" spans="2:11" ht="15">
      <c r="B213" s="13"/>
      <c r="C213" s="22"/>
      <c r="D213" s="19"/>
      <c r="E213" s="19"/>
      <c r="F213" s="19"/>
      <c r="G213" s="19"/>
      <c r="H213" s="19"/>
      <c r="I213" s="19"/>
      <c r="J213" s="19"/>
      <c r="K213" s="19"/>
    </row>
    <row r="214" spans="2:11" ht="15">
      <c r="B214" s="32"/>
      <c r="C214" s="19"/>
      <c r="D214" s="19"/>
      <c r="E214" s="19"/>
      <c r="F214" s="19"/>
      <c r="G214" s="19"/>
      <c r="H214" s="19"/>
      <c r="I214" s="19"/>
      <c r="J214" s="19"/>
      <c r="K214" s="19"/>
    </row>
    <row r="215" spans="2:11" ht="15">
      <c r="B215" s="34"/>
      <c r="C215" s="19"/>
      <c r="D215" s="19"/>
      <c r="E215" s="19"/>
      <c r="F215" s="19"/>
      <c r="G215" s="19"/>
      <c r="H215" s="19"/>
      <c r="I215" s="19"/>
      <c r="J215" s="19"/>
      <c r="K215" s="19"/>
    </row>
    <row r="216" spans="2:11" ht="15">
      <c r="B216" s="34"/>
      <c r="C216" s="19"/>
      <c r="D216" s="19"/>
      <c r="E216" s="19"/>
      <c r="F216" s="19"/>
      <c r="G216" s="19"/>
      <c r="H216" s="19"/>
      <c r="I216" s="19"/>
      <c r="J216" s="19"/>
      <c r="K216" s="19"/>
    </row>
    <row r="217" spans="2:11" ht="15">
      <c r="B217" s="34"/>
      <c r="C217" s="19"/>
      <c r="D217" s="19"/>
      <c r="E217" s="19"/>
      <c r="F217" s="19"/>
      <c r="G217" s="19"/>
      <c r="H217" s="19"/>
      <c r="I217" s="19"/>
      <c r="J217" s="19"/>
      <c r="K217" s="19"/>
    </row>
    <row r="218" spans="2:11" ht="15">
      <c r="B218" s="34"/>
      <c r="C218" s="19"/>
      <c r="D218" s="19"/>
      <c r="E218" s="19"/>
      <c r="F218" s="19"/>
      <c r="G218" s="19"/>
      <c r="H218" s="19"/>
      <c r="I218" s="19"/>
      <c r="J218" s="19"/>
      <c r="K218" s="19"/>
    </row>
    <row r="219" spans="2:11" ht="15">
      <c r="B219" s="16"/>
      <c r="C219" s="19"/>
      <c r="D219" s="19"/>
      <c r="E219" s="19"/>
      <c r="F219" s="19"/>
      <c r="G219" s="19"/>
      <c r="H219" s="19"/>
      <c r="I219" s="19"/>
      <c r="J219" s="19"/>
      <c r="K219" s="19"/>
    </row>
    <row r="220" spans="2:11" ht="15">
      <c r="B220" s="13"/>
      <c r="C220" s="19"/>
      <c r="D220" s="19"/>
      <c r="E220" s="19"/>
      <c r="F220" s="19"/>
      <c r="G220" s="19"/>
      <c r="H220" s="19"/>
      <c r="I220" s="19"/>
      <c r="J220" s="19"/>
      <c r="K220" s="19"/>
    </row>
    <row r="221" spans="2:11" ht="15">
      <c r="B221" s="32"/>
      <c r="C221" s="19"/>
      <c r="D221" s="19"/>
      <c r="E221" s="19"/>
      <c r="F221" s="19"/>
      <c r="G221" s="19"/>
      <c r="H221" s="19"/>
      <c r="I221" s="19"/>
      <c r="J221" s="19"/>
      <c r="K221" s="19"/>
    </row>
    <row r="222" spans="2:11" ht="15">
      <c r="B222" s="15"/>
      <c r="C222" s="19"/>
      <c r="D222" s="19"/>
      <c r="E222" s="19"/>
      <c r="F222" s="19"/>
      <c r="G222" s="19"/>
      <c r="H222" s="19"/>
      <c r="I222" s="19"/>
      <c r="J222" s="19"/>
      <c r="K222" s="19"/>
    </row>
    <row r="223" spans="2:11" ht="15">
      <c r="B223" s="15"/>
      <c r="C223" s="19"/>
      <c r="D223" s="19"/>
      <c r="E223" s="19"/>
      <c r="F223" s="19"/>
      <c r="G223" s="19"/>
      <c r="H223" s="19"/>
      <c r="I223" s="19"/>
      <c r="J223" s="19"/>
      <c r="K223" s="19"/>
    </row>
    <row r="224" spans="2:11" ht="15">
      <c r="B224" s="16"/>
      <c r="C224" s="19"/>
      <c r="D224" s="19"/>
      <c r="E224" s="19"/>
      <c r="F224" s="19"/>
      <c r="G224" s="19"/>
      <c r="H224" s="19"/>
      <c r="I224" s="19"/>
      <c r="J224" s="19"/>
      <c r="K224" s="19"/>
    </row>
    <row r="225" spans="2:11" ht="15">
      <c r="B225" s="16"/>
      <c r="C225" s="19"/>
      <c r="D225" s="19"/>
      <c r="E225" s="19"/>
      <c r="F225" s="19"/>
      <c r="G225" s="19"/>
      <c r="H225" s="19"/>
      <c r="I225" s="19"/>
      <c r="J225" s="19"/>
      <c r="K225" s="19"/>
    </row>
    <row r="226" spans="2:11" ht="15">
      <c r="B226" s="17"/>
      <c r="C226" s="19"/>
      <c r="D226" s="19"/>
      <c r="E226" s="19"/>
      <c r="F226" s="19"/>
      <c r="G226" s="19"/>
      <c r="H226" s="19"/>
      <c r="I226" s="19"/>
      <c r="J226" s="19"/>
      <c r="K226" s="19"/>
    </row>
    <row r="227" spans="2:11" ht="15">
      <c r="B227" s="17"/>
      <c r="C227" s="19"/>
      <c r="D227" s="19"/>
      <c r="E227" s="19"/>
      <c r="F227" s="19"/>
      <c r="G227" s="19"/>
      <c r="H227" s="19"/>
      <c r="I227" s="19"/>
      <c r="J227" s="19"/>
      <c r="K227" s="19"/>
    </row>
    <row r="228" spans="2:11" ht="15">
      <c r="B228" s="32"/>
      <c r="C228" s="19"/>
      <c r="D228" s="19"/>
      <c r="E228" s="19"/>
      <c r="F228" s="19"/>
      <c r="G228" s="19"/>
      <c r="H228" s="19"/>
      <c r="I228" s="19"/>
      <c r="J228" s="19"/>
      <c r="K228" s="19"/>
    </row>
    <row r="229" spans="2:11" ht="15">
      <c r="B229" s="18"/>
      <c r="C229" s="19"/>
      <c r="D229" s="19"/>
      <c r="E229" s="19"/>
      <c r="F229" s="19"/>
      <c r="G229" s="19"/>
      <c r="H229" s="19"/>
      <c r="I229" s="19"/>
      <c r="J229" s="19"/>
      <c r="K229" s="19"/>
    </row>
    <row r="230" spans="2:11" ht="15">
      <c r="B230" s="13"/>
      <c r="C230" s="19"/>
      <c r="D230" s="19"/>
      <c r="E230" s="19"/>
      <c r="F230" s="19"/>
      <c r="G230" s="19"/>
      <c r="H230" s="19"/>
      <c r="I230" s="19"/>
      <c r="J230" s="19"/>
      <c r="K230" s="19"/>
    </row>
    <row r="231" spans="2:11" ht="15">
      <c r="B231" s="13"/>
      <c r="C231" s="19"/>
      <c r="D231" s="19"/>
      <c r="E231" s="19"/>
      <c r="F231" s="19"/>
      <c r="G231" s="19"/>
      <c r="H231" s="19"/>
      <c r="I231" s="19"/>
      <c r="J231" s="19"/>
      <c r="K231" s="19"/>
    </row>
    <row r="232" spans="2:11" ht="15">
      <c r="B232" s="13"/>
      <c r="C232" s="19"/>
      <c r="D232" s="19"/>
      <c r="E232" s="19"/>
      <c r="F232" s="19"/>
      <c r="G232" s="19"/>
      <c r="H232" s="19"/>
      <c r="I232" s="19"/>
      <c r="J232" s="19"/>
      <c r="K232" s="19"/>
    </row>
    <row r="233" spans="2:11" ht="15">
      <c r="B233" s="13"/>
      <c r="C233" s="19"/>
      <c r="D233" s="19"/>
      <c r="E233" s="19"/>
      <c r="F233" s="19"/>
      <c r="G233" s="19"/>
      <c r="H233" s="19"/>
      <c r="I233" s="19"/>
      <c r="J233" s="19"/>
      <c r="K233" s="19"/>
    </row>
    <row r="234" spans="2:11" ht="15">
      <c r="B234" s="13"/>
      <c r="C234" s="19"/>
      <c r="D234" s="19"/>
      <c r="E234" s="19"/>
      <c r="F234" s="19"/>
      <c r="G234" s="19"/>
      <c r="H234" s="19"/>
      <c r="I234" s="19"/>
      <c r="J234" s="19"/>
      <c r="K234" s="19"/>
    </row>
    <row r="235" spans="2:11" ht="15">
      <c r="B235" s="13"/>
      <c r="C235" s="19"/>
      <c r="D235" s="19"/>
      <c r="E235" s="19"/>
      <c r="F235" s="19"/>
      <c r="G235" s="19"/>
      <c r="H235" s="19"/>
      <c r="I235" s="19"/>
      <c r="J235" s="19"/>
      <c r="K235" s="19"/>
    </row>
    <row r="236" spans="2:11" ht="15">
      <c r="B236" s="13"/>
      <c r="C236" s="19"/>
      <c r="D236" s="19"/>
      <c r="E236" s="19"/>
      <c r="F236" s="19"/>
      <c r="G236" s="19"/>
      <c r="H236" s="19"/>
      <c r="I236" s="19"/>
      <c r="J236" s="19"/>
      <c r="K236" s="19"/>
    </row>
    <row r="237" spans="2:11" ht="15">
      <c r="B237" s="13"/>
      <c r="C237" s="19"/>
      <c r="D237" s="19"/>
      <c r="E237" s="19"/>
      <c r="F237" s="19"/>
      <c r="G237" s="19"/>
      <c r="H237" s="19"/>
      <c r="I237" s="19"/>
      <c r="J237" s="19"/>
      <c r="K237" s="19"/>
    </row>
    <row r="238" spans="2:11" ht="15">
      <c r="B238" s="13"/>
      <c r="C238" s="19"/>
      <c r="D238" s="19"/>
      <c r="E238" s="19"/>
      <c r="F238" s="19"/>
      <c r="G238" s="19"/>
      <c r="H238" s="19"/>
      <c r="I238" s="19"/>
      <c r="J238" s="19"/>
      <c r="K238" s="19"/>
    </row>
    <row r="239" spans="2:11" ht="15">
      <c r="B239" s="13"/>
      <c r="C239" s="19"/>
      <c r="D239" s="19"/>
      <c r="E239" s="19"/>
      <c r="F239" s="19"/>
      <c r="G239" s="19"/>
      <c r="H239" s="19"/>
      <c r="I239" s="19"/>
      <c r="J239" s="19"/>
      <c r="K239" s="19"/>
    </row>
    <row r="240" spans="2:11" ht="15">
      <c r="B240" s="13"/>
      <c r="C240" s="19"/>
      <c r="D240" s="19"/>
      <c r="E240" s="19"/>
      <c r="F240" s="19"/>
      <c r="G240" s="19"/>
      <c r="H240" s="19"/>
      <c r="I240" s="19"/>
      <c r="J240" s="19"/>
      <c r="K240" s="19"/>
    </row>
    <row r="242" spans="2:11" ht="18.75">
      <c r="B242" s="888"/>
      <c r="C242" s="888"/>
      <c r="D242" s="888"/>
      <c r="E242" s="888"/>
      <c r="F242" s="888"/>
      <c r="G242" s="888"/>
      <c r="H242" s="888"/>
      <c r="I242" s="888"/>
      <c r="J242" s="888"/>
      <c r="K242" s="25"/>
    </row>
    <row r="243" spans="2:11" ht="15">
      <c r="B243" s="26"/>
      <c r="C243" s="19"/>
      <c r="D243" s="19"/>
      <c r="E243" s="19"/>
      <c r="F243" s="19"/>
      <c r="G243" s="19"/>
      <c r="H243" s="19"/>
      <c r="I243" s="19"/>
      <c r="J243" s="19"/>
      <c r="K243" s="19"/>
    </row>
    <row r="244" spans="2:11" ht="15">
      <c r="B244" s="890"/>
      <c r="C244" s="890"/>
      <c r="D244" s="890"/>
      <c r="E244" s="890"/>
      <c r="F244" s="890"/>
      <c r="G244" s="890"/>
      <c r="H244" s="890"/>
      <c r="I244" s="890"/>
      <c r="J244" s="890"/>
      <c r="K244" s="25"/>
    </row>
    <row r="245" spans="2:11" ht="15">
      <c r="B245" s="27"/>
      <c r="C245" s="28"/>
      <c r="D245" s="28"/>
      <c r="E245" s="28"/>
      <c r="F245" s="28"/>
      <c r="G245" s="28"/>
      <c r="H245" s="19"/>
      <c r="I245" s="19"/>
      <c r="J245" s="19"/>
      <c r="K245" s="19"/>
    </row>
    <row r="246" spans="2:11" ht="15">
      <c r="B246" s="29"/>
      <c r="C246" s="19"/>
      <c r="D246" s="22"/>
      <c r="E246" s="22"/>
      <c r="F246" s="22"/>
      <c r="G246" s="19"/>
      <c r="H246" s="19"/>
      <c r="I246" s="19"/>
      <c r="J246" s="19"/>
      <c r="K246" s="19"/>
    </row>
    <row r="247" spans="2:11" ht="15">
      <c r="B247" s="20"/>
      <c r="C247" s="22"/>
      <c r="D247" s="30"/>
      <c r="E247" s="22"/>
      <c r="F247" s="22"/>
      <c r="G247" s="22"/>
      <c r="H247" s="22"/>
      <c r="I247" s="22"/>
      <c r="J247" s="22"/>
      <c r="K247" s="22"/>
    </row>
    <row r="248" spans="2:11" ht="15">
      <c r="B248" s="13"/>
      <c r="C248" s="22"/>
      <c r="D248" s="22"/>
      <c r="E248" s="31"/>
      <c r="F248" s="31"/>
      <c r="G248" s="31"/>
      <c r="H248" s="31"/>
      <c r="I248" s="31"/>
      <c r="J248" s="31"/>
      <c r="K248" s="31"/>
    </row>
    <row r="249" spans="2:11" ht="15">
      <c r="B249" s="13"/>
      <c r="C249" s="22"/>
      <c r="D249" s="19"/>
      <c r="E249" s="19"/>
      <c r="F249" s="19"/>
      <c r="G249" s="19"/>
      <c r="H249" s="19"/>
      <c r="I249" s="19"/>
      <c r="J249" s="19"/>
      <c r="K249" s="19"/>
    </row>
    <row r="250" spans="2:11" ht="15">
      <c r="B250" s="32"/>
      <c r="C250" s="19"/>
      <c r="D250" s="19"/>
      <c r="E250" s="19"/>
      <c r="F250" s="19"/>
      <c r="G250" s="19"/>
      <c r="H250" s="19"/>
      <c r="I250" s="19"/>
      <c r="J250" s="19"/>
      <c r="K250" s="19"/>
    </row>
    <row r="251" spans="2:11" ht="15">
      <c r="B251" s="34"/>
      <c r="C251" s="19"/>
      <c r="D251" s="19"/>
      <c r="E251" s="19"/>
      <c r="F251" s="19"/>
      <c r="G251" s="19"/>
      <c r="H251" s="19"/>
      <c r="I251" s="19"/>
      <c r="J251" s="19"/>
      <c r="K251" s="19"/>
    </row>
    <row r="252" spans="2:11" ht="15">
      <c r="B252" s="34"/>
      <c r="C252" s="19"/>
      <c r="D252" s="19"/>
      <c r="E252" s="19"/>
      <c r="F252" s="19"/>
      <c r="G252" s="19"/>
      <c r="H252" s="19"/>
      <c r="I252" s="19"/>
      <c r="J252" s="19"/>
      <c r="K252" s="19"/>
    </row>
    <row r="253" spans="2:11" ht="15">
      <c r="B253" s="34"/>
      <c r="C253" s="19"/>
      <c r="D253" s="19"/>
      <c r="E253" s="19"/>
      <c r="F253" s="19"/>
      <c r="G253" s="19"/>
      <c r="H253" s="19"/>
      <c r="I253" s="19"/>
      <c r="J253" s="19"/>
      <c r="K253" s="19"/>
    </row>
    <row r="254" spans="2:11" ht="15">
      <c r="B254" s="34"/>
      <c r="C254" s="19"/>
      <c r="D254" s="19"/>
      <c r="E254" s="19"/>
      <c r="F254" s="19"/>
      <c r="G254" s="19"/>
      <c r="H254" s="19"/>
      <c r="I254" s="19"/>
      <c r="J254" s="19"/>
      <c r="K254" s="19"/>
    </row>
    <row r="255" spans="2:11" ht="15">
      <c r="B255" s="34"/>
      <c r="C255" s="19"/>
      <c r="D255" s="19"/>
      <c r="E255" s="19"/>
      <c r="F255" s="19"/>
      <c r="G255" s="19"/>
      <c r="H255" s="19"/>
      <c r="I255" s="19"/>
      <c r="J255" s="19"/>
      <c r="K255" s="19"/>
    </row>
    <row r="256" spans="2:11" ht="15">
      <c r="B256" s="34"/>
      <c r="C256" s="19"/>
      <c r="D256" s="19"/>
      <c r="E256" s="19"/>
      <c r="F256" s="19"/>
      <c r="G256" s="19"/>
      <c r="H256" s="19"/>
      <c r="I256" s="19"/>
      <c r="J256" s="19"/>
      <c r="K256" s="19"/>
    </row>
    <row r="257" spans="2:11" ht="15">
      <c r="B257" s="16"/>
      <c r="C257" s="19"/>
      <c r="D257" s="19"/>
      <c r="E257" s="19"/>
      <c r="F257" s="19"/>
      <c r="G257" s="19"/>
      <c r="H257" s="19"/>
      <c r="I257" s="19"/>
      <c r="J257" s="19"/>
      <c r="K257" s="19"/>
    </row>
    <row r="258" spans="2:11" ht="15">
      <c r="B258" s="13"/>
      <c r="C258" s="19"/>
      <c r="D258" s="19"/>
      <c r="E258" s="19"/>
      <c r="F258" s="19"/>
      <c r="G258" s="19"/>
      <c r="H258" s="19"/>
      <c r="I258" s="19"/>
      <c r="J258" s="19"/>
      <c r="K258" s="19"/>
    </row>
    <row r="259" spans="2:11" ht="15">
      <c r="B259" s="32"/>
      <c r="C259" s="19"/>
      <c r="D259" s="19"/>
      <c r="E259" s="19"/>
      <c r="F259" s="19"/>
      <c r="G259" s="19"/>
      <c r="H259" s="19"/>
      <c r="I259" s="19"/>
      <c r="J259" s="19"/>
      <c r="K259" s="19"/>
    </row>
    <row r="260" spans="2:11" ht="15">
      <c r="B260" s="15"/>
      <c r="C260" s="19"/>
      <c r="D260" s="19"/>
      <c r="E260" s="19"/>
      <c r="F260" s="19"/>
      <c r="G260" s="19"/>
      <c r="H260" s="19"/>
      <c r="I260" s="19"/>
      <c r="J260" s="19"/>
      <c r="K260" s="19"/>
    </row>
    <row r="261" spans="2:11" ht="15">
      <c r="B261" s="15"/>
      <c r="C261" s="19"/>
      <c r="D261" s="19"/>
      <c r="E261" s="19"/>
      <c r="F261" s="19"/>
      <c r="G261" s="19"/>
      <c r="H261" s="19"/>
      <c r="I261" s="19"/>
      <c r="J261" s="19"/>
      <c r="K261" s="19"/>
    </row>
    <row r="262" spans="2:11" ht="15">
      <c r="B262" s="15"/>
      <c r="C262" s="19"/>
      <c r="D262" s="19"/>
      <c r="E262" s="19"/>
      <c r="F262" s="19"/>
      <c r="G262" s="19"/>
      <c r="H262" s="19"/>
      <c r="I262" s="19"/>
      <c r="J262" s="19"/>
      <c r="K262" s="19"/>
    </row>
    <row r="263" spans="2:11" ht="15">
      <c r="B263" s="16"/>
      <c r="C263" s="19"/>
      <c r="D263" s="19"/>
      <c r="E263" s="19"/>
      <c r="F263" s="19"/>
      <c r="G263" s="19"/>
      <c r="H263" s="19"/>
      <c r="I263" s="19"/>
      <c r="J263" s="19"/>
      <c r="K263" s="19"/>
    </row>
    <row r="264" spans="2:11" ht="15">
      <c r="B264" s="16"/>
      <c r="C264" s="19"/>
      <c r="D264" s="19"/>
      <c r="E264" s="19"/>
      <c r="F264" s="19"/>
      <c r="G264" s="19"/>
      <c r="H264" s="19"/>
      <c r="I264" s="19"/>
      <c r="J264" s="19"/>
      <c r="K264" s="19"/>
    </row>
    <row r="265" spans="2:11" ht="15">
      <c r="B265" s="17"/>
      <c r="C265" s="19"/>
      <c r="D265" s="19"/>
      <c r="E265" s="19"/>
      <c r="F265" s="19"/>
      <c r="G265" s="19"/>
      <c r="H265" s="19"/>
      <c r="I265" s="19"/>
      <c r="J265" s="19"/>
      <c r="K265" s="19"/>
    </row>
    <row r="266" spans="2:11" ht="15">
      <c r="B266" s="17"/>
      <c r="C266" s="19"/>
      <c r="D266" s="19"/>
      <c r="E266" s="19"/>
      <c r="F266" s="19"/>
      <c r="G266" s="19"/>
      <c r="H266" s="19"/>
      <c r="I266" s="19"/>
      <c r="J266" s="19"/>
      <c r="K266" s="19"/>
    </row>
    <row r="267" spans="2:11" ht="15">
      <c r="B267" s="32"/>
      <c r="C267" s="19"/>
      <c r="D267" s="19"/>
      <c r="E267" s="19"/>
      <c r="F267" s="19"/>
      <c r="G267" s="19"/>
      <c r="H267" s="19"/>
      <c r="I267" s="19"/>
      <c r="J267" s="19"/>
      <c r="K267" s="19"/>
    </row>
    <row r="268" spans="2:11" ht="15">
      <c r="B268" s="18"/>
      <c r="C268" s="19"/>
      <c r="D268" s="19"/>
      <c r="E268" s="19"/>
      <c r="F268" s="19"/>
      <c r="G268" s="19"/>
      <c r="H268" s="19"/>
      <c r="I268" s="19"/>
      <c r="J268" s="19"/>
      <c r="K268" s="19"/>
    </row>
    <row r="269" spans="2:11" ht="15">
      <c r="B269" s="18"/>
      <c r="C269" s="19"/>
      <c r="D269" s="19"/>
      <c r="E269" s="19"/>
      <c r="F269" s="19"/>
      <c r="G269" s="19"/>
      <c r="H269" s="19"/>
      <c r="I269" s="19"/>
      <c r="J269" s="19"/>
      <c r="K269" s="19"/>
    </row>
    <row r="270" spans="2:11" ht="15">
      <c r="B270" s="13"/>
      <c r="C270" s="19"/>
      <c r="D270" s="19"/>
      <c r="E270" s="19"/>
      <c r="F270" s="19"/>
      <c r="G270" s="19"/>
      <c r="H270" s="19"/>
      <c r="I270" s="19"/>
      <c r="J270" s="19"/>
      <c r="K270" s="19"/>
    </row>
    <row r="271" spans="2:11" ht="15">
      <c r="B271" s="13"/>
      <c r="C271" s="19"/>
      <c r="D271" s="19"/>
      <c r="E271" s="19"/>
      <c r="F271" s="19"/>
      <c r="G271" s="19"/>
      <c r="H271" s="19"/>
      <c r="I271" s="19"/>
      <c r="J271" s="19"/>
      <c r="K271" s="19"/>
    </row>
    <row r="272" spans="2:11" ht="15">
      <c r="B272" s="13"/>
      <c r="C272" s="19"/>
      <c r="D272" s="19"/>
      <c r="E272" s="19"/>
      <c r="F272" s="19"/>
      <c r="G272" s="19"/>
      <c r="H272" s="19"/>
      <c r="I272" s="19"/>
      <c r="J272" s="19"/>
      <c r="K272" s="19"/>
    </row>
    <row r="273" spans="2:11" ht="15">
      <c r="B273" s="13"/>
      <c r="C273" s="19"/>
      <c r="D273" s="19"/>
      <c r="E273" s="19"/>
      <c r="F273" s="19"/>
      <c r="G273" s="19"/>
      <c r="H273" s="19"/>
      <c r="I273" s="19"/>
      <c r="J273" s="19"/>
      <c r="K273" s="19"/>
    </row>
    <row r="274" spans="2:11" ht="15">
      <c r="B274" s="13"/>
      <c r="C274" s="19"/>
      <c r="D274" s="19"/>
      <c r="E274" s="19"/>
      <c r="F274" s="19"/>
      <c r="G274" s="19"/>
      <c r="H274" s="19"/>
      <c r="I274" s="19"/>
      <c r="J274" s="19"/>
      <c r="K274" s="19"/>
    </row>
    <row r="275" spans="2:11" ht="15">
      <c r="B275" s="13"/>
      <c r="C275" s="19"/>
      <c r="D275" s="19"/>
      <c r="E275" s="19"/>
      <c r="F275" s="19"/>
      <c r="G275" s="19"/>
      <c r="H275" s="19"/>
      <c r="I275" s="19"/>
      <c r="J275" s="19"/>
      <c r="K275" s="19"/>
    </row>
    <row r="276" spans="2:11" ht="15">
      <c r="B276" s="13"/>
      <c r="C276" s="19"/>
      <c r="D276" s="19"/>
      <c r="E276" s="19"/>
      <c r="F276" s="19"/>
      <c r="G276" s="19"/>
      <c r="H276" s="19"/>
      <c r="I276" s="19"/>
      <c r="J276" s="19"/>
      <c r="K276" s="19"/>
    </row>
    <row r="277" spans="2:11" ht="15">
      <c r="B277" s="13"/>
      <c r="C277" s="19"/>
      <c r="D277" s="19"/>
      <c r="E277" s="19"/>
      <c r="F277" s="19"/>
      <c r="G277" s="19"/>
      <c r="H277" s="19"/>
      <c r="I277" s="19"/>
      <c r="J277" s="19"/>
      <c r="K277" s="19"/>
    </row>
    <row r="278" spans="2:11" ht="15">
      <c r="B278" s="13"/>
      <c r="C278" s="19"/>
      <c r="D278" s="19"/>
      <c r="E278" s="19"/>
      <c r="F278" s="19"/>
      <c r="G278" s="19"/>
      <c r="H278" s="19"/>
      <c r="I278" s="19"/>
      <c r="J278" s="19"/>
      <c r="K278" s="19"/>
    </row>
    <row r="279" spans="2:11" ht="15">
      <c r="B279" s="13"/>
      <c r="C279" s="19"/>
      <c r="D279" s="19"/>
      <c r="E279" s="19"/>
      <c r="F279" s="19"/>
      <c r="G279" s="19"/>
      <c r="H279" s="19"/>
      <c r="I279" s="19"/>
      <c r="J279" s="19"/>
      <c r="K279" s="19"/>
    </row>
    <row r="282" spans="2:11" ht="18.75">
      <c r="B282" s="888"/>
      <c r="C282" s="888"/>
      <c r="D282" s="888"/>
      <c r="E282" s="888"/>
      <c r="F282" s="888"/>
      <c r="G282" s="888"/>
      <c r="H282" s="888"/>
      <c r="I282" s="888"/>
      <c r="J282" s="888"/>
      <c r="K282" s="25"/>
    </row>
    <row r="283" spans="2:11" ht="15">
      <c r="B283" s="26"/>
      <c r="C283" s="19"/>
      <c r="D283" s="19"/>
      <c r="E283" s="19"/>
      <c r="F283" s="19"/>
      <c r="G283" s="19"/>
      <c r="H283" s="19"/>
      <c r="I283" s="19"/>
      <c r="J283" s="19"/>
      <c r="K283" s="19"/>
    </row>
    <row r="284" spans="2:11">
      <c r="B284" s="890"/>
      <c r="C284" s="890"/>
      <c r="D284" s="890"/>
      <c r="E284" s="890"/>
      <c r="F284" s="890"/>
      <c r="G284" s="890"/>
      <c r="H284" s="890"/>
      <c r="I284" s="890"/>
      <c r="J284" s="890"/>
      <c r="K284" s="25"/>
    </row>
    <row r="285" spans="2:11" ht="20.25" customHeight="1">
      <c r="B285" s="890"/>
      <c r="C285" s="890"/>
      <c r="D285" s="890"/>
      <c r="E285" s="890"/>
      <c r="F285" s="890"/>
      <c r="G285" s="890"/>
      <c r="H285" s="890"/>
      <c r="I285" s="890"/>
      <c r="J285" s="890"/>
      <c r="K285" s="25"/>
    </row>
    <row r="286" spans="2:11" ht="15">
      <c r="B286" s="27"/>
      <c r="C286" s="28"/>
      <c r="D286" s="28"/>
      <c r="E286" s="28"/>
      <c r="F286" s="28"/>
      <c r="G286" s="28"/>
      <c r="H286" s="28"/>
      <c r="I286" s="28"/>
      <c r="J286" s="28"/>
      <c r="K286" s="28"/>
    </row>
    <row r="287" spans="2:11" ht="15">
      <c r="B287" s="29"/>
      <c r="C287" s="19"/>
      <c r="D287" s="22"/>
      <c r="E287" s="19"/>
      <c r="F287" s="22"/>
      <c r="G287" s="19"/>
      <c r="H287" s="19"/>
      <c r="I287" s="19"/>
      <c r="J287" s="19"/>
      <c r="K287" s="19"/>
    </row>
    <row r="288" spans="2:11" ht="15">
      <c r="B288" s="20"/>
      <c r="C288" s="22"/>
      <c r="D288" s="22"/>
      <c r="E288" s="22"/>
      <c r="F288" s="22"/>
      <c r="G288" s="22"/>
      <c r="H288" s="22"/>
      <c r="I288" s="22"/>
      <c r="J288" s="22"/>
      <c r="K288" s="22"/>
    </row>
    <row r="289" spans="2:11" ht="15">
      <c r="B289" s="13"/>
      <c r="C289" s="22"/>
      <c r="D289" s="22"/>
      <c r="E289" s="31"/>
      <c r="F289" s="31"/>
      <c r="G289" s="31"/>
      <c r="H289" s="31"/>
      <c r="I289" s="31"/>
      <c r="J289" s="31"/>
      <c r="K289" s="31"/>
    </row>
    <row r="290" spans="2:11" ht="15">
      <c r="B290" s="13"/>
      <c r="C290" s="22"/>
      <c r="D290" s="19"/>
      <c r="E290" s="19"/>
      <c r="F290" s="19"/>
      <c r="G290" s="19"/>
      <c r="H290" s="19"/>
      <c r="I290" s="19"/>
      <c r="J290" s="19"/>
      <c r="K290" s="19"/>
    </row>
    <row r="291" spans="2:11" ht="15">
      <c r="B291" s="32"/>
      <c r="C291" s="19"/>
      <c r="D291" s="19"/>
      <c r="E291" s="19"/>
      <c r="F291" s="19"/>
      <c r="G291" s="19"/>
      <c r="H291" s="19"/>
      <c r="I291" s="19"/>
      <c r="J291" s="19"/>
      <c r="K291" s="19"/>
    </row>
    <row r="292" spans="2:11" ht="15">
      <c r="B292" s="33"/>
      <c r="C292" s="19"/>
      <c r="D292" s="19"/>
      <c r="E292" s="19"/>
      <c r="F292" s="19"/>
      <c r="G292" s="19"/>
      <c r="H292" s="19"/>
      <c r="I292" s="19"/>
      <c r="J292" s="19"/>
      <c r="K292" s="19"/>
    </row>
    <row r="293" spans="2:11" ht="15">
      <c r="B293" s="33"/>
      <c r="C293" s="19"/>
      <c r="D293" s="19"/>
      <c r="E293" s="19"/>
      <c r="F293" s="19"/>
      <c r="G293" s="19"/>
      <c r="H293" s="19"/>
      <c r="I293" s="19"/>
      <c r="J293" s="19"/>
      <c r="K293" s="19"/>
    </row>
    <row r="294" spans="2:11" ht="15">
      <c r="B294" s="34"/>
      <c r="C294" s="19"/>
      <c r="D294" s="19"/>
      <c r="E294" s="19"/>
      <c r="F294" s="19"/>
      <c r="G294" s="19"/>
      <c r="H294" s="19"/>
      <c r="I294" s="19"/>
      <c r="J294" s="19"/>
      <c r="K294" s="19"/>
    </row>
    <row r="295" spans="2:11" ht="15">
      <c r="B295" s="34"/>
      <c r="C295" s="19"/>
      <c r="D295" s="19"/>
      <c r="E295" s="19"/>
      <c r="F295" s="19"/>
      <c r="G295" s="19"/>
      <c r="H295" s="19"/>
      <c r="I295" s="19"/>
      <c r="J295" s="19"/>
      <c r="K295" s="19"/>
    </row>
    <row r="296" spans="2:11" ht="15">
      <c r="B296" s="16"/>
      <c r="C296" s="19"/>
      <c r="D296" s="19"/>
      <c r="E296" s="19"/>
      <c r="F296" s="19"/>
      <c r="G296" s="19"/>
      <c r="H296" s="19"/>
      <c r="I296" s="19"/>
      <c r="J296" s="19"/>
      <c r="K296" s="19"/>
    </row>
    <row r="297" spans="2:11" ht="15">
      <c r="B297" s="13"/>
      <c r="C297" s="19"/>
      <c r="D297" s="19"/>
      <c r="E297" s="19"/>
      <c r="F297" s="19"/>
      <c r="G297" s="19"/>
      <c r="H297" s="19"/>
      <c r="I297" s="19"/>
      <c r="J297" s="19"/>
      <c r="K297" s="19"/>
    </row>
    <row r="298" spans="2:11" ht="15">
      <c r="B298" s="32"/>
      <c r="C298" s="19"/>
      <c r="D298" s="19"/>
      <c r="E298" s="19"/>
      <c r="F298" s="19"/>
      <c r="G298" s="19"/>
      <c r="H298" s="19"/>
      <c r="I298" s="19"/>
      <c r="J298" s="19"/>
      <c r="K298" s="19"/>
    </row>
    <row r="299" spans="2:11" ht="15">
      <c r="B299" s="15"/>
      <c r="C299" s="19"/>
      <c r="D299" s="19"/>
      <c r="E299" s="19"/>
      <c r="F299" s="19"/>
      <c r="G299" s="19"/>
      <c r="H299" s="19"/>
      <c r="I299" s="19"/>
      <c r="J299" s="19"/>
      <c r="K299" s="19"/>
    </row>
    <row r="300" spans="2:11" ht="15">
      <c r="B300" s="15"/>
      <c r="C300" s="19"/>
      <c r="D300" s="19"/>
      <c r="E300" s="19"/>
      <c r="F300" s="19"/>
      <c r="G300" s="19"/>
      <c r="H300" s="19"/>
      <c r="I300" s="19"/>
      <c r="J300" s="19"/>
      <c r="K300" s="19"/>
    </row>
    <row r="301" spans="2:11" ht="15">
      <c r="B301" s="16"/>
      <c r="C301" s="19"/>
      <c r="D301" s="19"/>
      <c r="E301" s="19"/>
      <c r="F301" s="19"/>
      <c r="G301" s="19"/>
      <c r="H301" s="19"/>
      <c r="I301" s="19"/>
      <c r="J301" s="19"/>
      <c r="K301" s="19"/>
    </row>
    <row r="302" spans="2:11" ht="15">
      <c r="B302" s="16"/>
      <c r="C302" s="19"/>
      <c r="D302" s="19"/>
      <c r="E302" s="19"/>
      <c r="F302" s="19"/>
      <c r="G302" s="19"/>
      <c r="H302" s="19"/>
      <c r="I302" s="19"/>
      <c r="J302" s="19"/>
      <c r="K302" s="19"/>
    </row>
    <row r="303" spans="2:11" ht="15">
      <c r="B303" s="17"/>
      <c r="C303" s="19"/>
      <c r="D303" s="19"/>
      <c r="E303" s="19"/>
      <c r="F303" s="19"/>
      <c r="G303" s="19"/>
      <c r="H303" s="19"/>
      <c r="I303" s="19"/>
      <c r="J303" s="19"/>
      <c r="K303" s="19"/>
    </row>
    <row r="304" spans="2:11" ht="15">
      <c r="B304" s="17"/>
      <c r="C304" s="19"/>
      <c r="D304" s="19"/>
      <c r="E304" s="19"/>
      <c r="F304" s="19"/>
      <c r="G304" s="19"/>
      <c r="H304" s="19"/>
      <c r="I304" s="19"/>
      <c r="J304" s="19"/>
      <c r="K304" s="19"/>
    </row>
    <row r="305" spans="2:11" ht="15">
      <c r="B305" s="32"/>
      <c r="C305" s="19"/>
      <c r="D305" s="19"/>
      <c r="E305" s="19"/>
      <c r="F305" s="19"/>
      <c r="G305" s="19"/>
      <c r="H305" s="19"/>
      <c r="I305" s="19"/>
      <c r="J305" s="19"/>
      <c r="K305" s="19"/>
    </row>
    <row r="306" spans="2:11" ht="15">
      <c r="B306" s="18"/>
      <c r="C306" s="19"/>
      <c r="D306" s="19"/>
      <c r="E306" s="19"/>
      <c r="F306" s="19"/>
      <c r="G306" s="19"/>
      <c r="H306" s="19"/>
      <c r="I306" s="19"/>
      <c r="J306" s="19"/>
      <c r="K306" s="19"/>
    </row>
    <row r="307" spans="2:11" ht="15">
      <c r="B307" s="18"/>
      <c r="C307" s="19"/>
      <c r="D307" s="19"/>
      <c r="E307" s="19"/>
      <c r="F307" s="19"/>
      <c r="G307" s="19"/>
      <c r="H307" s="19"/>
      <c r="I307" s="19"/>
      <c r="J307" s="19"/>
      <c r="K307" s="19"/>
    </row>
    <row r="308" spans="2:11" ht="15">
      <c r="B308" s="13"/>
      <c r="C308" s="19"/>
      <c r="D308" s="19"/>
      <c r="E308" s="19"/>
      <c r="F308" s="19"/>
      <c r="G308" s="19"/>
      <c r="H308" s="19"/>
      <c r="I308" s="19"/>
      <c r="J308" s="19"/>
      <c r="K308" s="19"/>
    </row>
    <row r="309" spans="2:11" ht="15">
      <c r="B309" s="13"/>
      <c r="C309" s="19"/>
      <c r="D309" s="19"/>
      <c r="E309" s="19"/>
      <c r="F309" s="19"/>
      <c r="G309" s="19"/>
      <c r="H309" s="19"/>
      <c r="I309" s="19"/>
      <c r="J309" s="19"/>
      <c r="K309" s="19"/>
    </row>
    <row r="310" spans="2:11" ht="15">
      <c r="B310" s="13"/>
      <c r="C310" s="19"/>
      <c r="D310" s="19"/>
      <c r="E310" s="19"/>
      <c r="F310" s="19"/>
      <c r="G310" s="19"/>
      <c r="H310" s="19"/>
      <c r="I310" s="19"/>
      <c r="J310" s="19"/>
      <c r="K310" s="19"/>
    </row>
    <row r="311" spans="2:11" ht="15">
      <c r="B311" s="13"/>
      <c r="C311" s="19"/>
      <c r="D311" s="19"/>
      <c r="E311" s="19"/>
      <c r="F311" s="19"/>
      <c r="G311" s="19"/>
      <c r="H311" s="19"/>
      <c r="I311" s="19"/>
      <c r="J311" s="19"/>
      <c r="K311" s="19"/>
    </row>
    <row r="312" spans="2:11" ht="15">
      <c r="B312" s="13"/>
      <c r="C312" s="19"/>
      <c r="D312" s="19"/>
      <c r="E312" s="19"/>
      <c r="F312" s="19"/>
      <c r="G312" s="19"/>
      <c r="H312" s="19"/>
      <c r="I312" s="19"/>
      <c r="J312" s="19"/>
      <c r="K312" s="19"/>
    </row>
    <row r="313" spans="2:11" ht="15">
      <c r="B313" s="13"/>
      <c r="C313" s="19"/>
      <c r="D313" s="19"/>
      <c r="E313" s="19"/>
      <c r="F313" s="19"/>
      <c r="G313" s="19"/>
      <c r="H313" s="19"/>
      <c r="I313" s="19"/>
      <c r="J313" s="19"/>
      <c r="K313" s="19"/>
    </row>
    <row r="314" spans="2:11" ht="15">
      <c r="B314" s="13"/>
      <c r="C314" s="19"/>
      <c r="D314" s="19"/>
      <c r="E314" s="19"/>
      <c r="F314" s="19"/>
      <c r="G314" s="19"/>
      <c r="H314" s="19"/>
      <c r="I314" s="19"/>
      <c r="J314" s="19"/>
      <c r="K314" s="19"/>
    </row>
    <row r="315" spans="2:11" ht="15">
      <c r="B315" s="13"/>
      <c r="C315" s="19"/>
      <c r="D315" s="19"/>
      <c r="E315" s="19"/>
      <c r="F315" s="19"/>
      <c r="G315" s="19"/>
      <c r="H315" s="19"/>
      <c r="I315" s="19"/>
      <c r="J315" s="19"/>
      <c r="K315" s="19"/>
    </row>
    <row r="316" spans="2:11" ht="15">
      <c r="B316" s="13"/>
      <c r="C316" s="19"/>
      <c r="D316" s="19"/>
      <c r="E316" s="19"/>
      <c r="F316" s="19"/>
      <c r="G316" s="19"/>
      <c r="H316" s="19"/>
      <c r="I316" s="19"/>
      <c r="J316" s="19"/>
      <c r="K316" s="19"/>
    </row>
    <row r="317" spans="2:11" ht="15">
      <c r="B317" s="13"/>
      <c r="C317" s="19"/>
      <c r="D317" s="19"/>
      <c r="E317" s="19"/>
      <c r="F317" s="19"/>
      <c r="G317" s="19"/>
      <c r="H317" s="19"/>
      <c r="I317" s="19"/>
      <c r="J317" s="19"/>
      <c r="K317" s="19"/>
    </row>
    <row r="320" spans="2:11" ht="18.75">
      <c r="B320" s="888"/>
      <c r="C320" s="888"/>
      <c r="D320" s="888"/>
      <c r="E320" s="888"/>
      <c r="F320" s="888"/>
      <c r="G320" s="888"/>
      <c r="H320" s="888"/>
      <c r="I320" s="888"/>
      <c r="J320" s="888"/>
      <c r="K320" s="25"/>
    </row>
    <row r="321" spans="2:11" ht="15">
      <c r="B321" s="26"/>
      <c r="C321" s="19"/>
      <c r="D321" s="19"/>
      <c r="E321" s="19"/>
      <c r="F321" s="19"/>
      <c r="G321" s="19"/>
      <c r="H321" s="19"/>
      <c r="I321" s="19"/>
      <c r="J321" s="19"/>
      <c r="K321" s="19"/>
    </row>
    <row r="322" spans="2:11">
      <c r="B322" s="890"/>
      <c r="C322" s="890"/>
      <c r="D322" s="890"/>
      <c r="E322" s="890"/>
      <c r="F322" s="890"/>
      <c r="G322" s="890"/>
      <c r="H322" s="890"/>
      <c r="I322" s="890"/>
      <c r="J322" s="890"/>
      <c r="K322" s="25"/>
    </row>
    <row r="323" spans="2:11" ht="18" customHeight="1">
      <c r="B323" s="890"/>
      <c r="C323" s="890"/>
      <c r="D323" s="890"/>
      <c r="E323" s="890"/>
      <c r="F323" s="890"/>
      <c r="G323" s="890"/>
      <c r="H323" s="890"/>
      <c r="I323" s="890"/>
      <c r="J323" s="890"/>
      <c r="K323" s="25"/>
    </row>
    <row r="324" spans="2:11" ht="15">
      <c r="B324" s="27"/>
      <c r="C324" s="28"/>
      <c r="D324" s="28"/>
      <c r="E324" s="28"/>
      <c r="F324" s="19"/>
      <c r="G324" s="19"/>
      <c r="H324" s="19"/>
      <c r="I324" s="19"/>
      <c r="J324" s="19"/>
      <c r="K324" s="19"/>
    </row>
    <row r="325" spans="2:11" ht="15">
      <c r="B325" s="29"/>
      <c r="C325" s="19"/>
      <c r="D325" s="30"/>
      <c r="E325" s="19"/>
      <c r="F325" s="22"/>
      <c r="G325" s="19"/>
      <c r="H325" s="19"/>
      <c r="I325" s="19"/>
      <c r="J325" s="19"/>
      <c r="K325" s="19"/>
    </row>
    <row r="326" spans="2:11" ht="15">
      <c r="B326" s="20"/>
      <c r="C326" s="22"/>
      <c r="D326" s="22"/>
      <c r="E326" s="22"/>
      <c r="F326" s="22"/>
      <c r="G326" s="22"/>
      <c r="H326" s="22"/>
      <c r="I326" s="22"/>
      <c r="J326" s="22"/>
      <c r="K326" s="22"/>
    </row>
    <row r="327" spans="2:11" ht="15">
      <c r="B327" s="13"/>
      <c r="C327" s="22"/>
      <c r="D327" s="22"/>
      <c r="E327" s="31"/>
      <c r="F327" s="31"/>
      <c r="G327" s="31"/>
      <c r="H327" s="31"/>
      <c r="I327" s="31"/>
      <c r="J327" s="31"/>
      <c r="K327" s="31"/>
    </row>
    <row r="328" spans="2:11" ht="15">
      <c r="B328" s="13"/>
      <c r="C328" s="22"/>
      <c r="D328" s="19"/>
      <c r="E328" s="19"/>
      <c r="F328" s="19"/>
      <c r="G328" s="19"/>
      <c r="H328" s="19"/>
      <c r="I328" s="19"/>
      <c r="J328" s="19"/>
      <c r="K328" s="19"/>
    </row>
    <row r="329" spans="2:11" ht="15">
      <c r="B329" s="32"/>
      <c r="C329" s="19"/>
      <c r="D329" s="19"/>
      <c r="E329" s="19"/>
      <c r="F329" s="19"/>
      <c r="G329" s="19"/>
      <c r="H329" s="19"/>
      <c r="I329" s="19"/>
      <c r="J329" s="19"/>
      <c r="K329" s="19"/>
    </row>
    <row r="330" spans="2:11" ht="15">
      <c r="B330" s="34"/>
      <c r="C330" s="19"/>
      <c r="D330" s="19"/>
      <c r="E330" s="19"/>
      <c r="F330" s="19"/>
      <c r="G330" s="19"/>
      <c r="H330" s="19"/>
      <c r="I330" s="19"/>
      <c r="J330" s="19"/>
      <c r="K330" s="19"/>
    </row>
    <row r="331" spans="2:11" ht="15">
      <c r="B331" s="34"/>
      <c r="C331" s="19"/>
      <c r="D331" s="19"/>
      <c r="E331" s="19"/>
      <c r="F331" s="19"/>
      <c r="G331" s="19"/>
      <c r="H331" s="19"/>
      <c r="I331" s="19"/>
      <c r="J331" s="19"/>
      <c r="K331" s="19"/>
    </row>
    <row r="332" spans="2:11" ht="15">
      <c r="B332" s="34"/>
      <c r="C332" s="19"/>
      <c r="D332" s="19"/>
      <c r="E332" s="19"/>
      <c r="F332" s="19"/>
      <c r="G332" s="19"/>
      <c r="H332" s="19"/>
      <c r="I332" s="19"/>
      <c r="J332" s="19"/>
      <c r="K332" s="19"/>
    </row>
    <row r="333" spans="2:11" ht="15">
      <c r="B333" s="34"/>
      <c r="C333" s="19"/>
      <c r="D333" s="19"/>
      <c r="E333" s="19"/>
      <c r="F333" s="19"/>
      <c r="G333" s="19"/>
      <c r="H333" s="19"/>
      <c r="I333" s="19"/>
      <c r="J333" s="19"/>
      <c r="K333" s="19"/>
    </row>
    <row r="334" spans="2:11" ht="15">
      <c r="B334" s="34"/>
      <c r="C334" s="19"/>
      <c r="D334" s="19"/>
      <c r="E334" s="19"/>
      <c r="F334" s="19"/>
      <c r="G334" s="19"/>
      <c r="H334" s="19"/>
      <c r="I334" s="19"/>
      <c r="J334" s="19"/>
      <c r="K334" s="19"/>
    </row>
    <row r="335" spans="2:11" ht="15">
      <c r="B335" s="34"/>
      <c r="C335" s="19"/>
      <c r="D335" s="19"/>
      <c r="E335" s="19"/>
      <c r="F335" s="19"/>
      <c r="G335" s="19"/>
      <c r="H335" s="19"/>
      <c r="I335" s="19"/>
      <c r="J335" s="19"/>
      <c r="K335" s="19"/>
    </row>
    <row r="336" spans="2:11" ht="15">
      <c r="B336" s="16"/>
      <c r="C336" s="19"/>
      <c r="D336" s="19"/>
      <c r="E336" s="19"/>
      <c r="F336" s="19"/>
      <c r="G336" s="19"/>
      <c r="H336" s="19"/>
      <c r="I336" s="19"/>
      <c r="J336" s="19"/>
      <c r="K336" s="19"/>
    </row>
    <row r="337" spans="2:11" ht="15">
      <c r="B337" s="13"/>
      <c r="C337" s="19"/>
      <c r="D337" s="19"/>
      <c r="E337" s="19"/>
      <c r="F337" s="19"/>
      <c r="G337" s="19"/>
      <c r="H337" s="19"/>
      <c r="I337" s="19"/>
      <c r="J337" s="19"/>
      <c r="K337" s="19"/>
    </row>
    <row r="338" spans="2:11" ht="15">
      <c r="B338" s="32"/>
      <c r="C338" s="19"/>
      <c r="D338" s="19"/>
      <c r="E338" s="19"/>
      <c r="F338" s="19"/>
      <c r="G338" s="19"/>
      <c r="H338" s="19"/>
      <c r="I338" s="19"/>
      <c r="J338" s="19"/>
      <c r="K338" s="19"/>
    </row>
    <row r="339" spans="2:11" ht="15">
      <c r="B339" s="15"/>
      <c r="C339" s="19"/>
      <c r="D339" s="19"/>
      <c r="E339" s="19"/>
      <c r="F339" s="19"/>
      <c r="G339" s="19"/>
      <c r="H339" s="19"/>
      <c r="I339" s="19"/>
      <c r="J339" s="19"/>
      <c r="K339" s="19"/>
    </row>
    <row r="340" spans="2:11" ht="15">
      <c r="B340" s="15"/>
      <c r="C340" s="19"/>
      <c r="D340" s="19"/>
      <c r="E340" s="19"/>
      <c r="F340" s="19"/>
      <c r="G340" s="19"/>
      <c r="H340" s="19"/>
      <c r="I340" s="19"/>
      <c r="J340" s="19"/>
      <c r="K340" s="19"/>
    </row>
    <row r="341" spans="2:11" ht="15">
      <c r="B341" s="15"/>
      <c r="C341" s="19"/>
      <c r="D341" s="19"/>
      <c r="E341" s="19"/>
      <c r="F341" s="19"/>
      <c r="G341" s="19"/>
      <c r="H341" s="19"/>
      <c r="I341" s="19"/>
      <c r="J341" s="19"/>
      <c r="K341" s="19"/>
    </row>
    <row r="342" spans="2:11" ht="15">
      <c r="B342" s="15"/>
      <c r="C342" s="19"/>
      <c r="D342" s="19"/>
      <c r="E342" s="19"/>
      <c r="F342" s="19"/>
      <c r="G342" s="19"/>
      <c r="H342" s="19"/>
      <c r="I342" s="19"/>
      <c r="J342" s="19"/>
      <c r="K342" s="19"/>
    </row>
    <row r="343" spans="2:11" ht="15">
      <c r="B343" s="15"/>
      <c r="C343" s="19"/>
      <c r="D343" s="19"/>
      <c r="E343" s="19"/>
      <c r="F343" s="19"/>
      <c r="G343" s="19"/>
      <c r="H343" s="19"/>
      <c r="I343" s="19"/>
      <c r="J343" s="19"/>
      <c r="K343" s="19"/>
    </row>
    <row r="344" spans="2:11" ht="15">
      <c r="B344" s="15"/>
      <c r="C344" s="19"/>
      <c r="D344" s="19"/>
      <c r="E344" s="19"/>
      <c r="F344" s="19"/>
      <c r="G344" s="19"/>
      <c r="H344" s="19"/>
      <c r="I344" s="19"/>
      <c r="J344" s="19"/>
      <c r="K344" s="19"/>
    </row>
    <row r="345" spans="2:11" ht="15">
      <c r="B345" s="15"/>
      <c r="C345" s="19"/>
      <c r="D345" s="19"/>
      <c r="E345" s="19"/>
      <c r="F345" s="19"/>
      <c r="G345" s="19"/>
      <c r="H345" s="19"/>
      <c r="I345" s="19"/>
      <c r="J345" s="19"/>
      <c r="K345" s="19"/>
    </row>
    <row r="346" spans="2:11" ht="15">
      <c r="B346" s="15"/>
      <c r="C346" s="19"/>
      <c r="D346" s="19"/>
      <c r="E346" s="19"/>
      <c r="F346" s="19"/>
      <c r="G346" s="19"/>
      <c r="H346" s="19"/>
      <c r="I346" s="19"/>
      <c r="J346" s="19"/>
      <c r="K346" s="19"/>
    </row>
    <row r="347" spans="2:11" ht="15">
      <c r="B347" s="15"/>
      <c r="C347" s="19"/>
      <c r="D347" s="19"/>
      <c r="E347" s="19"/>
      <c r="F347" s="19"/>
      <c r="G347" s="19"/>
      <c r="H347" s="19"/>
      <c r="I347" s="19"/>
      <c r="J347" s="19"/>
      <c r="K347" s="19"/>
    </row>
    <row r="348" spans="2:11" ht="15">
      <c r="B348" s="16"/>
      <c r="C348" s="19"/>
      <c r="D348" s="19"/>
      <c r="E348" s="19"/>
      <c r="F348" s="19"/>
      <c r="G348" s="19"/>
      <c r="H348" s="19"/>
      <c r="I348" s="19"/>
      <c r="J348" s="19"/>
      <c r="K348" s="19"/>
    </row>
    <row r="349" spans="2:11" ht="15">
      <c r="B349" s="16"/>
      <c r="C349" s="19"/>
      <c r="D349" s="19"/>
      <c r="E349" s="19"/>
      <c r="F349" s="19"/>
      <c r="G349" s="19"/>
      <c r="H349" s="19"/>
      <c r="I349" s="19"/>
      <c r="J349" s="19"/>
      <c r="K349" s="19"/>
    </row>
    <row r="350" spans="2:11" ht="15">
      <c r="B350" s="17"/>
      <c r="C350" s="19"/>
      <c r="D350" s="19"/>
      <c r="E350" s="19"/>
      <c r="F350" s="19"/>
      <c r="G350" s="19"/>
      <c r="H350" s="19"/>
      <c r="I350" s="19"/>
      <c r="J350" s="19"/>
      <c r="K350" s="19"/>
    </row>
    <row r="351" spans="2:11" ht="15">
      <c r="B351" s="17"/>
      <c r="C351" s="19"/>
      <c r="D351" s="19"/>
      <c r="E351" s="19"/>
      <c r="F351" s="19"/>
      <c r="G351" s="19"/>
      <c r="H351" s="19"/>
      <c r="I351" s="19"/>
      <c r="J351" s="19"/>
      <c r="K351" s="19"/>
    </row>
    <row r="352" spans="2:11" ht="15">
      <c r="B352" s="32"/>
      <c r="C352" s="3"/>
      <c r="D352" s="3"/>
      <c r="E352" s="3"/>
      <c r="F352" s="3"/>
      <c r="G352" s="3"/>
      <c r="H352" s="3"/>
      <c r="I352" s="3"/>
      <c r="J352" s="3"/>
      <c r="K352" s="3"/>
    </row>
    <row r="353" spans="2:11" ht="15">
      <c r="B353" s="18"/>
      <c r="C353" s="19"/>
      <c r="D353" s="19"/>
      <c r="E353" s="19"/>
      <c r="F353" s="19"/>
      <c r="G353" s="19"/>
      <c r="H353" s="19"/>
      <c r="I353" s="19"/>
      <c r="J353" s="19"/>
      <c r="K353" s="19"/>
    </row>
    <row r="354" spans="2:11" ht="15">
      <c r="B354" s="18"/>
      <c r="C354" s="19"/>
      <c r="D354" s="19"/>
      <c r="E354" s="19"/>
      <c r="F354" s="19"/>
      <c r="G354" s="19"/>
      <c r="H354" s="19"/>
      <c r="I354" s="19"/>
      <c r="J354" s="19"/>
      <c r="K354" s="19"/>
    </row>
    <row r="355" spans="2:11" ht="15">
      <c r="B355" s="13"/>
      <c r="C355" s="19"/>
      <c r="D355" s="19"/>
      <c r="E355" s="19"/>
      <c r="F355" s="19"/>
      <c r="G355" s="19"/>
      <c r="H355" s="19"/>
      <c r="I355" s="19"/>
      <c r="J355" s="19"/>
      <c r="K355" s="19"/>
    </row>
    <row r="356" spans="2:11" ht="15">
      <c r="B356" s="13"/>
      <c r="C356" s="19"/>
      <c r="D356" s="19"/>
      <c r="E356" s="19"/>
      <c r="F356" s="19"/>
      <c r="G356" s="19"/>
      <c r="H356" s="19"/>
      <c r="I356" s="19"/>
      <c r="J356" s="19"/>
      <c r="K356" s="19"/>
    </row>
    <row r="357" spans="2:11" ht="15">
      <c r="B357" s="13"/>
      <c r="C357" s="19"/>
      <c r="D357" s="19"/>
      <c r="E357" s="19"/>
      <c r="F357" s="19"/>
      <c r="G357" s="19"/>
      <c r="H357" s="19"/>
      <c r="I357" s="19"/>
      <c r="J357" s="19"/>
      <c r="K357" s="19"/>
    </row>
    <row r="358" spans="2:11" ht="15">
      <c r="B358" s="13"/>
      <c r="C358" s="19"/>
      <c r="D358" s="19"/>
      <c r="E358" s="19"/>
      <c r="F358" s="19"/>
      <c r="G358" s="19"/>
      <c r="H358" s="19"/>
      <c r="I358" s="19"/>
      <c r="J358" s="19"/>
      <c r="K358" s="19"/>
    </row>
    <row r="359" spans="2:11" ht="15">
      <c r="B359" s="13"/>
      <c r="C359" s="19"/>
      <c r="D359" s="19"/>
      <c r="E359" s="19"/>
      <c r="F359" s="19"/>
      <c r="G359" s="19"/>
      <c r="H359" s="19"/>
      <c r="I359" s="19"/>
      <c r="J359" s="19"/>
      <c r="K359" s="19"/>
    </row>
    <row r="360" spans="2:11" ht="15">
      <c r="B360" s="13"/>
      <c r="C360" s="19"/>
      <c r="D360" s="19"/>
      <c r="E360" s="19"/>
      <c r="F360" s="19"/>
      <c r="G360" s="19"/>
      <c r="H360" s="19"/>
      <c r="I360" s="19"/>
      <c r="J360" s="19"/>
      <c r="K360" s="19"/>
    </row>
    <row r="361" spans="2:11" ht="15">
      <c r="B361" s="13"/>
      <c r="C361" s="19"/>
      <c r="D361" s="19"/>
      <c r="E361" s="19"/>
      <c r="F361" s="19"/>
      <c r="G361" s="19"/>
      <c r="H361" s="19"/>
      <c r="I361" s="19"/>
      <c r="J361" s="19"/>
      <c r="K361" s="19"/>
    </row>
    <row r="362" spans="2:11" ht="15">
      <c r="B362" s="13"/>
      <c r="C362" s="19"/>
      <c r="D362" s="19"/>
      <c r="E362" s="19"/>
      <c r="F362" s="19"/>
      <c r="G362" s="19"/>
      <c r="H362" s="19"/>
      <c r="I362" s="19"/>
      <c r="J362" s="19"/>
      <c r="K362" s="19"/>
    </row>
    <row r="363" spans="2:11" ht="15">
      <c r="B363" s="13"/>
      <c r="C363" s="19"/>
      <c r="D363" s="19"/>
      <c r="E363" s="19"/>
      <c r="F363" s="19"/>
      <c r="G363" s="19"/>
      <c r="H363" s="19"/>
      <c r="I363" s="19"/>
      <c r="J363" s="19"/>
      <c r="K363" s="19"/>
    </row>
    <row r="364" spans="2:11" ht="15">
      <c r="B364" s="13"/>
      <c r="C364" s="19"/>
      <c r="D364" s="19"/>
      <c r="E364" s="19"/>
      <c r="F364" s="19"/>
      <c r="G364" s="19"/>
      <c r="H364" s="19"/>
      <c r="I364" s="19"/>
      <c r="J364" s="19"/>
      <c r="K364" s="19"/>
    </row>
    <row r="365" spans="2:11" ht="15">
      <c r="B365" s="13"/>
      <c r="C365" s="19"/>
      <c r="D365" s="19"/>
      <c r="E365" s="19"/>
      <c r="F365" s="19"/>
      <c r="G365" s="19"/>
      <c r="H365" s="19"/>
      <c r="I365" s="19"/>
      <c r="J365" s="19"/>
      <c r="K365" s="19"/>
    </row>
    <row r="368" spans="2:11" ht="18.75">
      <c r="B368" s="888"/>
      <c r="C368" s="888"/>
      <c r="D368" s="888"/>
      <c r="E368" s="888"/>
      <c r="F368" s="888"/>
      <c r="G368" s="888"/>
      <c r="H368" s="888"/>
      <c r="I368" s="888"/>
      <c r="J368" s="888"/>
      <c r="K368" s="25"/>
    </row>
    <row r="369" spans="2:11" ht="15">
      <c r="B369" s="26"/>
      <c r="C369" s="19"/>
      <c r="D369" s="19"/>
      <c r="E369" s="19"/>
      <c r="F369" s="19"/>
      <c r="G369" s="19"/>
      <c r="H369" s="19"/>
      <c r="I369" s="19"/>
      <c r="J369" s="19"/>
      <c r="K369" s="19"/>
    </row>
    <row r="370" spans="2:11">
      <c r="B370" s="890"/>
      <c r="C370" s="890"/>
      <c r="D370" s="890"/>
      <c r="E370" s="890"/>
      <c r="F370" s="890"/>
      <c r="G370" s="890"/>
      <c r="H370" s="890"/>
      <c r="I370" s="890"/>
      <c r="J370" s="890"/>
      <c r="K370" s="25"/>
    </row>
    <row r="371" spans="2:11" ht="18" customHeight="1">
      <c r="B371" s="890"/>
      <c r="C371" s="890"/>
      <c r="D371" s="890"/>
      <c r="E371" s="890"/>
      <c r="F371" s="890"/>
      <c r="G371" s="890"/>
      <c r="H371" s="890"/>
      <c r="I371" s="890"/>
      <c r="J371" s="890"/>
      <c r="K371" s="25"/>
    </row>
    <row r="372" spans="2:11" ht="15">
      <c r="B372" s="27"/>
      <c r="C372" s="28"/>
      <c r="D372" s="28"/>
      <c r="E372" s="28"/>
      <c r="F372" s="19"/>
      <c r="G372" s="19"/>
      <c r="H372" s="19"/>
      <c r="I372" s="19"/>
      <c r="J372" s="19"/>
      <c r="K372" s="19"/>
    </row>
    <row r="373" spans="2:11" ht="15">
      <c r="B373" s="29"/>
      <c r="C373" s="19"/>
      <c r="D373" s="22"/>
      <c r="E373" s="22"/>
      <c r="F373" s="22"/>
      <c r="G373" s="19"/>
      <c r="H373" s="19"/>
      <c r="I373" s="19"/>
      <c r="J373" s="19"/>
      <c r="K373" s="19"/>
    </row>
    <row r="374" spans="2:11" ht="15">
      <c r="B374" s="20"/>
      <c r="C374" s="22"/>
      <c r="D374" s="22"/>
      <c r="E374" s="22"/>
      <c r="F374" s="22"/>
      <c r="G374" s="22"/>
      <c r="H374" s="22"/>
      <c r="I374" s="22"/>
      <c r="J374" s="22"/>
      <c r="K374" s="22"/>
    </row>
    <row r="375" spans="2:11" ht="15">
      <c r="B375" s="13"/>
      <c r="C375" s="22"/>
      <c r="D375" s="22"/>
      <c r="E375" s="31"/>
      <c r="F375" s="31"/>
      <c r="G375" s="31"/>
      <c r="H375" s="31"/>
      <c r="I375" s="31"/>
      <c r="J375" s="31"/>
      <c r="K375" s="31"/>
    </row>
    <row r="376" spans="2:11" ht="15">
      <c r="B376" s="13"/>
      <c r="C376" s="22"/>
      <c r="D376" s="19"/>
      <c r="E376" s="19"/>
      <c r="F376" s="19"/>
      <c r="G376" s="19"/>
      <c r="H376" s="19"/>
      <c r="I376" s="19"/>
      <c r="J376" s="19"/>
      <c r="K376" s="19"/>
    </row>
    <row r="377" spans="2:11" ht="15">
      <c r="B377" s="32"/>
      <c r="C377" s="19"/>
      <c r="D377" s="19"/>
      <c r="E377" s="19"/>
      <c r="F377" s="19"/>
      <c r="G377" s="19"/>
      <c r="H377" s="19"/>
      <c r="I377" s="19"/>
      <c r="J377" s="19"/>
      <c r="K377" s="19"/>
    </row>
    <row r="378" spans="2:11" ht="15">
      <c r="B378" s="34"/>
      <c r="C378" s="19"/>
      <c r="D378" s="19"/>
      <c r="E378" s="19"/>
      <c r="F378" s="19"/>
      <c r="G378" s="19"/>
      <c r="H378" s="19"/>
      <c r="I378" s="19"/>
      <c r="J378" s="19"/>
      <c r="K378" s="19"/>
    </row>
    <row r="379" spans="2:11" ht="15">
      <c r="B379" s="34"/>
      <c r="C379" s="19"/>
      <c r="D379" s="19"/>
      <c r="E379" s="19"/>
      <c r="F379" s="19"/>
      <c r="G379" s="19"/>
      <c r="H379" s="19"/>
      <c r="I379" s="19"/>
      <c r="J379" s="19"/>
      <c r="K379" s="19"/>
    </row>
    <row r="380" spans="2:11" ht="15">
      <c r="B380" s="34"/>
      <c r="C380" s="19"/>
      <c r="D380" s="19"/>
      <c r="E380" s="19"/>
      <c r="F380" s="19"/>
      <c r="G380" s="19"/>
      <c r="H380" s="19"/>
      <c r="I380" s="19"/>
      <c r="J380" s="19"/>
      <c r="K380" s="19"/>
    </row>
    <row r="381" spans="2:11" ht="15">
      <c r="B381" s="34"/>
      <c r="C381" s="19"/>
      <c r="D381" s="19"/>
      <c r="E381" s="19"/>
      <c r="F381" s="19"/>
      <c r="G381" s="19"/>
      <c r="H381" s="19"/>
      <c r="I381" s="19"/>
      <c r="J381" s="19"/>
      <c r="K381" s="19"/>
    </row>
    <row r="382" spans="2:11" ht="15">
      <c r="B382" s="34"/>
      <c r="C382" s="19"/>
      <c r="D382" s="19"/>
      <c r="E382" s="19"/>
      <c r="F382" s="19"/>
      <c r="G382" s="19"/>
      <c r="H382" s="19"/>
      <c r="I382" s="19"/>
      <c r="J382" s="19"/>
      <c r="K382" s="19"/>
    </row>
    <row r="383" spans="2:11" ht="15">
      <c r="B383" s="16"/>
      <c r="C383" s="19"/>
      <c r="D383" s="19"/>
      <c r="E383" s="19"/>
      <c r="F383" s="19"/>
      <c r="G383" s="19"/>
      <c r="H383" s="19"/>
      <c r="I383" s="19"/>
      <c r="J383" s="19"/>
      <c r="K383" s="19"/>
    </row>
    <row r="384" spans="2:11" ht="15">
      <c r="B384" s="13"/>
      <c r="C384" s="19"/>
      <c r="D384" s="19"/>
      <c r="E384" s="19"/>
      <c r="F384" s="19"/>
      <c r="G384" s="19"/>
      <c r="H384" s="19"/>
      <c r="I384" s="19"/>
      <c r="J384" s="19"/>
      <c r="K384" s="19"/>
    </row>
    <row r="385" spans="2:11" ht="15">
      <c r="B385" s="32"/>
      <c r="C385" s="19"/>
      <c r="D385" s="19"/>
      <c r="E385" s="19"/>
      <c r="F385" s="19"/>
      <c r="G385" s="19"/>
      <c r="H385" s="19"/>
      <c r="I385" s="19"/>
      <c r="J385" s="19"/>
      <c r="K385" s="19"/>
    </row>
    <row r="386" spans="2:11" ht="15">
      <c r="B386" s="15"/>
      <c r="C386" s="19"/>
      <c r="D386" s="19"/>
      <c r="E386" s="19"/>
      <c r="F386" s="19"/>
      <c r="G386" s="19"/>
      <c r="H386" s="19"/>
      <c r="I386" s="19"/>
      <c r="J386" s="19"/>
      <c r="K386" s="19"/>
    </row>
    <row r="387" spans="2:11" ht="15">
      <c r="B387" s="15"/>
      <c r="C387" s="19"/>
      <c r="D387" s="19"/>
      <c r="E387" s="19"/>
      <c r="F387" s="19"/>
      <c r="G387" s="19"/>
      <c r="H387" s="19"/>
      <c r="I387" s="19"/>
      <c r="J387" s="19"/>
      <c r="K387" s="19"/>
    </row>
    <row r="388" spans="2:11" ht="15">
      <c r="B388" s="15"/>
      <c r="C388" s="19"/>
      <c r="D388" s="19"/>
      <c r="E388" s="19"/>
      <c r="F388" s="19"/>
      <c r="G388" s="19"/>
      <c r="H388" s="19"/>
      <c r="I388" s="19"/>
      <c r="J388" s="19"/>
      <c r="K388" s="19"/>
    </row>
    <row r="389" spans="2:11" ht="15">
      <c r="B389" s="15"/>
      <c r="C389" s="19"/>
      <c r="D389" s="19"/>
      <c r="E389" s="19"/>
      <c r="F389" s="19"/>
      <c r="G389" s="19"/>
      <c r="H389" s="19"/>
      <c r="I389" s="19"/>
      <c r="J389" s="19"/>
      <c r="K389" s="19"/>
    </row>
    <row r="390" spans="2:11" ht="15">
      <c r="B390" s="15"/>
      <c r="C390" s="19"/>
      <c r="D390" s="19"/>
      <c r="E390" s="19"/>
      <c r="F390" s="19"/>
      <c r="G390" s="19"/>
      <c r="H390" s="19"/>
      <c r="I390" s="19"/>
      <c r="J390" s="19"/>
      <c r="K390" s="19"/>
    </row>
    <row r="391" spans="2:11" ht="15">
      <c r="B391" s="15"/>
      <c r="C391" s="19"/>
      <c r="D391" s="19"/>
      <c r="E391" s="19"/>
      <c r="F391" s="19"/>
      <c r="G391" s="19"/>
      <c r="H391" s="19"/>
      <c r="I391" s="19"/>
      <c r="J391" s="19"/>
      <c r="K391" s="19"/>
    </row>
    <row r="392" spans="2:11" ht="15">
      <c r="B392" s="15"/>
      <c r="C392" s="19"/>
      <c r="D392" s="19"/>
      <c r="E392" s="19"/>
      <c r="F392" s="19"/>
      <c r="G392" s="19"/>
      <c r="H392" s="19"/>
      <c r="I392" s="19"/>
      <c r="J392" s="19"/>
      <c r="K392" s="19"/>
    </row>
    <row r="393" spans="2:11" ht="15">
      <c r="B393" s="15"/>
      <c r="C393" s="19"/>
      <c r="D393" s="19"/>
      <c r="E393" s="19"/>
      <c r="F393" s="19"/>
      <c r="G393" s="19"/>
      <c r="H393" s="19"/>
      <c r="I393" s="19"/>
      <c r="J393" s="19"/>
      <c r="K393" s="19"/>
    </row>
    <row r="394" spans="2:11" ht="15">
      <c r="B394" s="15"/>
      <c r="C394" s="19"/>
      <c r="D394" s="19"/>
      <c r="E394" s="19"/>
      <c r="F394" s="19"/>
      <c r="G394" s="19"/>
      <c r="H394" s="19"/>
      <c r="I394" s="19"/>
      <c r="J394" s="19"/>
      <c r="K394" s="19"/>
    </row>
    <row r="395" spans="2:11" ht="15">
      <c r="B395" s="16"/>
      <c r="C395" s="19"/>
      <c r="D395" s="19"/>
      <c r="E395" s="19"/>
      <c r="F395" s="19"/>
      <c r="G395" s="19"/>
      <c r="H395" s="19"/>
      <c r="I395" s="19"/>
      <c r="J395" s="19"/>
      <c r="K395" s="19"/>
    </row>
    <row r="396" spans="2:11" ht="15">
      <c r="B396" s="16"/>
      <c r="C396" s="19"/>
      <c r="D396" s="19"/>
      <c r="E396" s="19"/>
      <c r="F396" s="19"/>
      <c r="G396" s="19"/>
      <c r="H396" s="19"/>
      <c r="I396" s="19"/>
      <c r="J396" s="19"/>
      <c r="K396" s="19"/>
    </row>
    <row r="397" spans="2:11" ht="15">
      <c r="B397" s="17"/>
      <c r="C397" s="19"/>
      <c r="D397" s="19"/>
      <c r="E397" s="19"/>
      <c r="F397" s="19"/>
      <c r="G397" s="19"/>
      <c r="H397" s="19"/>
      <c r="I397" s="19"/>
      <c r="J397" s="19"/>
      <c r="K397" s="19"/>
    </row>
    <row r="398" spans="2:11" ht="15">
      <c r="B398" s="17"/>
      <c r="C398" s="19"/>
      <c r="D398" s="19"/>
      <c r="E398" s="19"/>
      <c r="F398" s="19"/>
      <c r="G398" s="19"/>
      <c r="H398" s="19"/>
      <c r="I398" s="19"/>
      <c r="J398" s="19"/>
      <c r="K398" s="19"/>
    </row>
    <row r="399" spans="2:11" ht="15">
      <c r="B399" s="32"/>
      <c r="C399" s="19"/>
      <c r="D399" s="19"/>
      <c r="E399" s="19"/>
      <c r="F399" s="19"/>
      <c r="G399" s="19"/>
      <c r="H399" s="19"/>
      <c r="I399" s="19"/>
      <c r="J399" s="19"/>
      <c r="K399" s="19"/>
    </row>
    <row r="400" spans="2:11" ht="15">
      <c r="B400" s="18"/>
      <c r="C400" s="19"/>
      <c r="D400" s="19"/>
      <c r="E400" s="19"/>
      <c r="F400" s="19"/>
      <c r="G400" s="19"/>
      <c r="H400" s="19"/>
      <c r="I400" s="19"/>
      <c r="J400" s="19"/>
      <c r="K400" s="19"/>
    </row>
    <row r="401" spans="2:11" ht="15">
      <c r="B401" s="18"/>
      <c r="C401" s="19"/>
      <c r="D401" s="19"/>
      <c r="E401" s="19"/>
      <c r="F401" s="19"/>
      <c r="G401" s="19"/>
      <c r="H401" s="19"/>
      <c r="I401" s="19"/>
      <c r="J401" s="19"/>
      <c r="K401" s="19"/>
    </row>
    <row r="402" spans="2:11" ht="15">
      <c r="B402" s="13"/>
      <c r="C402" s="19"/>
      <c r="D402" s="19"/>
      <c r="E402" s="19"/>
      <c r="F402" s="19"/>
      <c r="G402" s="19"/>
      <c r="H402" s="19"/>
      <c r="I402" s="19"/>
      <c r="J402" s="19"/>
      <c r="K402" s="19"/>
    </row>
    <row r="403" spans="2:11" ht="15">
      <c r="B403" s="13"/>
      <c r="C403" s="19"/>
      <c r="D403" s="19"/>
      <c r="E403" s="19"/>
      <c r="F403" s="19"/>
      <c r="G403" s="19"/>
      <c r="H403" s="19"/>
      <c r="I403" s="19"/>
      <c r="J403" s="19"/>
      <c r="K403" s="19"/>
    </row>
    <row r="404" spans="2:11" ht="15">
      <c r="B404" s="13"/>
      <c r="C404" s="19"/>
      <c r="D404" s="19"/>
      <c r="E404" s="19"/>
      <c r="F404" s="19"/>
      <c r="G404" s="19"/>
      <c r="H404" s="19"/>
      <c r="I404" s="19"/>
      <c r="J404" s="19"/>
      <c r="K404" s="19"/>
    </row>
    <row r="405" spans="2:11" ht="15">
      <c r="B405" s="13"/>
      <c r="C405" s="19"/>
      <c r="D405" s="19"/>
      <c r="E405" s="19"/>
      <c r="F405" s="19"/>
      <c r="G405" s="19"/>
      <c r="H405" s="19"/>
      <c r="I405" s="19"/>
      <c r="J405" s="19"/>
      <c r="K405" s="19"/>
    </row>
    <row r="406" spans="2:11" ht="15">
      <c r="B406" s="13"/>
      <c r="C406" s="19"/>
      <c r="D406" s="19"/>
      <c r="E406" s="19"/>
      <c r="F406" s="19"/>
      <c r="G406" s="19"/>
      <c r="H406" s="19"/>
      <c r="I406" s="19"/>
      <c r="J406" s="19"/>
      <c r="K406" s="19"/>
    </row>
    <row r="407" spans="2:11" ht="15">
      <c r="B407" s="13"/>
      <c r="C407" s="19"/>
      <c r="D407" s="19"/>
      <c r="E407" s="19"/>
      <c r="F407" s="19"/>
      <c r="G407" s="19"/>
      <c r="H407" s="19"/>
      <c r="I407" s="19"/>
      <c r="J407" s="19"/>
      <c r="K407" s="19"/>
    </row>
    <row r="408" spans="2:11" ht="15">
      <c r="B408" s="13"/>
      <c r="C408" s="19"/>
      <c r="D408" s="19"/>
      <c r="E408" s="19"/>
      <c r="F408" s="19"/>
      <c r="G408" s="19"/>
      <c r="H408" s="19"/>
      <c r="I408" s="19"/>
      <c r="J408" s="19"/>
      <c r="K408" s="19"/>
    </row>
    <row r="409" spans="2:11" ht="15">
      <c r="B409" s="13"/>
      <c r="C409" s="19"/>
      <c r="D409" s="19"/>
      <c r="E409" s="19"/>
      <c r="F409" s="19"/>
      <c r="G409" s="19"/>
      <c r="H409" s="19"/>
      <c r="I409" s="19"/>
      <c r="J409" s="19"/>
      <c r="K409" s="19"/>
    </row>
    <row r="410" spans="2:11" ht="15">
      <c r="B410" s="13"/>
      <c r="C410" s="19"/>
      <c r="D410" s="19"/>
      <c r="E410" s="19"/>
      <c r="F410" s="19"/>
      <c r="G410" s="19"/>
      <c r="H410" s="19"/>
      <c r="I410" s="19"/>
      <c r="J410" s="19"/>
      <c r="K410" s="19"/>
    </row>
    <row r="411" spans="2:11" ht="15">
      <c r="B411" s="13"/>
      <c r="C411" s="19"/>
      <c r="D411" s="19"/>
      <c r="E411" s="19"/>
      <c r="F411" s="19"/>
      <c r="G411" s="19"/>
      <c r="H411" s="19"/>
      <c r="I411" s="19"/>
      <c r="J411" s="19"/>
      <c r="K411" s="19"/>
    </row>
    <row r="414" spans="2:11" ht="18.75">
      <c r="B414" s="888"/>
      <c r="C414" s="888"/>
      <c r="D414" s="888"/>
      <c r="E414" s="888"/>
      <c r="F414" s="888"/>
      <c r="G414" s="888"/>
      <c r="H414" s="888"/>
      <c r="I414" s="888"/>
      <c r="J414" s="888"/>
      <c r="K414" s="25"/>
    </row>
    <row r="415" spans="2:11" ht="15">
      <c r="B415" s="26"/>
      <c r="C415" s="19"/>
      <c r="D415" s="19"/>
      <c r="E415" s="19"/>
      <c r="F415" s="19"/>
      <c r="G415" s="19"/>
      <c r="H415" s="19"/>
      <c r="I415" s="19"/>
      <c r="J415" s="19"/>
      <c r="K415" s="19"/>
    </row>
    <row r="416" spans="2:11">
      <c r="B416" s="894"/>
      <c r="C416" s="894"/>
      <c r="D416" s="894"/>
      <c r="E416" s="894"/>
      <c r="F416" s="894"/>
      <c r="G416" s="894"/>
      <c r="H416" s="894"/>
      <c r="I416" s="894"/>
      <c r="J416" s="894"/>
      <c r="K416" s="25"/>
    </row>
    <row r="417" spans="2:11">
      <c r="B417" s="894"/>
      <c r="C417" s="894"/>
      <c r="D417" s="894"/>
      <c r="E417" s="894"/>
      <c r="F417" s="894"/>
      <c r="G417" s="894"/>
      <c r="H417" s="894"/>
      <c r="I417" s="894"/>
      <c r="J417" s="894"/>
      <c r="K417" s="25"/>
    </row>
    <row r="418" spans="2:11" ht="18.75" customHeight="1">
      <c r="B418" s="894"/>
      <c r="C418" s="894"/>
      <c r="D418" s="894"/>
      <c r="E418" s="894"/>
      <c r="F418" s="894"/>
      <c r="G418" s="894"/>
      <c r="H418" s="894"/>
      <c r="I418" s="894"/>
      <c r="J418" s="894"/>
      <c r="K418" s="25"/>
    </row>
    <row r="419" spans="2:11" ht="15">
      <c r="B419" s="29"/>
      <c r="C419" s="19"/>
      <c r="D419" s="22"/>
      <c r="E419" s="22"/>
      <c r="F419" s="22"/>
      <c r="G419" s="19"/>
      <c r="H419" s="19"/>
      <c r="I419" s="19"/>
      <c r="J419" s="19"/>
      <c r="K419" s="19"/>
    </row>
    <row r="420" spans="2:11" ht="15">
      <c r="B420" s="20"/>
      <c r="C420" s="22"/>
      <c r="D420" s="22"/>
      <c r="E420" s="22"/>
      <c r="F420" s="22"/>
      <c r="G420" s="22"/>
      <c r="H420" s="22"/>
      <c r="I420" s="22"/>
      <c r="J420" s="22"/>
      <c r="K420" s="22"/>
    </row>
    <row r="421" spans="2:11" ht="15">
      <c r="B421" s="13"/>
      <c r="C421" s="22"/>
      <c r="D421" s="22"/>
      <c r="E421" s="31"/>
      <c r="F421" s="31"/>
      <c r="G421" s="31"/>
      <c r="H421" s="31"/>
      <c r="I421" s="31"/>
      <c r="J421" s="31"/>
      <c r="K421" s="31"/>
    </row>
    <row r="422" spans="2:11" ht="15">
      <c r="B422" s="13"/>
      <c r="C422" s="22"/>
      <c r="D422" s="19"/>
      <c r="E422" s="19"/>
      <c r="F422" s="19"/>
      <c r="G422" s="19"/>
      <c r="H422" s="19"/>
      <c r="I422" s="19"/>
      <c r="J422" s="19"/>
      <c r="K422" s="19"/>
    </row>
    <row r="423" spans="2:11" ht="15">
      <c r="B423" s="32"/>
      <c r="C423" s="19"/>
      <c r="D423" s="19"/>
      <c r="E423" s="19"/>
      <c r="F423" s="19"/>
      <c r="G423" s="19"/>
      <c r="H423" s="19"/>
      <c r="I423" s="19"/>
      <c r="J423" s="19"/>
      <c r="K423" s="19"/>
    </row>
    <row r="424" spans="2:11" ht="15">
      <c r="B424" s="34"/>
      <c r="C424" s="19"/>
      <c r="D424" s="19"/>
      <c r="E424" s="19"/>
      <c r="F424" s="19"/>
      <c r="G424" s="19"/>
      <c r="H424" s="19"/>
      <c r="I424" s="19"/>
      <c r="J424" s="19"/>
      <c r="K424" s="19"/>
    </row>
    <row r="425" spans="2:11" ht="15">
      <c r="B425" s="34"/>
      <c r="C425" s="19"/>
      <c r="D425" s="19"/>
      <c r="E425" s="19"/>
      <c r="F425" s="19"/>
      <c r="G425" s="19"/>
      <c r="H425" s="19"/>
      <c r="I425" s="19"/>
      <c r="J425" s="19"/>
      <c r="K425" s="19"/>
    </row>
    <row r="426" spans="2:11" ht="15">
      <c r="B426" s="16"/>
      <c r="C426" s="19"/>
      <c r="D426" s="19"/>
      <c r="E426" s="19"/>
      <c r="F426" s="19"/>
      <c r="G426" s="19"/>
      <c r="H426" s="19"/>
      <c r="I426" s="19"/>
      <c r="J426" s="19"/>
      <c r="K426" s="19"/>
    </row>
    <row r="427" spans="2:11" ht="15">
      <c r="B427" s="13"/>
      <c r="C427" s="19"/>
      <c r="D427" s="19"/>
      <c r="E427" s="19"/>
      <c r="F427" s="19"/>
      <c r="G427" s="19"/>
      <c r="H427" s="19"/>
      <c r="I427" s="19"/>
      <c r="J427" s="19"/>
      <c r="K427" s="19"/>
    </row>
    <row r="428" spans="2:11" ht="15">
      <c r="B428" s="32"/>
      <c r="C428" s="19"/>
      <c r="D428" s="19"/>
      <c r="E428" s="19"/>
      <c r="F428" s="19"/>
      <c r="G428" s="19"/>
      <c r="H428" s="19"/>
      <c r="I428" s="19"/>
      <c r="J428" s="19"/>
      <c r="K428" s="19"/>
    </row>
    <row r="429" spans="2:11" ht="15">
      <c r="B429" s="15"/>
      <c r="C429" s="19"/>
      <c r="D429" s="19"/>
      <c r="E429" s="19"/>
      <c r="F429" s="19"/>
      <c r="G429" s="19"/>
      <c r="H429" s="19"/>
      <c r="I429" s="19"/>
      <c r="J429" s="19"/>
      <c r="K429" s="19"/>
    </row>
    <row r="430" spans="2:11" ht="15">
      <c r="B430" s="15"/>
      <c r="C430" s="19"/>
      <c r="D430" s="19"/>
      <c r="E430" s="19"/>
      <c r="F430" s="19"/>
      <c r="G430" s="19"/>
      <c r="H430" s="19"/>
      <c r="I430" s="19"/>
      <c r="J430" s="19"/>
      <c r="K430" s="19"/>
    </row>
    <row r="431" spans="2:11" ht="15">
      <c r="B431" s="16"/>
      <c r="C431" s="19"/>
      <c r="D431" s="19"/>
      <c r="E431" s="19"/>
      <c r="F431" s="19"/>
      <c r="G431" s="19"/>
      <c r="H431" s="19"/>
      <c r="I431" s="19"/>
      <c r="J431" s="19"/>
      <c r="K431" s="19"/>
    </row>
    <row r="432" spans="2:11" ht="15">
      <c r="B432" s="16"/>
      <c r="C432" s="19"/>
      <c r="D432" s="19"/>
      <c r="E432" s="19"/>
      <c r="F432" s="19"/>
      <c r="G432" s="19"/>
      <c r="H432" s="19"/>
      <c r="I432" s="19"/>
      <c r="J432" s="19"/>
      <c r="K432" s="19"/>
    </row>
    <row r="433" spans="2:11" ht="15">
      <c r="B433" s="17"/>
      <c r="C433" s="19"/>
      <c r="D433" s="19"/>
      <c r="E433" s="19"/>
      <c r="F433" s="19"/>
      <c r="G433" s="19"/>
      <c r="H433" s="19"/>
      <c r="I433" s="19"/>
      <c r="J433" s="19"/>
      <c r="K433" s="19"/>
    </row>
    <row r="434" spans="2:11" ht="15">
      <c r="B434" s="17"/>
      <c r="C434" s="19"/>
      <c r="D434" s="19"/>
      <c r="E434" s="19"/>
      <c r="F434" s="19"/>
      <c r="G434" s="19"/>
      <c r="H434" s="19"/>
      <c r="I434" s="19"/>
      <c r="J434" s="19"/>
      <c r="K434" s="19"/>
    </row>
    <row r="435" spans="2:11" ht="15">
      <c r="B435" s="32"/>
      <c r="C435" s="19"/>
      <c r="D435" s="19"/>
      <c r="E435" s="19"/>
      <c r="F435" s="19"/>
      <c r="G435" s="19"/>
      <c r="H435" s="19"/>
      <c r="I435" s="19"/>
      <c r="J435" s="19"/>
      <c r="K435" s="19"/>
    </row>
    <row r="436" spans="2:11" ht="15">
      <c r="B436" s="18"/>
      <c r="C436" s="19"/>
      <c r="D436" s="19"/>
      <c r="E436" s="19"/>
      <c r="F436" s="19"/>
      <c r="G436" s="19"/>
      <c r="H436" s="19"/>
      <c r="I436" s="19"/>
      <c r="J436" s="19"/>
      <c r="K436" s="19"/>
    </row>
    <row r="437" spans="2:11" ht="15">
      <c r="B437" s="18"/>
      <c r="C437" s="19"/>
      <c r="D437" s="19"/>
      <c r="E437" s="19"/>
      <c r="F437" s="19"/>
      <c r="G437" s="19"/>
      <c r="H437" s="19"/>
      <c r="I437" s="19"/>
      <c r="J437" s="19"/>
      <c r="K437" s="19"/>
    </row>
    <row r="438" spans="2:11" ht="15">
      <c r="B438" s="13"/>
      <c r="C438" s="19"/>
      <c r="D438" s="19"/>
      <c r="E438" s="19"/>
      <c r="F438" s="19"/>
      <c r="G438" s="19"/>
      <c r="H438" s="19"/>
      <c r="I438" s="19"/>
      <c r="J438" s="19"/>
      <c r="K438" s="19"/>
    </row>
    <row r="439" spans="2:11" ht="15">
      <c r="B439" s="13"/>
      <c r="C439" s="19"/>
      <c r="D439" s="19"/>
      <c r="E439" s="19"/>
      <c r="F439" s="19"/>
      <c r="G439" s="19"/>
      <c r="H439" s="19"/>
      <c r="I439" s="19"/>
      <c r="J439" s="19"/>
      <c r="K439" s="19"/>
    </row>
    <row r="440" spans="2:11" ht="15">
      <c r="B440" s="13"/>
      <c r="C440" s="19"/>
      <c r="D440" s="19"/>
      <c r="E440" s="19"/>
      <c r="F440" s="19"/>
      <c r="G440" s="19"/>
      <c r="H440" s="19"/>
      <c r="I440" s="19"/>
      <c r="J440" s="19"/>
      <c r="K440" s="19"/>
    </row>
    <row r="441" spans="2:11" ht="15">
      <c r="B441" s="13"/>
      <c r="C441" s="19"/>
      <c r="D441" s="19"/>
      <c r="E441" s="19"/>
      <c r="F441" s="19"/>
      <c r="G441" s="19"/>
      <c r="H441" s="19"/>
      <c r="I441" s="19"/>
      <c r="J441" s="19"/>
      <c r="K441" s="19"/>
    </row>
    <row r="442" spans="2:11" ht="15">
      <c r="B442" s="13"/>
      <c r="C442" s="19"/>
      <c r="D442" s="19"/>
      <c r="E442" s="19"/>
      <c r="F442" s="19"/>
      <c r="G442" s="19"/>
      <c r="H442" s="19"/>
      <c r="I442" s="19"/>
      <c r="J442" s="19"/>
      <c r="K442" s="19"/>
    </row>
    <row r="443" spans="2:11" ht="15">
      <c r="B443" s="13"/>
      <c r="C443" s="19"/>
      <c r="D443" s="19"/>
      <c r="E443" s="19"/>
      <c r="F443" s="19"/>
      <c r="G443" s="19"/>
      <c r="H443" s="19"/>
      <c r="I443" s="19"/>
      <c r="J443" s="19"/>
      <c r="K443" s="19"/>
    </row>
    <row r="444" spans="2:11" ht="15">
      <c r="B444" s="13"/>
      <c r="C444" s="19"/>
      <c r="D444" s="19"/>
      <c r="E444" s="19"/>
      <c r="F444" s="19"/>
      <c r="G444" s="19"/>
      <c r="H444" s="19"/>
      <c r="I444" s="19"/>
      <c r="J444" s="19"/>
      <c r="K444" s="19"/>
    </row>
    <row r="445" spans="2:11" ht="15">
      <c r="B445" s="13"/>
      <c r="C445" s="19"/>
      <c r="D445" s="19"/>
      <c r="E445" s="19"/>
      <c r="F445" s="19"/>
      <c r="G445" s="19"/>
      <c r="H445" s="19"/>
      <c r="I445" s="19"/>
      <c r="J445" s="19"/>
      <c r="K445" s="19"/>
    </row>
    <row r="446" spans="2:11" ht="15">
      <c r="B446" s="13"/>
      <c r="C446" s="19"/>
      <c r="D446" s="19"/>
      <c r="E446" s="19"/>
      <c r="F446" s="19"/>
      <c r="G446" s="19"/>
      <c r="H446" s="19"/>
      <c r="I446" s="19"/>
      <c r="J446" s="19"/>
      <c r="K446" s="19"/>
    </row>
    <row r="447" spans="2:11" ht="15">
      <c r="B447" s="13"/>
      <c r="C447" s="19"/>
      <c r="D447" s="19"/>
      <c r="E447" s="19"/>
      <c r="F447" s="19"/>
      <c r="G447" s="19"/>
      <c r="H447" s="19"/>
      <c r="I447" s="19"/>
      <c r="J447" s="19"/>
      <c r="K447" s="19"/>
    </row>
    <row r="450" spans="2:11" ht="18.75">
      <c r="B450" s="888"/>
      <c r="C450" s="888"/>
      <c r="D450" s="888"/>
      <c r="E450" s="888"/>
      <c r="F450" s="888"/>
      <c r="G450" s="888"/>
      <c r="H450" s="888"/>
      <c r="I450" s="888"/>
      <c r="J450" s="888"/>
      <c r="K450" s="25"/>
    </row>
    <row r="451" spans="2:11" ht="15">
      <c r="B451" s="26"/>
      <c r="C451" s="19"/>
      <c r="D451" s="19"/>
      <c r="E451" s="19"/>
      <c r="F451" s="19"/>
      <c r="G451" s="19"/>
      <c r="H451" s="19"/>
      <c r="I451" s="19"/>
      <c r="J451" s="19"/>
      <c r="K451" s="19"/>
    </row>
    <row r="452" spans="2:11">
      <c r="B452" s="890"/>
      <c r="C452" s="890"/>
      <c r="D452" s="890"/>
      <c r="E452" s="890"/>
      <c r="F452" s="890"/>
      <c r="G452" s="890"/>
      <c r="H452" s="890"/>
      <c r="I452" s="890"/>
      <c r="J452" s="890"/>
      <c r="K452" s="25"/>
    </row>
    <row r="453" spans="2:11">
      <c r="B453" s="890"/>
      <c r="C453" s="890"/>
      <c r="D453" s="890"/>
      <c r="E453" s="890"/>
      <c r="F453" s="890"/>
      <c r="G453" s="890"/>
      <c r="H453" s="890"/>
      <c r="I453" s="890"/>
      <c r="J453" s="890"/>
      <c r="K453" s="25"/>
    </row>
    <row r="454" spans="2:11">
      <c r="B454" s="890"/>
      <c r="C454" s="890"/>
      <c r="D454" s="890"/>
      <c r="E454" s="890"/>
      <c r="F454" s="890"/>
      <c r="G454" s="890"/>
      <c r="H454" s="890"/>
      <c r="I454" s="890"/>
      <c r="J454" s="890"/>
      <c r="K454" s="25"/>
    </row>
    <row r="455" spans="2:11" ht="23.25" customHeight="1">
      <c r="B455" s="890"/>
      <c r="C455" s="890"/>
      <c r="D455" s="890"/>
      <c r="E455" s="890"/>
      <c r="F455" s="890"/>
      <c r="G455" s="890"/>
      <c r="H455" s="890"/>
      <c r="I455" s="890"/>
      <c r="J455" s="890"/>
      <c r="K455" s="25"/>
    </row>
    <row r="456" spans="2:11" ht="15">
      <c r="B456" s="29"/>
      <c r="C456" s="19"/>
      <c r="D456" s="22"/>
      <c r="E456" s="22"/>
      <c r="F456" s="22"/>
      <c r="G456" s="19"/>
      <c r="H456" s="19"/>
      <c r="I456" s="19"/>
      <c r="J456" s="19"/>
      <c r="K456" s="19"/>
    </row>
    <row r="457" spans="2:11" ht="15">
      <c r="B457" s="20"/>
      <c r="C457" s="22"/>
      <c r="D457" s="22"/>
      <c r="E457" s="22"/>
      <c r="F457" s="22"/>
      <c r="G457" s="22"/>
      <c r="H457" s="22"/>
      <c r="I457" s="22"/>
      <c r="J457" s="22"/>
      <c r="K457" s="22"/>
    </row>
    <row r="458" spans="2:11" ht="15">
      <c r="B458" s="13"/>
      <c r="C458" s="22"/>
      <c r="D458" s="22"/>
      <c r="E458" s="31"/>
      <c r="F458" s="31"/>
      <c r="G458" s="31"/>
      <c r="H458" s="31"/>
      <c r="I458" s="31"/>
      <c r="J458" s="31"/>
      <c r="K458" s="31"/>
    </row>
    <row r="459" spans="2:11" ht="15">
      <c r="B459" s="13"/>
      <c r="C459" s="22"/>
      <c r="D459" s="19"/>
      <c r="E459" s="19"/>
      <c r="F459" s="19"/>
      <c r="G459" s="19"/>
      <c r="H459" s="19"/>
      <c r="I459" s="19"/>
      <c r="J459" s="19"/>
      <c r="K459" s="19"/>
    </row>
    <row r="460" spans="2:11" ht="15">
      <c r="B460" s="32"/>
      <c r="C460" s="19"/>
      <c r="D460" s="19"/>
      <c r="E460" s="19"/>
      <c r="F460" s="19"/>
      <c r="G460" s="19"/>
      <c r="H460" s="19"/>
      <c r="I460" s="19"/>
      <c r="J460" s="19"/>
      <c r="K460" s="19"/>
    </row>
    <row r="461" spans="2:11" ht="15">
      <c r="B461" s="33"/>
      <c r="C461" s="19"/>
      <c r="D461" s="19"/>
      <c r="E461" s="19"/>
      <c r="F461" s="19"/>
      <c r="G461" s="19"/>
      <c r="H461" s="19"/>
      <c r="I461" s="19"/>
      <c r="J461" s="19"/>
      <c r="K461" s="19"/>
    </row>
    <row r="462" spans="2:11" ht="15">
      <c r="B462" s="34"/>
      <c r="C462" s="19"/>
      <c r="D462" s="19"/>
      <c r="E462" s="19"/>
      <c r="F462" s="19"/>
      <c r="G462" s="19"/>
      <c r="H462" s="19"/>
      <c r="I462" s="19"/>
      <c r="J462" s="19"/>
      <c r="K462" s="19"/>
    </row>
    <row r="463" spans="2:11" ht="15">
      <c r="B463" s="34"/>
      <c r="C463" s="19"/>
      <c r="D463" s="19"/>
      <c r="E463" s="19"/>
      <c r="F463" s="19"/>
      <c r="G463" s="19"/>
      <c r="H463" s="19"/>
      <c r="I463" s="19"/>
      <c r="J463" s="19"/>
      <c r="K463" s="19"/>
    </row>
    <row r="464" spans="2:11" ht="15">
      <c r="B464" s="34"/>
      <c r="C464" s="19"/>
      <c r="D464" s="19"/>
      <c r="E464" s="19"/>
      <c r="F464" s="19"/>
      <c r="G464" s="19"/>
      <c r="H464" s="19"/>
      <c r="I464" s="19"/>
      <c r="J464" s="19"/>
      <c r="K464" s="19"/>
    </row>
    <row r="465" spans="2:11" ht="15">
      <c r="B465" s="34"/>
      <c r="C465" s="19"/>
      <c r="D465" s="19"/>
      <c r="E465" s="19"/>
      <c r="F465" s="19"/>
      <c r="G465" s="19"/>
      <c r="H465" s="19"/>
      <c r="I465" s="19"/>
      <c r="J465" s="19"/>
      <c r="K465" s="19"/>
    </row>
    <row r="466" spans="2:11" ht="15">
      <c r="B466" s="34"/>
      <c r="C466" s="19"/>
      <c r="D466" s="19"/>
      <c r="E466" s="19"/>
      <c r="F466" s="19"/>
      <c r="G466" s="19"/>
      <c r="H466" s="19"/>
      <c r="I466" s="19"/>
      <c r="J466" s="19"/>
      <c r="K466" s="19"/>
    </row>
    <row r="467" spans="2:11" ht="15">
      <c r="B467" s="16"/>
      <c r="C467" s="19"/>
      <c r="D467" s="19"/>
      <c r="E467" s="19"/>
      <c r="F467" s="19"/>
      <c r="G467" s="19"/>
      <c r="H467" s="19"/>
      <c r="I467" s="19"/>
      <c r="J467" s="19"/>
      <c r="K467" s="19"/>
    </row>
    <row r="468" spans="2:11" ht="15">
      <c r="B468" s="13"/>
      <c r="C468" s="19"/>
      <c r="D468" s="19"/>
      <c r="E468" s="19"/>
      <c r="F468" s="19"/>
      <c r="G468" s="19"/>
      <c r="H468" s="19"/>
      <c r="I468" s="19"/>
      <c r="J468" s="19"/>
      <c r="K468" s="19"/>
    </row>
    <row r="469" spans="2:11" ht="15">
      <c r="B469" s="32"/>
      <c r="C469" s="19"/>
      <c r="D469" s="19"/>
      <c r="E469" s="19"/>
      <c r="F469" s="19"/>
      <c r="G469" s="19"/>
      <c r="H469" s="19"/>
      <c r="I469" s="19"/>
      <c r="J469" s="19"/>
      <c r="K469" s="19"/>
    </row>
    <row r="470" spans="2:11" ht="15">
      <c r="B470" s="15"/>
      <c r="C470" s="19"/>
      <c r="D470" s="19"/>
      <c r="E470" s="19"/>
      <c r="F470" s="19"/>
      <c r="G470" s="19"/>
      <c r="H470" s="19"/>
      <c r="I470" s="19"/>
      <c r="J470" s="19"/>
      <c r="K470" s="19"/>
    </row>
    <row r="471" spans="2:11" ht="15">
      <c r="B471" s="15"/>
      <c r="C471" s="19"/>
      <c r="D471" s="19"/>
      <c r="E471" s="19"/>
      <c r="F471" s="19"/>
      <c r="G471" s="19"/>
      <c r="H471" s="19"/>
      <c r="I471" s="19"/>
      <c r="J471" s="19"/>
      <c r="K471" s="19"/>
    </row>
    <row r="472" spans="2:11" ht="15">
      <c r="B472" s="15"/>
      <c r="C472" s="19"/>
      <c r="D472" s="19"/>
      <c r="E472" s="19"/>
      <c r="F472" s="19"/>
      <c r="G472" s="19"/>
      <c r="H472" s="19"/>
      <c r="I472" s="19"/>
      <c r="J472" s="19"/>
      <c r="K472" s="19"/>
    </row>
    <row r="473" spans="2:11" ht="15">
      <c r="B473" s="15"/>
      <c r="C473" s="19"/>
      <c r="D473" s="19"/>
      <c r="E473" s="19"/>
      <c r="F473" s="19"/>
      <c r="G473" s="19"/>
      <c r="H473" s="19"/>
      <c r="I473" s="19"/>
      <c r="J473" s="19"/>
      <c r="K473" s="19"/>
    </row>
    <row r="474" spans="2:11" ht="15">
      <c r="B474" s="15"/>
      <c r="C474" s="19"/>
      <c r="D474" s="19"/>
      <c r="E474" s="19"/>
      <c r="F474" s="19"/>
      <c r="G474" s="19"/>
      <c r="H474" s="19"/>
      <c r="I474" s="19"/>
      <c r="J474" s="19"/>
      <c r="K474" s="19"/>
    </row>
    <row r="475" spans="2:11" ht="15">
      <c r="B475" s="16"/>
      <c r="C475" s="19"/>
      <c r="D475" s="19"/>
      <c r="E475" s="19"/>
      <c r="F475" s="19"/>
      <c r="G475" s="19"/>
      <c r="H475" s="19"/>
      <c r="I475" s="19"/>
      <c r="J475" s="19"/>
      <c r="K475" s="19"/>
    </row>
    <row r="476" spans="2:11" ht="15">
      <c r="B476" s="16"/>
      <c r="C476" s="19"/>
      <c r="D476" s="19"/>
      <c r="E476" s="19"/>
      <c r="F476" s="19"/>
      <c r="G476" s="19"/>
      <c r="H476" s="19"/>
      <c r="I476" s="19"/>
      <c r="J476" s="19"/>
      <c r="K476" s="19"/>
    </row>
    <row r="477" spans="2:11" ht="15">
      <c r="B477" s="17"/>
      <c r="C477" s="19"/>
      <c r="D477" s="19"/>
      <c r="E477" s="19"/>
      <c r="F477" s="19"/>
      <c r="G477" s="19"/>
      <c r="H477" s="19"/>
      <c r="I477" s="19"/>
      <c r="J477" s="19"/>
      <c r="K477" s="19"/>
    </row>
    <row r="478" spans="2:11" ht="15">
      <c r="B478" s="17"/>
      <c r="C478" s="19"/>
      <c r="D478" s="19"/>
      <c r="E478" s="19"/>
      <c r="F478" s="19"/>
      <c r="G478" s="19"/>
      <c r="H478" s="19"/>
      <c r="I478" s="19"/>
      <c r="J478" s="19"/>
      <c r="K478" s="19"/>
    </row>
    <row r="479" spans="2:11" ht="15">
      <c r="B479" s="32"/>
      <c r="C479" s="19"/>
      <c r="D479" s="19"/>
      <c r="E479" s="19"/>
      <c r="F479" s="19"/>
      <c r="G479" s="19"/>
      <c r="H479" s="19"/>
      <c r="I479" s="19"/>
      <c r="J479" s="19"/>
      <c r="K479" s="19"/>
    </row>
    <row r="480" spans="2:11" ht="15">
      <c r="B480" s="18"/>
      <c r="C480" s="19"/>
      <c r="D480" s="19"/>
      <c r="E480" s="19"/>
      <c r="F480" s="19"/>
      <c r="G480" s="19"/>
      <c r="H480" s="19"/>
      <c r="I480" s="19"/>
      <c r="J480" s="19"/>
      <c r="K480" s="19"/>
    </row>
    <row r="481" spans="2:11" ht="15">
      <c r="B481" s="18"/>
      <c r="C481" s="19"/>
      <c r="D481" s="19"/>
      <c r="E481" s="19"/>
      <c r="F481" s="19"/>
      <c r="G481" s="19"/>
      <c r="H481" s="19"/>
      <c r="I481" s="19"/>
      <c r="J481" s="19"/>
      <c r="K481" s="19"/>
    </row>
    <row r="482" spans="2:11" ht="15">
      <c r="B482" s="13"/>
      <c r="C482" s="19"/>
      <c r="D482" s="19"/>
      <c r="E482" s="19"/>
      <c r="F482" s="19"/>
      <c r="G482" s="19"/>
      <c r="H482" s="19"/>
      <c r="I482" s="19"/>
      <c r="J482" s="19"/>
      <c r="K482" s="19"/>
    </row>
    <row r="483" spans="2:11" ht="15">
      <c r="B483" s="13"/>
      <c r="C483" s="19"/>
      <c r="D483" s="19"/>
      <c r="E483" s="19"/>
      <c r="F483" s="19"/>
      <c r="G483" s="19"/>
      <c r="H483" s="19"/>
      <c r="I483" s="19"/>
      <c r="J483" s="19"/>
      <c r="K483" s="19"/>
    </row>
    <row r="484" spans="2:11" ht="15">
      <c r="B484" s="13"/>
      <c r="C484" s="19"/>
      <c r="D484" s="19"/>
      <c r="E484" s="19"/>
      <c r="F484" s="19"/>
      <c r="G484" s="19"/>
      <c r="H484" s="19"/>
      <c r="I484" s="19"/>
      <c r="J484" s="19"/>
      <c r="K484" s="19"/>
    </row>
    <row r="485" spans="2:11" ht="15">
      <c r="B485" s="13"/>
      <c r="C485" s="19"/>
      <c r="D485" s="19"/>
      <c r="E485" s="19"/>
      <c r="F485" s="19"/>
      <c r="G485" s="19"/>
      <c r="H485" s="19"/>
      <c r="I485" s="19"/>
      <c r="J485" s="19"/>
      <c r="K485" s="19"/>
    </row>
    <row r="486" spans="2:11" ht="15">
      <c r="B486" s="13"/>
      <c r="C486" s="19"/>
      <c r="D486" s="19"/>
      <c r="E486" s="19"/>
      <c r="F486" s="19"/>
      <c r="G486" s="19"/>
      <c r="H486" s="19"/>
      <c r="I486" s="19"/>
      <c r="J486" s="19"/>
      <c r="K486" s="19"/>
    </row>
    <row r="487" spans="2:11" ht="15">
      <c r="B487" s="13"/>
      <c r="C487" s="19"/>
      <c r="D487" s="19"/>
      <c r="E487" s="19"/>
      <c r="F487" s="19"/>
      <c r="G487" s="19"/>
      <c r="H487" s="19"/>
      <c r="I487" s="19"/>
      <c r="J487" s="19"/>
      <c r="K487" s="19"/>
    </row>
    <row r="488" spans="2:11" ht="15">
      <c r="B488" s="13"/>
      <c r="C488" s="19"/>
      <c r="D488" s="19"/>
      <c r="E488" s="19"/>
      <c r="F488" s="19"/>
      <c r="G488" s="19"/>
      <c r="H488" s="19"/>
      <c r="I488" s="19"/>
      <c r="J488" s="19"/>
      <c r="K488" s="19"/>
    </row>
    <row r="489" spans="2:11" ht="15">
      <c r="B489" s="13"/>
      <c r="C489" s="19"/>
      <c r="D489" s="19"/>
      <c r="E489" s="19"/>
      <c r="F489" s="19"/>
      <c r="G489" s="19"/>
      <c r="H489" s="19"/>
      <c r="I489" s="19"/>
      <c r="J489" s="19"/>
      <c r="K489" s="19"/>
    </row>
    <row r="490" spans="2:11" ht="15">
      <c r="B490" s="13"/>
      <c r="C490" s="19"/>
      <c r="D490" s="19"/>
      <c r="E490" s="19"/>
      <c r="F490" s="19"/>
      <c r="G490" s="19"/>
      <c r="H490" s="19"/>
      <c r="I490" s="19"/>
      <c r="J490" s="19"/>
      <c r="K490" s="19"/>
    </row>
    <row r="491" spans="2:11" ht="15">
      <c r="B491" s="13"/>
      <c r="C491" s="19"/>
      <c r="D491" s="19"/>
      <c r="E491" s="19"/>
      <c r="F491" s="19"/>
      <c r="G491" s="19"/>
      <c r="H491" s="19"/>
      <c r="I491" s="19"/>
      <c r="J491" s="19"/>
      <c r="K491" s="19"/>
    </row>
    <row r="492" spans="2:11" ht="15">
      <c r="B492" s="13"/>
      <c r="C492" s="19"/>
      <c r="D492" s="19"/>
      <c r="E492" s="19"/>
      <c r="F492" s="19"/>
      <c r="G492" s="19"/>
      <c r="H492" s="19"/>
      <c r="I492" s="19"/>
      <c r="J492" s="19"/>
      <c r="K492" s="19"/>
    </row>
    <row r="495" spans="2:11" ht="18.75">
      <c r="B495" s="888"/>
      <c r="C495" s="888"/>
      <c r="D495" s="888"/>
      <c r="E495" s="888"/>
      <c r="F495" s="888"/>
      <c r="G495" s="888"/>
      <c r="H495" s="888"/>
      <c r="I495" s="888"/>
      <c r="J495" s="888"/>
      <c r="K495" s="25"/>
    </row>
    <row r="496" spans="2:11" ht="15">
      <c r="B496" s="26"/>
      <c r="C496" s="19"/>
      <c r="D496" s="19"/>
      <c r="E496" s="19"/>
      <c r="F496" s="19"/>
      <c r="G496" s="19"/>
      <c r="H496" s="19"/>
      <c r="I496" s="19"/>
      <c r="J496" s="19"/>
      <c r="K496" s="19"/>
    </row>
    <row r="497" spans="2:11">
      <c r="B497" s="890"/>
      <c r="C497" s="890"/>
      <c r="D497" s="890"/>
      <c r="E497" s="890"/>
      <c r="F497" s="890"/>
      <c r="G497" s="890"/>
      <c r="H497" s="890"/>
      <c r="I497" s="890"/>
      <c r="J497" s="890"/>
      <c r="K497" s="25"/>
    </row>
    <row r="498" spans="2:11">
      <c r="B498" s="890"/>
      <c r="C498" s="890"/>
      <c r="D498" s="890"/>
      <c r="E498" s="890"/>
      <c r="F498" s="890"/>
      <c r="G498" s="890"/>
      <c r="H498" s="890"/>
      <c r="I498" s="890"/>
      <c r="J498" s="890"/>
      <c r="K498" s="25"/>
    </row>
    <row r="499" spans="2:11">
      <c r="B499" s="890"/>
      <c r="C499" s="890"/>
      <c r="D499" s="890"/>
      <c r="E499" s="890"/>
      <c r="F499" s="890"/>
      <c r="G499" s="890"/>
      <c r="H499" s="890"/>
      <c r="I499" s="890"/>
      <c r="J499" s="890"/>
      <c r="K499" s="25"/>
    </row>
    <row r="500" spans="2:11">
      <c r="B500" s="890"/>
      <c r="C500" s="890"/>
      <c r="D500" s="890"/>
      <c r="E500" s="890"/>
      <c r="F500" s="890"/>
      <c r="G500" s="890"/>
      <c r="H500" s="890"/>
      <c r="I500" s="890"/>
      <c r="J500" s="890"/>
      <c r="K500" s="25"/>
    </row>
    <row r="501" spans="2:11" ht="15">
      <c r="B501" s="27"/>
      <c r="C501" s="28"/>
      <c r="D501" s="28"/>
      <c r="E501" s="28"/>
      <c r="F501" s="28"/>
      <c r="G501" s="28"/>
      <c r="H501" s="19"/>
      <c r="I501" s="19"/>
      <c r="J501" s="19"/>
      <c r="K501" s="19"/>
    </row>
    <row r="502" spans="2:11" ht="15">
      <c r="B502" s="29"/>
      <c r="C502" s="19"/>
      <c r="D502" s="22"/>
      <c r="E502" s="22"/>
      <c r="F502" s="22"/>
      <c r="G502" s="19"/>
      <c r="H502" s="19"/>
      <c r="I502" s="19"/>
      <c r="J502" s="19"/>
      <c r="K502" s="19"/>
    </row>
    <row r="503" spans="2:11" ht="15">
      <c r="B503" s="20"/>
      <c r="C503" s="22"/>
      <c r="D503" s="22"/>
      <c r="E503" s="22"/>
      <c r="F503" s="22"/>
      <c r="G503" s="22"/>
      <c r="H503" s="22"/>
      <c r="I503" s="22"/>
      <c r="J503" s="22"/>
      <c r="K503" s="22"/>
    </row>
    <row r="504" spans="2:11" ht="15">
      <c r="B504" s="13"/>
      <c r="C504" s="22"/>
      <c r="D504" s="22"/>
      <c r="E504" s="31"/>
      <c r="F504" s="31"/>
      <c r="G504" s="31"/>
      <c r="H504" s="31"/>
      <c r="I504" s="31"/>
      <c r="J504" s="31"/>
      <c r="K504" s="31"/>
    </row>
    <row r="505" spans="2:11" ht="15">
      <c r="B505" s="13"/>
      <c r="C505" s="22"/>
      <c r="D505" s="19"/>
      <c r="E505" s="19"/>
      <c r="F505" s="19"/>
      <c r="G505" s="19"/>
      <c r="H505" s="19"/>
      <c r="I505" s="19"/>
      <c r="J505" s="19"/>
      <c r="K505" s="19"/>
    </row>
    <row r="506" spans="2:11" ht="15">
      <c r="B506" s="32"/>
      <c r="C506" s="19"/>
      <c r="D506" s="19"/>
      <c r="E506" s="19"/>
      <c r="F506" s="19"/>
      <c r="G506" s="19"/>
      <c r="H506" s="19"/>
      <c r="I506" s="19"/>
      <c r="J506" s="19"/>
      <c r="K506" s="19"/>
    </row>
    <row r="507" spans="2:11" ht="15">
      <c r="B507" s="34"/>
      <c r="C507" s="19"/>
      <c r="D507" s="19"/>
      <c r="E507" s="19"/>
      <c r="F507" s="19"/>
      <c r="G507" s="19"/>
      <c r="H507" s="19"/>
      <c r="I507" s="19"/>
      <c r="J507" s="19"/>
      <c r="K507" s="19"/>
    </row>
    <row r="508" spans="2:11" ht="15">
      <c r="B508" s="34"/>
      <c r="C508" s="19"/>
      <c r="D508" s="19"/>
      <c r="E508" s="19"/>
      <c r="F508" s="19"/>
      <c r="G508" s="19"/>
      <c r="H508" s="19"/>
      <c r="I508" s="19"/>
      <c r="J508" s="19"/>
      <c r="K508" s="19"/>
    </row>
    <row r="509" spans="2:11" ht="15">
      <c r="B509" s="16"/>
      <c r="C509" s="19"/>
      <c r="D509" s="19"/>
      <c r="E509" s="19"/>
      <c r="F509" s="19"/>
      <c r="G509" s="19"/>
      <c r="H509" s="19"/>
      <c r="I509" s="19"/>
      <c r="J509" s="19"/>
      <c r="K509" s="19"/>
    </row>
    <row r="510" spans="2:11" ht="15">
      <c r="B510" s="13"/>
      <c r="C510" s="19"/>
      <c r="D510" s="19"/>
      <c r="E510" s="19"/>
      <c r="F510" s="19"/>
      <c r="G510" s="19"/>
      <c r="H510" s="19"/>
      <c r="I510" s="19"/>
      <c r="J510" s="19"/>
      <c r="K510" s="19"/>
    </row>
    <row r="511" spans="2:11" ht="15">
      <c r="B511" s="32"/>
      <c r="C511" s="19"/>
      <c r="D511" s="19"/>
      <c r="E511" s="19"/>
      <c r="F511" s="19"/>
      <c r="G511" s="19"/>
      <c r="H511" s="19"/>
      <c r="I511" s="19"/>
      <c r="J511" s="19"/>
      <c r="K511" s="19"/>
    </row>
    <row r="512" spans="2:11" ht="15">
      <c r="B512" s="15"/>
      <c r="C512" s="19"/>
      <c r="D512" s="19"/>
      <c r="E512" s="19"/>
      <c r="F512" s="19"/>
      <c r="G512" s="19"/>
      <c r="H512" s="19"/>
      <c r="I512" s="19"/>
      <c r="J512" s="19"/>
      <c r="K512" s="19"/>
    </row>
    <row r="513" spans="2:11" ht="15">
      <c r="B513" s="15"/>
      <c r="C513" s="19"/>
      <c r="D513" s="19"/>
      <c r="E513" s="19"/>
      <c r="F513" s="19"/>
      <c r="G513" s="19"/>
      <c r="H513" s="19"/>
      <c r="I513" s="19"/>
      <c r="J513" s="19"/>
      <c r="K513" s="19"/>
    </row>
    <row r="514" spans="2:11" ht="15">
      <c r="B514" s="15"/>
      <c r="C514" s="19"/>
      <c r="D514" s="19"/>
      <c r="E514" s="19"/>
      <c r="F514" s="19"/>
      <c r="G514" s="19"/>
      <c r="H514" s="19"/>
      <c r="I514" s="19"/>
      <c r="J514" s="19"/>
      <c r="K514" s="19"/>
    </row>
    <row r="515" spans="2:11" ht="15">
      <c r="B515" s="15"/>
      <c r="C515" s="19"/>
      <c r="D515" s="19"/>
      <c r="E515" s="19"/>
      <c r="F515" s="19"/>
      <c r="G515" s="19"/>
      <c r="H515" s="19"/>
      <c r="I515" s="19"/>
      <c r="J515" s="19"/>
      <c r="K515" s="19"/>
    </row>
    <row r="516" spans="2:11" ht="15">
      <c r="B516" s="16"/>
      <c r="C516" s="19"/>
      <c r="D516" s="19"/>
      <c r="E516" s="19"/>
      <c r="F516" s="19"/>
      <c r="G516" s="19"/>
      <c r="H516" s="19"/>
      <c r="I516" s="19"/>
      <c r="J516" s="19"/>
      <c r="K516" s="19"/>
    </row>
    <row r="517" spans="2:11" ht="15">
      <c r="B517" s="16"/>
      <c r="C517" s="19"/>
      <c r="D517" s="19"/>
      <c r="E517" s="19"/>
      <c r="F517" s="19"/>
      <c r="G517" s="19"/>
      <c r="H517" s="19"/>
      <c r="I517" s="19"/>
      <c r="J517" s="19"/>
      <c r="K517" s="19"/>
    </row>
    <row r="518" spans="2:11" ht="15">
      <c r="B518" s="17"/>
      <c r="C518" s="19"/>
      <c r="D518" s="19"/>
      <c r="E518" s="19"/>
      <c r="F518" s="19"/>
      <c r="G518" s="19"/>
      <c r="H518" s="19"/>
      <c r="I518" s="19"/>
      <c r="J518" s="19"/>
      <c r="K518" s="19"/>
    </row>
    <row r="519" spans="2:11" ht="15">
      <c r="B519" s="17"/>
      <c r="C519" s="19"/>
      <c r="D519" s="19"/>
      <c r="E519" s="19"/>
      <c r="F519" s="19"/>
      <c r="G519" s="19"/>
      <c r="H519" s="19"/>
      <c r="I519" s="19"/>
      <c r="J519" s="19"/>
      <c r="K519" s="19"/>
    </row>
    <row r="520" spans="2:11" ht="15">
      <c r="B520" s="32"/>
      <c r="C520" s="19"/>
      <c r="D520" s="19"/>
      <c r="E520" s="19"/>
      <c r="F520" s="19"/>
      <c r="G520" s="19"/>
      <c r="H520" s="19"/>
      <c r="I520" s="19"/>
      <c r="J520" s="19"/>
      <c r="K520" s="19"/>
    </row>
    <row r="521" spans="2:11" ht="15">
      <c r="B521" s="18"/>
      <c r="C521" s="19"/>
      <c r="D521" s="19"/>
      <c r="E521" s="19"/>
      <c r="F521" s="19"/>
      <c r="G521" s="19"/>
      <c r="H521" s="19"/>
      <c r="I521" s="19"/>
      <c r="J521" s="19"/>
      <c r="K521" s="19"/>
    </row>
    <row r="522" spans="2:11" ht="15">
      <c r="B522" s="18"/>
      <c r="C522" s="19"/>
      <c r="D522" s="19"/>
      <c r="E522" s="19"/>
      <c r="F522" s="19"/>
      <c r="G522" s="19"/>
      <c r="H522" s="19"/>
      <c r="I522" s="19"/>
      <c r="J522" s="19"/>
      <c r="K522" s="19"/>
    </row>
    <row r="523" spans="2:11" ht="15">
      <c r="B523" s="13"/>
      <c r="C523" s="19"/>
      <c r="D523" s="19"/>
      <c r="E523" s="19"/>
      <c r="F523" s="19"/>
      <c r="G523" s="19"/>
      <c r="H523" s="19"/>
      <c r="I523" s="19"/>
      <c r="J523" s="19"/>
      <c r="K523" s="19"/>
    </row>
    <row r="524" spans="2:11" ht="15">
      <c r="B524" s="13"/>
      <c r="C524" s="19"/>
      <c r="D524" s="19"/>
      <c r="E524" s="19"/>
      <c r="F524" s="19"/>
      <c r="G524" s="19"/>
      <c r="H524" s="19"/>
      <c r="I524" s="19"/>
      <c r="J524" s="19"/>
      <c r="K524" s="19"/>
    </row>
    <row r="525" spans="2:11" ht="15">
      <c r="B525" s="13"/>
      <c r="C525" s="19"/>
      <c r="D525" s="19"/>
      <c r="E525" s="19"/>
      <c r="F525" s="19"/>
      <c r="G525" s="19"/>
      <c r="H525" s="19"/>
      <c r="I525" s="19"/>
      <c r="J525" s="19"/>
      <c r="K525" s="19"/>
    </row>
    <row r="526" spans="2:11" ht="15">
      <c r="B526" s="13"/>
      <c r="C526" s="19"/>
      <c r="D526" s="19"/>
      <c r="E526" s="19"/>
      <c r="F526" s="19"/>
      <c r="G526" s="19"/>
      <c r="H526" s="19"/>
      <c r="I526" s="19"/>
      <c r="J526" s="19"/>
      <c r="K526" s="19"/>
    </row>
    <row r="527" spans="2:11" ht="15">
      <c r="B527" s="13"/>
      <c r="C527" s="19"/>
      <c r="D527" s="19"/>
      <c r="E527" s="19"/>
      <c r="F527" s="19"/>
      <c r="G527" s="19"/>
      <c r="H527" s="19"/>
      <c r="I527" s="19"/>
      <c r="J527" s="19"/>
      <c r="K527" s="19"/>
    </row>
    <row r="528" spans="2:11" ht="15">
      <c r="B528" s="13"/>
      <c r="C528" s="19"/>
      <c r="D528" s="19"/>
      <c r="E528" s="19"/>
      <c r="F528" s="19"/>
      <c r="G528" s="19"/>
      <c r="H528" s="19"/>
      <c r="I528" s="19"/>
      <c r="J528" s="19"/>
      <c r="K528" s="19"/>
    </row>
    <row r="529" spans="2:11" ht="15">
      <c r="B529" s="13"/>
      <c r="C529" s="19"/>
      <c r="D529" s="19"/>
      <c r="E529" s="19"/>
      <c r="F529" s="19"/>
      <c r="G529" s="19"/>
      <c r="H529" s="19"/>
      <c r="I529" s="19"/>
      <c r="J529" s="19"/>
      <c r="K529" s="19"/>
    </row>
    <row r="530" spans="2:11" ht="15">
      <c r="B530" s="13"/>
      <c r="C530" s="19"/>
      <c r="D530" s="19"/>
      <c r="E530" s="19"/>
      <c r="F530" s="19"/>
      <c r="G530" s="19"/>
      <c r="H530" s="19"/>
      <c r="I530" s="19"/>
      <c r="J530" s="19"/>
      <c r="K530" s="19"/>
    </row>
    <row r="531" spans="2:11" ht="15">
      <c r="B531" s="13"/>
      <c r="C531" s="19"/>
      <c r="D531" s="19"/>
      <c r="E531" s="19"/>
      <c r="F531" s="19"/>
      <c r="G531" s="19"/>
      <c r="H531" s="19"/>
      <c r="I531" s="19"/>
      <c r="J531" s="19"/>
      <c r="K531" s="19"/>
    </row>
    <row r="532" spans="2:11" ht="15">
      <c r="B532" s="13"/>
      <c r="C532" s="19"/>
      <c r="D532" s="19"/>
      <c r="E532" s="19"/>
      <c r="F532" s="19"/>
      <c r="G532" s="19"/>
      <c r="H532" s="19"/>
      <c r="I532" s="19"/>
      <c r="J532" s="19"/>
      <c r="K532" s="19"/>
    </row>
    <row r="535" spans="2:11" ht="18.75">
      <c r="B535" s="888"/>
      <c r="C535" s="888"/>
      <c r="D535" s="888"/>
      <c r="E535" s="888"/>
      <c r="F535" s="888"/>
      <c r="G535" s="888"/>
      <c r="H535" s="888"/>
      <c r="I535" s="888"/>
      <c r="J535" s="888"/>
      <c r="K535" s="25"/>
    </row>
    <row r="536" spans="2:11" ht="15">
      <c r="B536" s="26"/>
      <c r="C536" s="19"/>
      <c r="D536" s="19"/>
      <c r="E536" s="19"/>
      <c r="F536" s="19"/>
      <c r="G536" s="19"/>
      <c r="H536" s="19"/>
      <c r="I536" s="19"/>
      <c r="J536" s="19"/>
      <c r="K536" s="19"/>
    </row>
    <row r="537" spans="2:11">
      <c r="B537" s="890"/>
      <c r="C537" s="890"/>
      <c r="D537" s="890"/>
      <c r="E537" s="890"/>
      <c r="F537" s="890"/>
      <c r="G537" s="890"/>
      <c r="H537" s="890"/>
      <c r="I537" s="890"/>
      <c r="J537" s="890"/>
      <c r="K537" s="25"/>
    </row>
    <row r="538" spans="2:11">
      <c r="B538" s="890"/>
      <c r="C538" s="890"/>
      <c r="D538" s="890"/>
      <c r="E538" s="890"/>
      <c r="F538" s="890"/>
      <c r="G538" s="890"/>
      <c r="H538" s="890"/>
      <c r="I538" s="890"/>
      <c r="J538" s="890"/>
      <c r="K538" s="25"/>
    </row>
    <row r="539" spans="2:11">
      <c r="B539" s="890"/>
      <c r="C539" s="890"/>
      <c r="D539" s="890"/>
      <c r="E539" s="890"/>
      <c r="F539" s="890"/>
      <c r="G539" s="890"/>
      <c r="H539" s="890"/>
      <c r="I539" s="890"/>
      <c r="J539" s="890"/>
      <c r="K539" s="25"/>
    </row>
    <row r="540" spans="2:11" ht="15">
      <c r="B540" s="29"/>
      <c r="C540" s="19"/>
      <c r="D540" s="22"/>
      <c r="E540" s="19"/>
      <c r="F540" s="22"/>
      <c r="G540" s="19"/>
      <c r="H540" s="19"/>
      <c r="I540" s="19"/>
      <c r="J540" s="19"/>
      <c r="K540" s="19"/>
    </row>
    <row r="541" spans="2:11" ht="15">
      <c r="B541" s="20"/>
      <c r="C541" s="22"/>
      <c r="D541" s="22"/>
      <c r="E541" s="22"/>
      <c r="F541" s="22"/>
      <c r="G541" s="22"/>
      <c r="H541" s="22"/>
      <c r="I541" s="22"/>
      <c r="J541" s="22"/>
      <c r="K541" s="22"/>
    </row>
    <row r="542" spans="2:11" ht="15">
      <c r="B542" s="13"/>
      <c r="C542" s="22"/>
      <c r="D542" s="22"/>
      <c r="E542" s="31"/>
      <c r="F542" s="31"/>
      <c r="G542" s="31"/>
      <c r="H542" s="31"/>
      <c r="I542" s="31"/>
      <c r="J542" s="31"/>
      <c r="K542" s="31"/>
    </row>
    <row r="543" spans="2:11" ht="15">
      <c r="B543" s="13"/>
      <c r="C543" s="22"/>
      <c r="D543" s="19"/>
      <c r="E543" s="19"/>
      <c r="F543" s="19"/>
      <c r="G543" s="19"/>
      <c r="H543" s="19"/>
      <c r="I543" s="19"/>
      <c r="J543" s="19"/>
      <c r="K543" s="19"/>
    </row>
    <row r="544" spans="2:11" ht="15">
      <c r="B544" s="32"/>
      <c r="C544" s="19"/>
      <c r="D544" s="19"/>
      <c r="E544" s="19"/>
      <c r="F544" s="19"/>
      <c r="G544" s="19"/>
      <c r="H544" s="19"/>
      <c r="I544" s="19"/>
      <c r="J544" s="19"/>
      <c r="K544" s="19"/>
    </row>
    <row r="545" spans="2:11" ht="15">
      <c r="B545" s="33"/>
      <c r="C545" s="19"/>
      <c r="D545" s="19"/>
      <c r="E545" s="19"/>
      <c r="F545" s="19"/>
      <c r="G545" s="19"/>
      <c r="H545" s="19"/>
      <c r="I545" s="19"/>
      <c r="J545" s="19"/>
      <c r="K545" s="19"/>
    </row>
    <row r="546" spans="2:11" ht="15">
      <c r="B546" s="33"/>
      <c r="C546" s="19"/>
      <c r="D546" s="19"/>
      <c r="E546" s="19"/>
      <c r="F546" s="19"/>
      <c r="G546" s="19"/>
      <c r="H546" s="19"/>
      <c r="I546" s="19"/>
      <c r="J546" s="19"/>
      <c r="K546" s="19"/>
    </row>
    <row r="547" spans="2:11" ht="15">
      <c r="B547" s="34"/>
      <c r="C547" s="19"/>
      <c r="D547" s="19"/>
      <c r="E547" s="19"/>
      <c r="F547" s="19"/>
      <c r="G547" s="19"/>
      <c r="H547" s="19"/>
      <c r="I547" s="19"/>
      <c r="J547" s="19"/>
      <c r="K547" s="19"/>
    </row>
    <row r="548" spans="2:11" ht="15">
      <c r="B548" s="34"/>
      <c r="C548" s="19"/>
      <c r="D548" s="19"/>
      <c r="E548" s="19"/>
      <c r="F548" s="19"/>
      <c r="G548" s="19"/>
      <c r="H548" s="19"/>
      <c r="I548" s="19"/>
      <c r="J548" s="19"/>
      <c r="K548" s="19"/>
    </row>
    <row r="549" spans="2:11" ht="15">
      <c r="B549" s="34"/>
      <c r="C549" s="19"/>
      <c r="D549" s="19"/>
      <c r="E549" s="19"/>
      <c r="F549" s="19"/>
      <c r="G549" s="19"/>
      <c r="H549" s="19"/>
      <c r="I549" s="19"/>
      <c r="J549" s="19"/>
      <c r="K549" s="19"/>
    </row>
    <row r="550" spans="2:11" ht="15">
      <c r="B550" s="34"/>
      <c r="C550" s="19"/>
      <c r="D550" s="19"/>
      <c r="E550" s="19"/>
      <c r="F550" s="19"/>
      <c r="G550" s="19"/>
      <c r="H550" s="19"/>
      <c r="I550" s="19"/>
      <c r="J550" s="19"/>
      <c r="K550" s="19"/>
    </row>
    <row r="551" spans="2:11" ht="15">
      <c r="B551" s="34"/>
      <c r="C551" s="19"/>
      <c r="D551" s="19"/>
      <c r="E551" s="19"/>
      <c r="F551" s="19"/>
      <c r="G551" s="19"/>
      <c r="H551" s="19"/>
      <c r="I551" s="19"/>
      <c r="J551" s="19"/>
      <c r="K551" s="19"/>
    </row>
    <row r="552" spans="2:11" ht="15">
      <c r="B552" s="34"/>
      <c r="C552" s="19"/>
      <c r="D552" s="19"/>
      <c r="E552" s="19"/>
      <c r="F552" s="19"/>
      <c r="G552" s="19"/>
      <c r="H552" s="19"/>
      <c r="I552" s="19"/>
      <c r="J552" s="19"/>
      <c r="K552" s="19"/>
    </row>
    <row r="553" spans="2:11" ht="15">
      <c r="B553" s="15"/>
      <c r="C553" s="19"/>
      <c r="D553" s="19"/>
      <c r="E553" s="19"/>
      <c r="F553" s="19"/>
      <c r="G553" s="19"/>
      <c r="H553" s="19"/>
      <c r="I553" s="19"/>
      <c r="J553" s="19"/>
      <c r="K553" s="19"/>
    </row>
    <row r="554" spans="2:11" ht="15">
      <c r="B554" s="16"/>
      <c r="C554" s="19"/>
      <c r="D554" s="19"/>
      <c r="E554" s="19"/>
      <c r="F554" s="19"/>
      <c r="G554" s="19"/>
      <c r="H554" s="19"/>
      <c r="I554" s="19"/>
      <c r="J554" s="19"/>
      <c r="K554" s="19"/>
    </row>
    <row r="555" spans="2:11" ht="15">
      <c r="B555" s="13"/>
      <c r="C555" s="19"/>
      <c r="D555" s="19"/>
      <c r="E555" s="19"/>
      <c r="F555" s="19"/>
      <c r="G555" s="19"/>
      <c r="H555" s="19"/>
      <c r="I555" s="19"/>
      <c r="J555" s="19"/>
      <c r="K555" s="19"/>
    </row>
    <row r="556" spans="2:11" ht="15">
      <c r="B556" s="32"/>
      <c r="C556" s="19"/>
      <c r="D556" s="19"/>
      <c r="E556" s="19"/>
      <c r="F556" s="19"/>
      <c r="G556" s="19"/>
      <c r="H556" s="19"/>
      <c r="I556" s="19"/>
      <c r="J556" s="19"/>
      <c r="K556" s="19"/>
    </row>
    <row r="557" spans="2:11" ht="15">
      <c r="B557" s="15"/>
      <c r="C557" s="19"/>
      <c r="D557" s="19"/>
      <c r="E557" s="19"/>
      <c r="F557" s="19"/>
      <c r="G557" s="19"/>
      <c r="H557" s="19"/>
      <c r="I557" s="19"/>
      <c r="J557" s="19"/>
      <c r="K557" s="19"/>
    </row>
    <row r="558" spans="2:11" ht="15">
      <c r="B558" s="15"/>
      <c r="C558" s="19"/>
      <c r="D558" s="19"/>
      <c r="E558" s="19"/>
      <c r="F558" s="19"/>
      <c r="G558" s="19"/>
      <c r="H558" s="19"/>
      <c r="I558" s="19"/>
      <c r="J558" s="19"/>
      <c r="K558" s="19"/>
    </row>
    <row r="559" spans="2:11" ht="15">
      <c r="B559" s="15"/>
      <c r="C559" s="19"/>
      <c r="D559" s="19"/>
      <c r="E559" s="19"/>
      <c r="F559" s="19"/>
      <c r="G559" s="19"/>
      <c r="H559" s="19"/>
      <c r="I559" s="19"/>
      <c r="J559" s="19"/>
      <c r="K559" s="19"/>
    </row>
    <row r="560" spans="2:11" ht="15">
      <c r="B560" s="15"/>
      <c r="C560" s="19"/>
      <c r="D560" s="19"/>
      <c r="E560" s="19"/>
      <c r="F560" s="19"/>
      <c r="G560" s="19"/>
      <c r="H560" s="19"/>
      <c r="I560" s="19"/>
      <c r="J560" s="19"/>
      <c r="K560" s="19"/>
    </row>
    <row r="561" spans="2:11" ht="15">
      <c r="B561" s="15"/>
      <c r="C561" s="19"/>
      <c r="D561" s="19"/>
      <c r="E561" s="19"/>
      <c r="F561" s="19"/>
      <c r="G561" s="19"/>
      <c r="H561" s="19"/>
      <c r="I561" s="19"/>
      <c r="J561" s="19"/>
      <c r="K561" s="19"/>
    </row>
    <row r="562" spans="2:11" ht="15">
      <c r="B562" s="15"/>
      <c r="C562" s="19"/>
      <c r="D562" s="19"/>
      <c r="E562" s="19"/>
      <c r="F562" s="19"/>
      <c r="G562" s="19"/>
      <c r="H562" s="19"/>
      <c r="I562" s="19"/>
      <c r="J562" s="19"/>
      <c r="K562" s="19"/>
    </row>
    <row r="563" spans="2:11" ht="15">
      <c r="B563" s="15"/>
      <c r="C563" s="19"/>
      <c r="D563" s="19"/>
      <c r="E563" s="19"/>
      <c r="F563" s="19"/>
      <c r="G563" s="19"/>
      <c r="H563" s="19"/>
      <c r="I563" s="19"/>
      <c r="J563" s="19"/>
      <c r="K563" s="19"/>
    </row>
    <row r="564" spans="2:11" ht="15">
      <c r="B564" s="16"/>
      <c r="C564" s="19"/>
      <c r="D564" s="19"/>
      <c r="E564" s="19"/>
      <c r="F564" s="19"/>
      <c r="G564" s="19"/>
      <c r="H564" s="19"/>
      <c r="I564" s="19"/>
      <c r="J564" s="19"/>
      <c r="K564" s="19"/>
    </row>
    <row r="565" spans="2:11" ht="15">
      <c r="B565" s="16"/>
      <c r="C565" s="19"/>
      <c r="D565" s="19"/>
      <c r="E565" s="19"/>
      <c r="F565" s="19"/>
      <c r="G565" s="19"/>
      <c r="H565" s="19"/>
      <c r="I565" s="19"/>
      <c r="J565" s="19"/>
      <c r="K565" s="19"/>
    </row>
    <row r="566" spans="2:11" ht="15">
      <c r="B566" s="17"/>
      <c r="C566" s="19"/>
      <c r="D566" s="19"/>
      <c r="E566" s="19"/>
      <c r="F566" s="19"/>
      <c r="G566" s="19"/>
      <c r="H566" s="19"/>
      <c r="I566" s="19"/>
      <c r="J566" s="19"/>
      <c r="K566" s="19"/>
    </row>
    <row r="567" spans="2:11" ht="15">
      <c r="B567" s="17"/>
      <c r="C567" s="19"/>
      <c r="D567" s="19"/>
      <c r="E567" s="19"/>
      <c r="F567" s="19"/>
      <c r="G567" s="19"/>
      <c r="H567" s="19"/>
      <c r="I567" s="19"/>
      <c r="J567" s="19"/>
      <c r="K567" s="19"/>
    </row>
    <row r="568" spans="2:11" ht="15">
      <c r="B568" s="32"/>
      <c r="C568" s="19"/>
      <c r="D568" s="19"/>
      <c r="E568" s="19"/>
      <c r="F568" s="19"/>
      <c r="G568" s="19"/>
      <c r="H568" s="19"/>
      <c r="I568" s="19"/>
      <c r="J568" s="19"/>
      <c r="K568" s="19"/>
    </row>
    <row r="569" spans="2:11" ht="15">
      <c r="B569" s="18"/>
      <c r="C569" s="19"/>
      <c r="D569" s="19"/>
      <c r="E569" s="19"/>
      <c r="F569" s="19"/>
      <c r="G569" s="19"/>
      <c r="H569" s="19"/>
      <c r="I569" s="19"/>
      <c r="J569" s="19"/>
      <c r="K569" s="19"/>
    </row>
    <row r="570" spans="2:11" ht="15">
      <c r="B570" s="18"/>
      <c r="C570" s="19"/>
      <c r="D570" s="19"/>
      <c r="E570" s="19"/>
      <c r="F570" s="19"/>
      <c r="G570" s="19"/>
      <c r="H570" s="19"/>
      <c r="I570" s="19"/>
      <c r="J570" s="19"/>
      <c r="K570" s="19"/>
    </row>
    <row r="571" spans="2:11" ht="15">
      <c r="B571" s="13"/>
      <c r="C571" s="19"/>
      <c r="D571" s="19"/>
      <c r="E571" s="19"/>
      <c r="F571" s="19"/>
      <c r="G571" s="19"/>
      <c r="H571" s="19"/>
      <c r="I571" s="19"/>
      <c r="J571" s="19"/>
      <c r="K571" s="19"/>
    </row>
    <row r="572" spans="2:11" ht="15">
      <c r="B572" s="13"/>
      <c r="C572" s="19"/>
      <c r="D572" s="19"/>
      <c r="E572" s="19"/>
      <c r="F572" s="19"/>
      <c r="G572" s="19"/>
      <c r="H572" s="19"/>
      <c r="I572" s="19"/>
      <c r="J572" s="19"/>
      <c r="K572" s="19"/>
    </row>
    <row r="573" spans="2:11" ht="15">
      <c r="B573" s="13"/>
      <c r="C573" s="19"/>
      <c r="D573" s="19"/>
      <c r="E573" s="19"/>
      <c r="F573" s="19"/>
      <c r="G573" s="19"/>
      <c r="H573" s="19"/>
      <c r="I573" s="19"/>
      <c r="J573" s="19"/>
      <c r="K573" s="19"/>
    </row>
    <row r="574" spans="2:11" ht="15">
      <c r="B574" s="13"/>
      <c r="C574" s="19"/>
      <c r="D574" s="19"/>
      <c r="E574" s="19"/>
      <c r="F574" s="19"/>
      <c r="G574" s="19"/>
      <c r="H574" s="19"/>
      <c r="I574" s="19"/>
      <c r="J574" s="19"/>
      <c r="K574" s="19"/>
    </row>
    <row r="575" spans="2:11" ht="15">
      <c r="B575" s="13"/>
      <c r="C575" s="19"/>
      <c r="D575" s="19"/>
      <c r="E575" s="19"/>
      <c r="F575" s="19"/>
      <c r="G575" s="19"/>
      <c r="H575" s="19"/>
      <c r="I575" s="19"/>
      <c r="J575" s="19"/>
      <c r="K575" s="19"/>
    </row>
    <row r="576" spans="2:11" ht="15">
      <c r="B576" s="13"/>
      <c r="C576" s="19"/>
      <c r="D576" s="19"/>
      <c r="E576" s="19"/>
      <c r="F576" s="19"/>
      <c r="G576" s="19"/>
      <c r="H576" s="19"/>
      <c r="I576" s="19"/>
      <c r="J576" s="19"/>
      <c r="K576" s="19"/>
    </row>
    <row r="577" spans="2:11" ht="15">
      <c r="B577" s="13"/>
      <c r="C577" s="19"/>
      <c r="D577" s="19"/>
      <c r="E577" s="19"/>
      <c r="F577" s="19"/>
      <c r="G577" s="19"/>
      <c r="H577" s="19"/>
      <c r="I577" s="19"/>
      <c r="J577" s="19"/>
      <c r="K577" s="19"/>
    </row>
    <row r="578" spans="2:11" ht="15">
      <c r="B578" s="13"/>
      <c r="C578" s="19"/>
      <c r="D578" s="19"/>
      <c r="E578" s="19"/>
      <c r="F578" s="19"/>
      <c r="G578" s="19"/>
      <c r="H578" s="19"/>
      <c r="I578" s="19"/>
      <c r="J578" s="19"/>
      <c r="K578" s="19"/>
    </row>
    <row r="579" spans="2:11" ht="15">
      <c r="B579" s="13"/>
      <c r="C579" s="19"/>
      <c r="D579" s="19"/>
      <c r="E579" s="19"/>
      <c r="F579" s="19"/>
      <c r="G579" s="19"/>
      <c r="H579" s="19"/>
      <c r="I579" s="19"/>
      <c r="J579" s="19"/>
      <c r="K579" s="19"/>
    </row>
    <row r="580" spans="2:11" ht="15">
      <c r="B580" s="13"/>
      <c r="C580" s="19"/>
      <c r="D580" s="19"/>
      <c r="E580" s="19"/>
      <c r="F580" s="19"/>
      <c r="G580" s="19"/>
      <c r="H580" s="19"/>
      <c r="I580" s="19"/>
      <c r="J580" s="19"/>
      <c r="K580" s="19"/>
    </row>
    <row r="581" spans="2:11" ht="15">
      <c r="B581" s="13"/>
      <c r="C581" s="19"/>
      <c r="D581" s="19"/>
      <c r="E581" s="19"/>
      <c r="F581" s="19"/>
      <c r="G581" s="19"/>
      <c r="H581" s="19"/>
      <c r="I581" s="19"/>
      <c r="J581" s="19"/>
      <c r="K581" s="19"/>
    </row>
    <row r="582" spans="2:11" ht="15">
      <c r="B582" s="13"/>
      <c r="C582" s="19"/>
      <c r="D582" s="19"/>
      <c r="E582" s="19"/>
      <c r="F582" s="19"/>
      <c r="G582" s="19"/>
      <c r="H582" s="19"/>
      <c r="I582" s="19"/>
      <c r="J582" s="19"/>
      <c r="K582" s="19"/>
    </row>
    <row r="584" spans="2:11" ht="18.75">
      <c r="B584" s="888"/>
      <c r="C584" s="888"/>
      <c r="D584" s="888"/>
      <c r="E584" s="888"/>
      <c r="F584" s="888"/>
      <c r="G584" s="888"/>
      <c r="H584" s="888"/>
      <c r="I584" s="888"/>
      <c r="J584" s="888"/>
      <c r="K584" s="25"/>
    </row>
    <row r="585" spans="2:11" ht="15">
      <c r="B585" s="26"/>
      <c r="C585" s="19"/>
      <c r="D585" s="19"/>
      <c r="E585" s="19"/>
      <c r="F585" s="19"/>
      <c r="G585" s="19"/>
      <c r="H585" s="19"/>
      <c r="I585" s="19"/>
      <c r="J585" s="19"/>
      <c r="K585" s="19"/>
    </row>
    <row r="586" spans="2:11">
      <c r="B586" s="890"/>
      <c r="C586" s="890"/>
      <c r="D586" s="890"/>
      <c r="E586" s="890"/>
      <c r="F586" s="890"/>
      <c r="G586" s="890"/>
      <c r="H586" s="890"/>
      <c r="I586" s="890"/>
      <c r="J586" s="890"/>
      <c r="K586" s="25"/>
    </row>
    <row r="587" spans="2:11">
      <c r="B587" s="890"/>
      <c r="C587" s="890"/>
      <c r="D587" s="890"/>
      <c r="E587" s="890"/>
      <c r="F587" s="890"/>
      <c r="G587" s="890"/>
      <c r="H587" s="890"/>
      <c r="I587" s="890"/>
      <c r="J587" s="890"/>
      <c r="K587" s="25"/>
    </row>
    <row r="588" spans="2:11" ht="15">
      <c r="B588" s="27"/>
      <c r="C588" s="28"/>
      <c r="D588" s="28"/>
      <c r="E588" s="28"/>
      <c r="F588" s="28"/>
      <c r="G588" s="28"/>
      <c r="H588" s="19"/>
      <c r="I588" s="19"/>
      <c r="J588" s="19"/>
      <c r="K588" s="19"/>
    </row>
    <row r="589" spans="2:11" ht="15">
      <c r="B589" s="29"/>
      <c r="C589" s="19"/>
      <c r="D589" s="22"/>
      <c r="E589" s="19"/>
      <c r="F589" s="22"/>
      <c r="G589" s="19"/>
      <c r="H589" s="19"/>
      <c r="I589" s="19"/>
      <c r="J589" s="19"/>
      <c r="K589" s="19"/>
    </row>
    <row r="590" spans="2:11" ht="15">
      <c r="B590" s="20"/>
      <c r="C590" s="22"/>
      <c r="D590" s="30"/>
      <c r="E590" s="22"/>
      <c r="F590" s="22"/>
      <c r="G590" s="22"/>
      <c r="H590" s="22"/>
      <c r="I590" s="22"/>
      <c r="J590" s="22"/>
      <c r="K590" s="22"/>
    </row>
    <row r="591" spans="2:11" ht="15">
      <c r="B591" s="13"/>
      <c r="C591" s="22"/>
      <c r="D591" s="22"/>
      <c r="E591" s="31"/>
      <c r="F591" s="31"/>
      <c r="G591" s="31"/>
      <c r="H591" s="31"/>
      <c r="I591" s="31"/>
      <c r="J591" s="31"/>
      <c r="K591" s="31"/>
    </row>
    <row r="592" spans="2:11" ht="15">
      <c r="B592" s="13"/>
      <c r="C592" s="22"/>
      <c r="D592" s="19"/>
      <c r="E592" s="19"/>
      <c r="F592" s="19"/>
      <c r="G592" s="19"/>
      <c r="H592" s="19"/>
      <c r="I592" s="19"/>
      <c r="J592" s="19"/>
      <c r="K592" s="19"/>
    </row>
    <row r="593" spans="2:11" ht="15">
      <c r="B593" s="32"/>
      <c r="C593" s="19"/>
      <c r="D593" s="19"/>
      <c r="E593" s="19"/>
      <c r="F593" s="19"/>
      <c r="G593" s="19"/>
      <c r="H593" s="19"/>
      <c r="I593" s="19"/>
      <c r="J593" s="19"/>
      <c r="K593" s="19"/>
    </row>
    <row r="594" spans="2:11" ht="15">
      <c r="B594" s="33"/>
      <c r="C594" s="19"/>
      <c r="D594" s="19"/>
      <c r="E594" s="19"/>
      <c r="F594" s="19"/>
      <c r="G594" s="19"/>
      <c r="H594" s="19"/>
      <c r="I594" s="19"/>
      <c r="J594" s="19"/>
      <c r="K594" s="19"/>
    </row>
    <row r="595" spans="2:11" ht="15">
      <c r="B595" s="34"/>
      <c r="C595" s="19"/>
      <c r="D595" s="19"/>
      <c r="E595" s="19"/>
      <c r="F595" s="19"/>
      <c r="G595" s="19"/>
      <c r="H595" s="19"/>
      <c r="I595" s="19"/>
      <c r="J595" s="19"/>
      <c r="K595" s="19"/>
    </row>
    <row r="596" spans="2:11" ht="15">
      <c r="B596" s="15"/>
      <c r="C596" s="19"/>
      <c r="D596" s="19"/>
      <c r="E596" s="19"/>
      <c r="F596" s="19"/>
      <c r="G596" s="19"/>
      <c r="H596" s="19"/>
      <c r="I596" s="19"/>
      <c r="J596" s="19"/>
      <c r="K596" s="19"/>
    </row>
    <row r="597" spans="2:11" ht="15">
      <c r="B597" s="16"/>
      <c r="C597" s="19"/>
      <c r="D597" s="19"/>
      <c r="E597" s="19"/>
      <c r="F597" s="19"/>
      <c r="G597" s="19"/>
      <c r="H597" s="19"/>
      <c r="I597" s="19"/>
      <c r="J597" s="19"/>
      <c r="K597" s="19"/>
    </row>
    <row r="598" spans="2:11" ht="15">
      <c r="B598" s="13"/>
      <c r="C598" s="19"/>
      <c r="D598" s="19"/>
      <c r="E598" s="19"/>
      <c r="F598" s="19"/>
      <c r="G598" s="19"/>
      <c r="H598" s="19"/>
      <c r="I598" s="19"/>
      <c r="J598" s="19"/>
      <c r="K598" s="19"/>
    </row>
    <row r="599" spans="2:11" ht="15">
      <c r="B599" s="32"/>
      <c r="C599" s="19"/>
      <c r="D599" s="19"/>
      <c r="E599" s="19"/>
      <c r="F599" s="19"/>
      <c r="G599" s="19"/>
      <c r="H599" s="19"/>
      <c r="I599" s="19"/>
      <c r="J599" s="19"/>
      <c r="K599" s="19"/>
    </row>
    <row r="600" spans="2:11" ht="15">
      <c r="B600" s="15"/>
      <c r="C600" s="19"/>
      <c r="D600" s="19"/>
      <c r="E600" s="19"/>
      <c r="F600" s="19"/>
      <c r="G600" s="19"/>
      <c r="H600" s="19"/>
      <c r="I600" s="19"/>
      <c r="J600" s="19"/>
      <c r="K600" s="19"/>
    </row>
    <row r="601" spans="2:11" ht="15">
      <c r="B601" s="16"/>
      <c r="C601" s="19"/>
      <c r="D601" s="19"/>
      <c r="E601" s="19"/>
      <c r="F601" s="19"/>
      <c r="G601" s="19"/>
      <c r="H601" s="19"/>
      <c r="I601" s="19"/>
      <c r="J601" s="19"/>
      <c r="K601" s="19"/>
    </row>
    <row r="602" spans="2:11" ht="15">
      <c r="B602" s="16"/>
      <c r="C602" s="19"/>
      <c r="D602" s="19"/>
      <c r="E602" s="19"/>
      <c r="F602" s="19"/>
      <c r="G602" s="19"/>
      <c r="H602" s="19"/>
      <c r="I602" s="19"/>
      <c r="J602" s="19"/>
      <c r="K602" s="19"/>
    </row>
    <row r="603" spans="2:11" ht="15">
      <c r="B603" s="17"/>
      <c r="C603" s="19"/>
      <c r="D603" s="19"/>
      <c r="E603" s="19"/>
      <c r="F603" s="19"/>
      <c r="G603" s="19"/>
      <c r="H603" s="19"/>
      <c r="I603" s="19"/>
      <c r="J603" s="19"/>
      <c r="K603" s="19"/>
    </row>
    <row r="604" spans="2:11" ht="15">
      <c r="B604" s="17"/>
      <c r="C604" s="19"/>
      <c r="D604" s="19"/>
      <c r="E604" s="19"/>
      <c r="F604" s="19"/>
      <c r="G604" s="19"/>
      <c r="H604" s="19"/>
      <c r="I604" s="19"/>
      <c r="J604" s="19"/>
      <c r="K604" s="19"/>
    </row>
    <row r="605" spans="2:11" ht="15">
      <c r="B605" s="32"/>
      <c r="C605" s="19"/>
      <c r="D605" s="19"/>
      <c r="E605" s="19"/>
      <c r="F605" s="19"/>
      <c r="G605" s="19"/>
      <c r="H605" s="19"/>
      <c r="I605" s="19"/>
      <c r="J605" s="19"/>
      <c r="K605" s="19"/>
    </row>
    <row r="606" spans="2:11" ht="15">
      <c r="B606" s="18"/>
      <c r="C606" s="19"/>
      <c r="D606" s="19"/>
      <c r="E606" s="19"/>
      <c r="F606" s="19"/>
      <c r="G606" s="19"/>
      <c r="H606" s="19"/>
      <c r="I606" s="19"/>
      <c r="J606" s="19"/>
      <c r="K606" s="19"/>
    </row>
    <row r="607" spans="2:11" ht="15">
      <c r="B607" s="18"/>
      <c r="C607" s="19"/>
      <c r="D607" s="19"/>
      <c r="E607" s="19"/>
      <c r="F607" s="19"/>
      <c r="G607" s="19"/>
      <c r="H607" s="19"/>
      <c r="I607" s="19"/>
      <c r="J607" s="19"/>
      <c r="K607" s="19"/>
    </row>
    <row r="608" spans="2:11" ht="15">
      <c r="B608" s="13"/>
      <c r="C608" s="19"/>
      <c r="D608" s="19"/>
      <c r="E608" s="19"/>
      <c r="F608" s="19"/>
      <c r="G608" s="19"/>
      <c r="H608" s="19"/>
      <c r="I608" s="19"/>
      <c r="J608" s="19"/>
      <c r="K608" s="19"/>
    </row>
    <row r="609" spans="2:11" ht="15">
      <c r="B609" s="13"/>
      <c r="C609" s="19"/>
      <c r="D609" s="19"/>
      <c r="E609" s="19"/>
      <c r="F609" s="19"/>
      <c r="G609" s="19"/>
      <c r="H609" s="19"/>
      <c r="I609" s="19"/>
      <c r="J609" s="19"/>
      <c r="K609" s="19"/>
    </row>
    <row r="610" spans="2:11" ht="15">
      <c r="B610" s="13"/>
      <c r="C610" s="19"/>
      <c r="D610" s="19"/>
      <c r="E610" s="19"/>
      <c r="F610" s="19"/>
      <c r="G610" s="19"/>
      <c r="H610" s="19"/>
      <c r="I610" s="19"/>
      <c r="J610" s="19"/>
      <c r="K610" s="19"/>
    </row>
    <row r="611" spans="2:11" ht="15">
      <c r="B611" s="13"/>
      <c r="C611" s="19"/>
      <c r="D611" s="19"/>
      <c r="E611" s="19"/>
      <c r="F611" s="19"/>
      <c r="G611" s="19"/>
      <c r="H611" s="19"/>
      <c r="I611" s="19"/>
      <c r="J611" s="19"/>
      <c r="K611" s="19"/>
    </row>
    <row r="612" spans="2:11" ht="15">
      <c r="B612" s="13"/>
      <c r="C612" s="19"/>
      <c r="D612" s="19"/>
      <c r="E612" s="19"/>
      <c r="F612" s="19"/>
      <c r="G612" s="19"/>
      <c r="H612" s="19"/>
      <c r="I612" s="19"/>
      <c r="J612" s="19"/>
      <c r="K612" s="19"/>
    </row>
    <row r="613" spans="2:11" ht="15">
      <c r="B613" s="13"/>
      <c r="C613" s="19"/>
      <c r="D613" s="19"/>
      <c r="E613" s="19"/>
      <c r="F613" s="19"/>
      <c r="G613" s="19"/>
      <c r="H613" s="19"/>
      <c r="I613" s="19"/>
      <c r="J613" s="19"/>
      <c r="K613" s="19"/>
    </row>
    <row r="614" spans="2:11" ht="15">
      <c r="B614" s="13"/>
      <c r="C614" s="19"/>
      <c r="D614" s="19"/>
      <c r="E614" s="19"/>
      <c r="F614" s="19"/>
      <c r="G614" s="19"/>
      <c r="H614" s="19"/>
      <c r="I614" s="19"/>
      <c r="J614" s="19"/>
      <c r="K614" s="19"/>
    </row>
    <row r="615" spans="2:11" ht="15">
      <c r="B615" s="13"/>
      <c r="C615" s="19"/>
      <c r="D615" s="19"/>
      <c r="E615" s="19"/>
      <c r="F615" s="19"/>
      <c r="G615" s="19"/>
      <c r="H615" s="19"/>
      <c r="I615" s="19"/>
      <c r="J615" s="19"/>
      <c r="K615" s="19"/>
    </row>
    <row r="616" spans="2:11" ht="15">
      <c r="B616" s="13"/>
      <c r="C616" s="19"/>
      <c r="D616" s="19"/>
      <c r="E616" s="19"/>
      <c r="F616" s="19"/>
      <c r="G616" s="19"/>
      <c r="H616" s="19"/>
      <c r="I616" s="19"/>
      <c r="J616" s="19"/>
      <c r="K616" s="19"/>
    </row>
    <row r="617" spans="2:11" ht="15">
      <c r="B617" s="13"/>
      <c r="C617" s="19"/>
      <c r="D617" s="19"/>
      <c r="E617" s="19"/>
      <c r="F617" s="19"/>
      <c r="G617" s="19"/>
      <c r="H617" s="19"/>
      <c r="I617" s="19"/>
      <c r="J617" s="19"/>
      <c r="K617" s="19"/>
    </row>
    <row r="618" spans="2:11" ht="15">
      <c r="B618" s="13"/>
      <c r="C618" s="19"/>
      <c r="D618" s="19"/>
      <c r="E618" s="19"/>
      <c r="F618" s="19"/>
      <c r="G618" s="19"/>
      <c r="H618" s="19"/>
      <c r="I618" s="19"/>
      <c r="J618" s="19"/>
      <c r="K618" s="19"/>
    </row>
    <row r="621" spans="2:11" ht="18.75">
      <c r="B621" s="888"/>
      <c r="C621" s="888"/>
      <c r="D621" s="888"/>
      <c r="E621" s="888"/>
      <c r="F621" s="888"/>
      <c r="G621" s="888"/>
      <c r="H621" s="888"/>
      <c r="I621" s="888"/>
      <c r="J621" s="888"/>
      <c r="K621" s="25"/>
    </row>
    <row r="622" spans="2:11" ht="15">
      <c r="B622" s="26"/>
      <c r="C622" s="19"/>
      <c r="D622" s="19"/>
      <c r="E622" s="19"/>
      <c r="F622" s="19"/>
      <c r="G622" s="19"/>
      <c r="H622" s="19"/>
      <c r="I622" s="19"/>
      <c r="J622" s="19"/>
      <c r="K622" s="19"/>
    </row>
    <row r="623" spans="2:11">
      <c r="B623" s="890"/>
      <c r="C623" s="890"/>
      <c r="D623" s="890"/>
      <c r="E623" s="890"/>
      <c r="F623" s="890"/>
      <c r="G623" s="890"/>
      <c r="H623" s="890"/>
      <c r="I623" s="890"/>
      <c r="J623" s="890"/>
      <c r="K623" s="25"/>
    </row>
    <row r="624" spans="2:11">
      <c r="B624" s="890"/>
      <c r="C624" s="890"/>
      <c r="D624" s="890"/>
      <c r="E624" s="890"/>
      <c r="F624" s="890"/>
      <c r="G624" s="890"/>
      <c r="H624" s="890"/>
      <c r="I624" s="890"/>
      <c r="J624" s="890"/>
      <c r="K624" s="25"/>
    </row>
    <row r="625" spans="2:11" ht="15">
      <c r="B625" s="27"/>
      <c r="C625" s="28"/>
      <c r="D625" s="28"/>
      <c r="E625" s="28"/>
      <c r="F625" s="28"/>
      <c r="G625" s="28"/>
      <c r="H625" s="19"/>
      <c r="I625" s="19"/>
      <c r="J625" s="19"/>
      <c r="K625" s="19"/>
    </row>
    <row r="626" spans="2:11" ht="15">
      <c r="B626" s="29"/>
      <c r="C626" s="19"/>
      <c r="D626" s="22"/>
      <c r="E626" s="19"/>
      <c r="F626" s="22"/>
      <c r="G626" s="19"/>
      <c r="H626" s="19"/>
      <c r="I626" s="19"/>
      <c r="J626" s="19"/>
      <c r="K626" s="19"/>
    </row>
    <row r="627" spans="2:11" ht="15">
      <c r="B627" s="20"/>
      <c r="C627" s="22"/>
      <c r="D627" s="22"/>
      <c r="E627" s="22"/>
      <c r="F627" s="22"/>
      <c r="G627" s="22"/>
      <c r="H627" s="22"/>
      <c r="I627" s="22"/>
      <c r="J627" s="22"/>
      <c r="K627" s="22"/>
    </row>
    <row r="628" spans="2:11" ht="15">
      <c r="B628" s="13"/>
      <c r="C628" s="22"/>
      <c r="D628" s="22"/>
      <c r="E628" s="31"/>
      <c r="F628" s="31"/>
      <c r="G628" s="31"/>
      <c r="H628" s="31"/>
      <c r="I628" s="31"/>
      <c r="J628" s="31"/>
      <c r="K628" s="31"/>
    </row>
    <row r="629" spans="2:11" ht="15">
      <c r="B629" s="13"/>
      <c r="C629" s="22"/>
      <c r="D629" s="19"/>
      <c r="E629" s="19"/>
      <c r="F629" s="19"/>
      <c r="G629" s="19"/>
      <c r="H629" s="19"/>
      <c r="I629" s="19"/>
      <c r="J629" s="19"/>
      <c r="K629" s="19"/>
    </row>
    <row r="630" spans="2:11" ht="15">
      <c r="B630" s="32"/>
      <c r="C630" s="19"/>
      <c r="D630" s="19"/>
      <c r="E630" s="19"/>
      <c r="F630" s="19"/>
      <c r="G630" s="19"/>
      <c r="H630" s="19"/>
      <c r="I630" s="19"/>
      <c r="J630" s="19"/>
      <c r="K630" s="19"/>
    </row>
    <row r="631" spans="2:11" ht="15">
      <c r="B631" s="34"/>
      <c r="C631" s="19"/>
      <c r="D631" s="19"/>
      <c r="E631" s="19"/>
      <c r="F631" s="19"/>
      <c r="G631" s="19"/>
      <c r="H631" s="19"/>
      <c r="I631" s="19"/>
      <c r="J631" s="19"/>
      <c r="K631" s="19"/>
    </row>
    <row r="632" spans="2:11" ht="15">
      <c r="B632" s="34"/>
      <c r="C632" s="19"/>
      <c r="D632" s="19"/>
      <c r="E632" s="19"/>
      <c r="F632" s="19"/>
      <c r="G632" s="19"/>
      <c r="H632" s="19"/>
      <c r="I632" s="19"/>
      <c r="J632" s="19"/>
      <c r="K632" s="19"/>
    </row>
    <row r="633" spans="2:11" ht="15">
      <c r="B633" s="34"/>
      <c r="C633" s="19"/>
      <c r="D633" s="19"/>
      <c r="E633" s="19"/>
      <c r="F633" s="19"/>
      <c r="G633" s="19"/>
      <c r="H633" s="19"/>
      <c r="I633" s="19"/>
      <c r="J633" s="19"/>
      <c r="K633" s="19"/>
    </row>
    <row r="634" spans="2:11" ht="15">
      <c r="B634" s="16"/>
      <c r="C634" s="19"/>
      <c r="D634" s="19"/>
      <c r="E634" s="19"/>
      <c r="F634" s="19"/>
      <c r="G634" s="19"/>
      <c r="H634" s="19"/>
      <c r="I634" s="19"/>
      <c r="J634" s="19"/>
      <c r="K634" s="19"/>
    </row>
    <row r="635" spans="2:11" ht="15">
      <c r="B635" s="13"/>
      <c r="C635" s="19"/>
      <c r="D635" s="19"/>
      <c r="E635" s="19"/>
      <c r="F635" s="19"/>
      <c r="G635" s="19"/>
      <c r="H635" s="19"/>
      <c r="I635" s="19"/>
      <c r="J635" s="19"/>
      <c r="K635" s="19"/>
    </row>
    <row r="636" spans="2:11" ht="15">
      <c r="B636" s="32"/>
      <c r="C636" s="19"/>
      <c r="D636" s="19"/>
      <c r="E636" s="19"/>
      <c r="F636" s="19"/>
      <c r="G636" s="19"/>
      <c r="H636" s="19"/>
      <c r="I636" s="19"/>
      <c r="J636" s="19"/>
      <c r="K636" s="19"/>
    </row>
    <row r="637" spans="2:11" ht="15">
      <c r="B637" s="15"/>
      <c r="C637" s="19"/>
      <c r="D637" s="19"/>
      <c r="E637" s="19"/>
      <c r="F637" s="19"/>
      <c r="G637" s="19"/>
      <c r="H637" s="19"/>
      <c r="I637" s="19"/>
      <c r="J637" s="19"/>
      <c r="K637" s="19"/>
    </row>
    <row r="638" spans="2:11" ht="15">
      <c r="B638" s="34"/>
      <c r="C638" s="19"/>
      <c r="D638" s="19"/>
      <c r="E638" s="19"/>
      <c r="F638" s="19"/>
      <c r="G638" s="19"/>
      <c r="H638" s="19"/>
      <c r="I638" s="19"/>
      <c r="J638" s="19"/>
      <c r="K638" s="19"/>
    </row>
    <row r="639" spans="2:11" ht="15">
      <c r="B639" s="16"/>
      <c r="C639" s="19"/>
      <c r="D639" s="19"/>
      <c r="E639" s="19"/>
      <c r="F639" s="19"/>
      <c r="G639" s="19"/>
      <c r="H639" s="19"/>
      <c r="I639" s="19"/>
      <c r="J639" s="19"/>
      <c r="K639" s="19"/>
    </row>
    <row r="640" spans="2:11" ht="15">
      <c r="B640" s="16"/>
      <c r="C640" s="19"/>
      <c r="D640" s="19"/>
      <c r="E640" s="19"/>
      <c r="F640" s="19"/>
      <c r="G640" s="19"/>
      <c r="H640" s="19"/>
      <c r="I640" s="19"/>
      <c r="J640" s="19"/>
      <c r="K640" s="19"/>
    </row>
    <row r="641" spans="2:11" ht="15">
      <c r="B641" s="17"/>
      <c r="C641" s="19"/>
      <c r="D641" s="19"/>
      <c r="E641" s="19"/>
      <c r="F641" s="19"/>
      <c r="G641" s="19"/>
      <c r="H641" s="19"/>
      <c r="I641" s="19"/>
      <c r="J641" s="19"/>
      <c r="K641" s="19"/>
    </row>
    <row r="642" spans="2:11" ht="15">
      <c r="B642" s="17"/>
      <c r="C642" s="19"/>
      <c r="D642" s="19"/>
      <c r="E642" s="19"/>
      <c r="F642" s="19"/>
      <c r="G642" s="19"/>
      <c r="H642" s="19"/>
      <c r="I642" s="19"/>
      <c r="J642" s="19"/>
      <c r="K642" s="19"/>
    </row>
    <row r="643" spans="2:11" ht="15">
      <c r="B643" s="32"/>
      <c r="C643" s="19"/>
      <c r="D643" s="19"/>
      <c r="E643" s="19"/>
      <c r="F643" s="19"/>
      <c r="G643" s="19"/>
      <c r="H643" s="19"/>
      <c r="I643" s="19"/>
      <c r="J643" s="19"/>
      <c r="K643" s="19"/>
    </row>
    <row r="644" spans="2:11" ht="15">
      <c r="B644" s="18"/>
      <c r="C644" s="19"/>
      <c r="D644" s="19"/>
      <c r="E644" s="19"/>
      <c r="F644" s="19"/>
      <c r="G644" s="19"/>
      <c r="H644" s="19"/>
      <c r="I644" s="19"/>
      <c r="J644" s="19"/>
      <c r="K644" s="19"/>
    </row>
    <row r="645" spans="2:11" ht="15">
      <c r="B645" s="18"/>
      <c r="C645" s="19"/>
      <c r="D645" s="19"/>
      <c r="E645" s="19"/>
      <c r="F645" s="19"/>
      <c r="G645" s="19"/>
      <c r="H645" s="19"/>
      <c r="I645" s="19"/>
      <c r="J645" s="19"/>
      <c r="K645" s="19"/>
    </row>
    <row r="646" spans="2:11" ht="15">
      <c r="B646" s="13"/>
      <c r="C646" s="19"/>
      <c r="D646" s="19"/>
      <c r="E646" s="19"/>
      <c r="F646" s="19"/>
      <c r="G646" s="19"/>
      <c r="H646" s="19"/>
      <c r="I646" s="19"/>
      <c r="J646" s="19"/>
      <c r="K646" s="19"/>
    </row>
    <row r="647" spans="2:11" ht="15">
      <c r="B647" s="13"/>
      <c r="C647" s="19"/>
      <c r="D647" s="19"/>
      <c r="E647" s="19"/>
      <c r="F647" s="19"/>
      <c r="G647" s="19"/>
      <c r="H647" s="19"/>
      <c r="I647" s="19"/>
      <c r="J647" s="19"/>
      <c r="K647" s="19"/>
    </row>
    <row r="648" spans="2:11" ht="15">
      <c r="B648" s="13"/>
      <c r="C648" s="19"/>
      <c r="D648" s="19"/>
      <c r="E648" s="19"/>
      <c r="F648" s="19"/>
      <c r="G648" s="19"/>
      <c r="H648" s="19"/>
      <c r="I648" s="19"/>
      <c r="J648" s="19"/>
      <c r="K648" s="19"/>
    </row>
    <row r="649" spans="2:11" ht="15">
      <c r="B649" s="13"/>
      <c r="C649" s="19"/>
      <c r="D649" s="19"/>
      <c r="E649" s="19"/>
      <c r="F649" s="19"/>
      <c r="G649" s="19"/>
      <c r="H649" s="19"/>
      <c r="I649" s="19"/>
      <c r="J649" s="19"/>
      <c r="K649" s="19"/>
    </row>
    <row r="650" spans="2:11" ht="15">
      <c r="B650" s="13"/>
      <c r="C650" s="19"/>
      <c r="D650" s="19"/>
      <c r="E650" s="19"/>
      <c r="F650" s="19"/>
      <c r="G650" s="19"/>
      <c r="H650" s="19"/>
      <c r="I650" s="19"/>
      <c r="J650" s="19"/>
      <c r="K650" s="19"/>
    </row>
    <row r="651" spans="2:11" ht="15">
      <c r="B651" s="13"/>
      <c r="C651" s="19"/>
      <c r="D651" s="19"/>
      <c r="E651" s="19"/>
      <c r="F651" s="19"/>
      <c r="G651" s="19"/>
      <c r="H651" s="19"/>
      <c r="I651" s="19"/>
      <c r="J651" s="19"/>
      <c r="K651" s="19"/>
    </row>
    <row r="652" spans="2:11" ht="15">
      <c r="B652" s="13"/>
      <c r="C652" s="19"/>
      <c r="D652" s="19"/>
      <c r="E652" s="19"/>
      <c r="F652" s="19"/>
      <c r="G652" s="19"/>
      <c r="H652" s="19"/>
      <c r="I652" s="19"/>
      <c r="J652" s="19"/>
      <c r="K652" s="19"/>
    </row>
    <row r="653" spans="2:11" ht="15">
      <c r="B653" s="13"/>
      <c r="C653" s="19"/>
      <c r="D653" s="19"/>
      <c r="E653" s="19"/>
      <c r="F653" s="19"/>
      <c r="G653" s="19"/>
      <c r="H653" s="19"/>
      <c r="I653" s="19"/>
      <c r="J653" s="19"/>
      <c r="K653" s="19"/>
    </row>
    <row r="654" spans="2:11" ht="15">
      <c r="B654" s="13"/>
      <c r="C654" s="19"/>
      <c r="D654" s="19"/>
      <c r="E654" s="19"/>
      <c r="F654" s="19"/>
      <c r="G654" s="19"/>
      <c r="H654" s="19"/>
      <c r="I654" s="19"/>
      <c r="J654" s="19"/>
      <c r="K654" s="19"/>
    </row>
    <row r="655" spans="2:11" ht="15">
      <c r="B655" s="13"/>
      <c r="C655" s="19"/>
      <c r="D655" s="19"/>
      <c r="E655" s="19"/>
      <c r="F655" s="19"/>
      <c r="G655" s="19"/>
      <c r="H655" s="19"/>
      <c r="I655" s="19"/>
      <c r="J655" s="19"/>
      <c r="K655" s="19"/>
    </row>
    <row r="656" spans="2:11" ht="15">
      <c r="B656" s="13"/>
      <c r="C656" s="19"/>
      <c r="D656" s="19"/>
      <c r="E656" s="19"/>
      <c r="F656" s="19"/>
      <c r="G656" s="19"/>
      <c r="H656" s="19"/>
      <c r="I656" s="19"/>
      <c r="J656" s="19"/>
      <c r="K656" s="19"/>
    </row>
    <row r="657" spans="2:11" ht="15">
      <c r="B657" s="13"/>
      <c r="C657" s="19"/>
      <c r="D657" s="19"/>
      <c r="E657" s="19"/>
      <c r="F657" s="19"/>
      <c r="G657" s="19"/>
      <c r="H657" s="19"/>
      <c r="I657" s="19"/>
      <c r="J657" s="19"/>
      <c r="K657" s="19"/>
    </row>
    <row r="659" spans="2:11" ht="18.75">
      <c r="B659" s="888"/>
      <c r="C659" s="888"/>
      <c r="D659" s="888"/>
      <c r="E659" s="888"/>
      <c r="F659" s="888"/>
      <c r="G659" s="888"/>
      <c r="H659" s="888"/>
      <c r="I659" s="888"/>
      <c r="J659" s="888"/>
      <c r="K659" s="25"/>
    </row>
    <row r="660" spans="2:11" ht="15">
      <c r="B660" s="26"/>
      <c r="C660" s="19"/>
      <c r="D660" s="19"/>
      <c r="E660" s="19"/>
      <c r="F660" s="19"/>
      <c r="G660" s="19"/>
      <c r="H660" s="19"/>
      <c r="I660" s="19"/>
      <c r="J660" s="19"/>
      <c r="K660" s="19"/>
    </row>
    <row r="661" spans="2:11">
      <c r="B661" s="890"/>
      <c r="C661" s="890"/>
      <c r="D661" s="890"/>
      <c r="E661" s="890"/>
      <c r="F661" s="890"/>
      <c r="G661" s="890"/>
      <c r="H661" s="890"/>
      <c r="I661" s="890"/>
      <c r="J661" s="890"/>
      <c r="K661" s="25"/>
    </row>
    <row r="662" spans="2:11" ht="18" customHeight="1">
      <c r="B662" s="890"/>
      <c r="C662" s="890"/>
      <c r="D662" s="890"/>
      <c r="E662" s="890"/>
      <c r="F662" s="890"/>
      <c r="G662" s="890"/>
      <c r="H662" s="890"/>
      <c r="I662" s="890"/>
      <c r="J662" s="890"/>
      <c r="K662" s="25"/>
    </row>
    <row r="663" spans="2:11" ht="15">
      <c r="B663" s="29"/>
      <c r="C663" s="19"/>
      <c r="D663" s="30"/>
      <c r="E663" s="19"/>
      <c r="F663" s="22"/>
      <c r="G663" s="19"/>
      <c r="H663" s="19"/>
      <c r="I663" s="19"/>
      <c r="J663" s="19"/>
      <c r="K663" s="19"/>
    </row>
    <row r="664" spans="2:11" ht="15">
      <c r="B664" s="20"/>
      <c r="C664" s="22"/>
      <c r="D664" s="22"/>
      <c r="E664" s="22"/>
      <c r="F664" s="22"/>
      <c r="G664" s="22"/>
      <c r="H664" s="22"/>
      <c r="I664" s="22"/>
      <c r="J664" s="22"/>
      <c r="K664" s="22"/>
    </row>
    <row r="665" spans="2:11" ht="15">
      <c r="B665" s="13"/>
      <c r="C665" s="22"/>
      <c r="D665" s="22"/>
      <c r="E665" s="31"/>
      <c r="F665" s="31"/>
      <c r="G665" s="31"/>
      <c r="H665" s="31"/>
      <c r="I665" s="31"/>
      <c r="J665" s="31"/>
      <c r="K665" s="31"/>
    </row>
    <row r="666" spans="2:11" ht="15">
      <c r="B666" s="13"/>
      <c r="C666" s="22"/>
      <c r="D666" s="19"/>
      <c r="E666" s="19"/>
      <c r="F666" s="19"/>
      <c r="G666" s="19"/>
      <c r="H666" s="19"/>
      <c r="I666" s="19"/>
      <c r="J666" s="19"/>
      <c r="K666" s="19"/>
    </row>
    <row r="667" spans="2:11" ht="15">
      <c r="B667" s="32"/>
      <c r="C667" s="19"/>
      <c r="D667" s="19"/>
      <c r="E667" s="19"/>
      <c r="F667" s="19"/>
      <c r="G667" s="19"/>
      <c r="H667" s="19"/>
      <c r="I667" s="19"/>
      <c r="J667" s="19"/>
      <c r="K667" s="19"/>
    </row>
    <row r="668" spans="2:11" ht="15">
      <c r="B668" s="33"/>
      <c r="C668" s="19"/>
      <c r="D668" s="19"/>
      <c r="E668" s="19"/>
      <c r="F668" s="19"/>
      <c r="G668" s="19"/>
      <c r="H668" s="19"/>
      <c r="I668" s="19"/>
      <c r="J668" s="19"/>
      <c r="K668" s="19"/>
    </row>
    <row r="669" spans="2:11" ht="15">
      <c r="B669" s="34"/>
      <c r="C669" s="19"/>
      <c r="D669" s="19"/>
      <c r="E669" s="19"/>
      <c r="F669" s="19"/>
      <c r="G669" s="19"/>
      <c r="H669" s="19"/>
      <c r="I669" s="19"/>
      <c r="J669" s="19"/>
      <c r="K669" s="19"/>
    </row>
    <row r="670" spans="2:11" ht="15">
      <c r="B670" s="16"/>
      <c r="C670" s="19"/>
      <c r="D670" s="19"/>
      <c r="E670" s="19"/>
      <c r="F670" s="19"/>
      <c r="G670" s="19"/>
      <c r="H670" s="19"/>
      <c r="I670" s="19"/>
      <c r="J670" s="19"/>
      <c r="K670" s="19"/>
    </row>
    <row r="671" spans="2:11" ht="15">
      <c r="B671" s="13"/>
      <c r="C671" s="19"/>
      <c r="D671" s="19"/>
      <c r="E671" s="19"/>
      <c r="F671" s="19"/>
      <c r="G671" s="19"/>
      <c r="H671" s="19"/>
      <c r="I671" s="19"/>
      <c r="J671" s="19"/>
      <c r="K671" s="19"/>
    </row>
    <row r="672" spans="2:11" ht="15">
      <c r="B672" s="32"/>
      <c r="C672" s="19"/>
      <c r="D672" s="19"/>
      <c r="E672" s="19"/>
      <c r="F672" s="19"/>
      <c r="G672" s="19"/>
      <c r="H672" s="19"/>
      <c r="I672" s="19"/>
      <c r="J672" s="19"/>
      <c r="K672" s="19"/>
    </row>
    <row r="673" spans="2:11" ht="15">
      <c r="B673" s="15"/>
      <c r="C673" s="19"/>
      <c r="D673" s="19"/>
      <c r="E673" s="19"/>
      <c r="F673" s="19"/>
      <c r="G673" s="19"/>
      <c r="H673" s="19"/>
      <c r="I673" s="19"/>
      <c r="J673" s="19"/>
      <c r="K673" s="19"/>
    </row>
    <row r="674" spans="2:11" ht="15">
      <c r="B674" s="15"/>
      <c r="C674" s="19"/>
      <c r="D674" s="19"/>
      <c r="E674" s="19"/>
      <c r="F674" s="19"/>
      <c r="G674" s="19"/>
      <c r="H674" s="19"/>
      <c r="I674" s="19"/>
      <c r="J674" s="19"/>
      <c r="K674" s="19"/>
    </row>
    <row r="675" spans="2:11" ht="15">
      <c r="B675" s="15"/>
      <c r="C675" s="19"/>
      <c r="D675" s="19"/>
      <c r="E675" s="19"/>
      <c r="F675" s="19"/>
      <c r="G675" s="19"/>
      <c r="H675" s="19"/>
      <c r="I675" s="19"/>
      <c r="J675" s="19"/>
      <c r="K675" s="19"/>
    </row>
    <row r="676" spans="2:11" ht="15">
      <c r="B676" s="15"/>
      <c r="C676" s="19"/>
      <c r="D676" s="19"/>
      <c r="E676" s="19"/>
      <c r="F676" s="19"/>
      <c r="G676" s="19"/>
      <c r="H676" s="19"/>
      <c r="I676" s="19"/>
      <c r="J676" s="19"/>
      <c r="K676" s="19"/>
    </row>
    <row r="677" spans="2:11" ht="15">
      <c r="B677" s="16"/>
      <c r="C677" s="19"/>
      <c r="D677" s="19"/>
      <c r="E677" s="19"/>
      <c r="F677" s="19"/>
      <c r="G677" s="19"/>
      <c r="H677" s="19"/>
      <c r="I677" s="19"/>
      <c r="J677" s="19"/>
      <c r="K677" s="19"/>
    </row>
    <row r="678" spans="2:11" ht="15">
      <c r="B678" s="16"/>
      <c r="C678" s="19"/>
      <c r="D678" s="19"/>
      <c r="E678" s="19"/>
      <c r="F678" s="19"/>
      <c r="G678" s="19"/>
      <c r="H678" s="19"/>
      <c r="I678" s="19"/>
      <c r="J678" s="19"/>
      <c r="K678" s="19"/>
    </row>
    <row r="679" spans="2:11" ht="15">
      <c r="B679" s="17"/>
      <c r="C679" s="19"/>
      <c r="D679" s="19"/>
      <c r="E679" s="19"/>
      <c r="F679" s="19"/>
      <c r="G679" s="19"/>
      <c r="H679" s="19"/>
      <c r="I679" s="19"/>
      <c r="J679" s="19"/>
      <c r="K679" s="19"/>
    </row>
    <row r="680" spans="2:11" ht="15">
      <c r="B680" s="17"/>
      <c r="C680" s="19"/>
      <c r="D680" s="19"/>
      <c r="E680" s="19"/>
      <c r="F680" s="19"/>
      <c r="G680" s="19"/>
      <c r="H680" s="19"/>
      <c r="I680" s="19"/>
      <c r="J680" s="19"/>
      <c r="K680" s="19"/>
    </row>
    <row r="681" spans="2:11" ht="15">
      <c r="B681" s="32"/>
      <c r="C681" s="19"/>
      <c r="D681" s="19"/>
      <c r="E681" s="19"/>
      <c r="F681" s="19"/>
      <c r="G681" s="19"/>
      <c r="H681" s="19"/>
      <c r="I681" s="19"/>
      <c r="J681" s="19"/>
      <c r="K681" s="19"/>
    </row>
    <row r="682" spans="2:11" ht="15">
      <c r="B682" s="18"/>
      <c r="C682" s="19"/>
      <c r="D682" s="19"/>
      <c r="E682" s="19"/>
      <c r="F682" s="19"/>
      <c r="G682" s="19"/>
      <c r="H682" s="19"/>
      <c r="I682" s="19"/>
      <c r="J682" s="19"/>
      <c r="K682" s="19"/>
    </row>
    <row r="683" spans="2:11" ht="15">
      <c r="B683" s="18"/>
      <c r="C683" s="19"/>
      <c r="D683" s="19"/>
      <c r="E683" s="19"/>
      <c r="F683" s="19"/>
      <c r="G683" s="19"/>
      <c r="H683" s="19"/>
      <c r="I683" s="19"/>
      <c r="J683" s="19"/>
      <c r="K683" s="19"/>
    </row>
    <row r="684" spans="2:11" ht="15">
      <c r="B684" s="13"/>
      <c r="C684" s="19"/>
      <c r="D684" s="19"/>
      <c r="E684" s="19"/>
      <c r="F684" s="19"/>
      <c r="G684" s="19"/>
      <c r="H684" s="19"/>
      <c r="I684" s="19"/>
      <c r="J684" s="19"/>
      <c r="K684" s="19"/>
    </row>
    <row r="685" spans="2:11" ht="15">
      <c r="B685" s="13"/>
      <c r="C685" s="19"/>
      <c r="D685" s="19"/>
      <c r="E685" s="19"/>
      <c r="F685" s="19"/>
      <c r="G685" s="19"/>
      <c r="H685" s="19"/>
      <c r="I685" s="19"/>
      <c r="J685" s="19"/>
      <c r="K685" s="19"/>
    </row>
    <row r="686" spans="2:11" ht="15">
      <c r="B686" s="13"/>
      <c r="C686" s="19"/>
      <c r="D686" s="19"/>
      <c r="E686" s="19"/>
      <c r="F686" s="19"/>
      <c r="G686" s="19"/>
      <c r="H686" s="19"/>
      <c r="I686" s="19"/>
      <c r="J686" s="19"/>
      <c r="K686" s="19"/>
    </row>
    <row r="687" spans="2:11" ht="15">
      <c r="B687" s="13"/>
      <c r="C687" s="19"/>
      <c r="D687" s="19"/>
      <c r="E687" s="19"/>
      <c r="F687" s="19"/>
      <c r="G687" s="19"/>
      <c r="H687" s="19"/>
      <c r="I687" s="19"/>
      <c r="J687" s="19"/>
      <c r="K687" s="19"/>
    </row>
    <row r="688" spans="2:11" ht="15">
      <c r="B688" s="13"/>
      <c r="C688" s="19"/>
      <c r="D688" s="19"/>
      <c r="E688" s="19"/>
      <c r="F688" s="19"/>
      <c r="G688" s="19"/>
      <c r="H688" s="19"/>
      <c r="I688" s="19"/>
      <c r="J688" s="19"/>
      <c r="K688" s="19"/>
    </row>
    <row r="689" spans="2:11" ht="15">
      <c r="B689" s="13"/>
      <c r="C689" s="19"/>
      <c r="D689" s="19"/>
      <c r="E689" s="19"/>
      <c r="F689" s="19"/>
      <c r="G689" s="19"/>
      <c r="H689" s="19"/>
      <c r="I689" s="19"/>
      <c r="J689" s="19"/>
      <c r="K689" s="19"/>
    </row>
    <row r="690" spans="2:11" ht="15">
      <c r="B690" s="13"/>
      <c r="C690" s="19"/>
      <c r="D690" s="19"/>
      <c r="E690" s="19"/>
      <c r="F690" s="19"/>
      <c r="G690" s="19"/>
      <c r="H690" s="19"/>
      <c r="I690" s="19"/>
      <c r="J690" s="19"/>
      <c r="K690" s="19"/>
    </row>
    <row r="691" spans="2:11" ht="15">
      <c r="B691" s="13"/>
      <c r="C691" s="19"/>
      <c r="D691" s="19"/>
      <c r="E691" s="19"/>
      <c r="F691" s="19"/>
      <c r="G691" s="19"/>
      <c r="H691" s="19"/>
      <c r="I691" s="19"/>
      <c r="J691" s="19"/>
      <c r="K691" s="19"/>
    </row>
    <row r="692" spans="2:11" ht="15">
      <c r="B692" s="13"/>
      <c r="C692" s="19"/>
      <c r="D692" s="19"/>
      <c r="E692" s="19"/>
      <c r="F692" s="19"/>
      <c r="G692" s="19"/>
      <c r="H692" s="19"/>
      <c r="I692" s="19"/>
      <c r="J692" s="19"/>
      <c r="K692" s="19"/>
    </row>
    <row r="693" spans="2:11" ht="15">
      <c r="B693" s="13"/>
      <c r="C693" s="19"/>
      <c r="D693" s="19"/>
      <c r="E693" s="19"/>
      <c r="F693" s="19"/>
      <c r="G693" s="19"/>
      <c r="H693" s="19"/>
      <c r="I693" s="19"/>
      <c r="J693" s="19"/>
      <c r="K693" s="19"/>
    </row>
    <row r="694" spans="2:11" ht="15">
      <c r="B694" s="13"/>
      <c r="C694" s="19"/>
      <c r="D694" s="19"/>
      <c r="E694" s="19"/>
      <c r="F694" s="19"/>
      <c r="G694" s="19"/>
      <c r="H694" s="19"/>
      <c r="I694" s="19"/>
      <c r="J694" s="19"/>
      <c r="K694" s="19"/>
    </row>
    <row r="696" spans="2:11" ht="18.75">
      <c r="B696" s="888"/>
      <c r="C696" s="888"/>
      <c r="D696" s="888"/>
      <c r="E696" s="888"/>
      <c r="F696" s="888"/>
      <c r="G696" s="888"/>
      <c r="H696" s="888"/>
      <c r="I696" s="888"/>
      <c r="J696" s="888"/>
      <c r="K696" s="25"/>
    </row>
    <row r="697" spans="2:11" ht="15">
      <c r="B697" s="26"/>
      <c r="C697" s="19"/>
      <c r="D697" s="19"/>
      <c r="E697" s="19"/>
      <c r="F697" s="19"/>
      <c r="G697" s="19"/>
      <c r="H697" s="19"/>
      <c r="I697" s="19"/>
      <c r="J697" s="19"/>
      <c r="K697" s="19"/>
    </row>
    <row r="698" spans="2:11">
      <c r="B698" s="890"/>
      <c r="C698" s="890"/>
      <c r="D698" s="890"/>
      <c r="E698" s="890"/>
      <c r="F698" s="890"/>
      <c r="G698" s="890"/>
      <c r="H698" s="890"/>
      <c r="I698" s="890"/>
      <c r="J698" s="890"/>
      <c r="K698" s="25"/>
    </row>
    <row r="699" spans="2:11" ht="18.75" customHeight="1">
      <c r="B699" s="890"/>
      <c r="C699" s="890"/>
      <c r="D699" s="890"/>
      <c r="E699" s="890"/>
      <c r="F699" s="890"/>
      <c r="G699" s="890"/>
      <c r="H699" s="890"/>
      <c r="I699" s="890"/>
      <c r="J699" s="890"/>
      <c r="K699" s="25"/>
    </row>
    <row r="700" spans="2:11" ht="15">
      <c r="B700" s="27"/>
      <c r="C700" s="28"/>
      <c r="D700" s="28"/>
      <c r="E700" s="28"/>
      <c r="F700" s="28"/>
      <c r="G700" s="28"/>
      <c r="H700" s="28"/>
      <c r="I700" s="19"/>
      <c r="J700" s="19"/>
      <c r="K700" s="19"/>
    </row>
    <row r="701" spans="2:11" ht="15">
      <c r="B701" s="29"/>
      <c r="C701" s="19"/>
      <c r="D701" s="30"/>
      <c r="E701" s="30"/>
      <c r="F701" s="22"/>
      <c r="G701" s="19"/>
      <c r="H701" s="19"/>
      <c r="I701" s="19"/>
      <c r="J701" s="19"/>
      <c r="K701" s="19"/>
    </row>
    <row r="702" spans="2:11" ht="15">
      <c r="B702" s="20"/>
      <c r="C702" s="22"/>
      <c r="D702" s="22"/>
      <c r="E702" s="22"/>
      <c r="F702" s="22"/>
      <c r="G702" s="22"/>
      <c r="H702" s="22"/>
      <c r="I702" s="22"/>
      <c r="J702" s="22"/>
      <c r="K702" s="22"/>
    </row>
    <row r="703" spans="2:11" ht="15">
      <c r="B703" s="13"/>
      <c r="C703" s="22"/>
      <c r="D703" s="22"/>
      <c r="E703" s="31"/>
      <c r="F703" s="31"/>
      <c r="G703" s="31"/>
      <c r="H703" s="31"/>
      <c r="I703" s="31"/>
      <c r="J703" s="31"/>
      <c r="K703" s="31"/>
    </row>
    <row r="704" spans="2:11" ht="15">
      <c r="B704" s="13"/>
      <c r="C704" s="22"/>
      <c r="D704" s="19"/>
      <c r="E704" s="19"/>
      <c r="F704" s="19"/>
      <c r="G704" s="19"/>
      <c r="H704" s="19"/>
      <c r="I704" s="19"/>
      <c r="J704" s="19"/>
      <c r="K704" s="19"/>
    </row>
    <row r="705" spans="2:11" ht="15">
      <c r="B705" s="32"/>
      <c r="C705" s="19"/>
      <c r="D705" s="19"/>
      <c r="E705" s="19"/>
      <c r="F705" s="19"/>
      <c r="G705" s="19"/>
      <c r="H705" s="19"/>
      <c r="I705" s="19"/>
      <c r="J705" s="19"/>
      <c r="K705" s="19"/>
    </row>
    <row r="706" spans="2:11" ht="15">
      <c r="B706" s="33"/>
      <c r="C706" s="19"/>
      <c r="D706" s="19"/>
      <c r="E706" s="19"/>
      <c r="F706" s="19"/>
      <c r="G706" s="19"/>
      <c r="H706" s="19"/>
      <c r="I706" s="19"/>
      <c r="J706" s="19"/>
      <c r="K706" s="19"/>
    </row>
    <row r="707" spans="2:11" ht="15">
      <c r="B707" s="34"/>
      <c r="C707" s="19"/>
      <c r="D707" s="19"/>
      <c r="E707" s="19"/>
      <c r="F707" s="19"/>
      <c r="G707" s="19"/>
      <c r="H707" s="19"/>
      <c r="I707" s="19"/>
      <c r="J707" s="19"/>
      <c r="K707" s="19"/>
    </row>
    <row r="708" spans="2:11" ht="15">
      <c r="B708" s="16"/>
      <c r="C708" s="19"/>
      <c r="D708" s="19"/>
      <c r="E708" s="19"/>
      <c r="F708" s="19"/>
      <c r="G708" s="19"/>
      <c r="H708" s="19"/>
      <c r="I708" s="19"/>
      <c r="J708" s="19"/>
      <c r="K708" s="19"/>
    </row>
    <row r="709" spans="2:11" ht="15">
      <c r="B709" s="13"/>
      <c r="C709" s="19"/>
      <c r="D709" s="19"/>
      <c r="E709" s="19"/>
      <c r="F709" s="19"/>
      <c r="G709" s="19"/>
      <c r="H709" s="19"/>
      <c r="I709" s="19"/>
      <c r="J709" s="19"/>
      <c r="K709" s="19"/>
    </row>
    <row r="710" spans="2:11" ht="15">
      <c r="B710" s="32"/>
      <c r="C710" s="19"/>
      <c r="D710" s="19"/>
      <c r="E710" s="19"/>
      <c r="F710" s="19"/>
      <c r="G710" s="19"/>
      <c r="H710" s="19"/>
      <c r="I710" s="19"/>
      <c r="J710" s="19"/>
      <c r="K710" s="19"/>
    </row>
    <row r="711" spans="2:11" ht="15">
      <c r="B711" s="15"/>
      <c r="C711" s="19"/>
      <c r="D711" s="19"/>
      <c r="E711" s="19"/>
      <c r="F711" s="19"/>
      <c r="G711" s="19"/>
      <c r="H711" s="19"/>
      <c r="I711" s="19"/>
      <c r="J711" s="19"/>
      <c r="K711" s="19"/>
    </row>
    <row r="712" spans="2:11" ht="15">
      <c r="B712" s="15"/>
      <c r="C712" s="19"/>
      <c r="D712" s="19"/>
      <c r="E712" s="19"/>
      <c r="F712" s="19"/>
      <c r="G712" s="19"/>
      <c r="H712" s="19"/>
      <c r="I712" s="19"/>
      <c r="J712" s="19"/>
      <c r="K712" s="19"/>
    </row>
    <row r="713" spans="2:11" ht="15">
      <c r="B713" s="16"/>
      <c r="C713" s="19"/>
      <c r="D713" s="19"/>
      <c r="E713" s="19"/>
      <c r="F713" s="19"/>
      <c r="G713" s="19"/>
      <c r="H713" s="19"/>
      <c r="I713" s="19"/>
      <c r="J713" s="19"/>
      <c r="K713" s="19"/>
    </row>
    <row r="714" spans="2:11" ht="15">
      <c r="B714" s="16"/>
      <c r="C714" s="19"/>
      <c r="D714" s="19"/>
      <c r="E714" s="19"/>
      <c r="F714" s="19"/>
      <c r="G714" s="19"/>
      <c r="H714" s="19"/>
      <c r="I714" s="19"/>
      <c r="J714" s="19"/>
      <c r="K714" s="19"/>
    </row>
    <row r="715" spans="2:11" ht="15">
      <c r="B715" s="17"/>
      <c r="C715" s="19"/>
      <c r="D715" s="19"/>
      <c r="E715" s="19"/>
      <c r="F715" s="19"/>
      <c r="G715" s="19"/>
      <c r="H715" s="19"/>
      <c r="I715" s="19"/>
      <c r="J715" s="19"/>
      <c r="K715" s="19"/>
    </row>
    <row r="716" spans="2:11" ht="15">
      <c r="B716" s="17"/>
      <c r="C716" s="19"/>
      <c r="D716" s="19"/>
      <c r="E716" s="19"/>
      <c r="F716" s="19"/>
      <c r="G716" s="19"/>
      <c r="H716" s="19"/>
      <c r="I716" s="19"/>
      <c r="J716" s="19"/>
      <c r="K716" s="19"/>
    </row>
    <row r="717" spans="2:11" ht="15">
      <c r="B717" s="32"/>
      <c r="C717" s="19"/>
      <c r="D717" s="19"/>
      <c r="E717" s="19"/>
      <c r="F717" s="19"/>
      <c r="G717" s="19"/>
      <c r="H717" s="19"/>
      <c r="I717" s="19"/>
      <c r="J717" s="19"/>
      <c r="K717" s="19"/>
    </row>
    <row r="718" spans="2:11" ht="15">
      <c r="B718" s="18"/>
      <c r="C718" s="19"/>
      <c r="D718" s="19"/>
      <c r="E718" s="19"/>
      <c r="F718" s="19"/>
      <c r="G718" s="19"/>
      <c r="H718" s="19"/>
      <c r="I718" s="19"/>
      <c r="J718" s="19"/>
      <c r="K718" s="19"/>
    </row>
    <row r="719" spans="2:11" ht="15">
      <c r="B719" s="18"/>
      <c r="C719" s="19"/>
      <c r="D719" s="19"/>
      <c r="E719" s="19"/>
      <c r="F719" s="19"/>
      <c r="G719" s="19"/>
      <c r="H719" s="19"/>
      <c r="I719" s="19"/>
      <c r="J719" s="19"/>
      <c r="K719" s="19"/>
    </row>
    <row r="720" spans="2:11" ht="15">
      <c r="B720" s="13"/>
      <c r="C720" s="19"/>
      <c r="D720" s="19"/>
      <c r="E720" s="19"/>
      <c r="F720" s="19"/>
      <c r="G720" s="19"/>
      <c r="H720" s="19"/>
      <c r="I720" s="19"/>
      <c r="J720" s="19"/>
      <c r="K720" s="19"/>
    </row>
    <row r="721" spans="2:11" ht="15">
      <c r="B721" s="13"/>
      <c r="C721" s="19"/>
      <c r="D721" s="19"/>
      <c r="E721" s="19"/>
      <c r="F721" s="19"/>
      <c r="G721" s="19"/>
      <c r="H721" s="19"/>
      <c r="I721" s="19"/>
      <c r="J721" s="19"/>
      <c r="K721" s="19"/>
    </row>
    <row r="722" spans="2:11" ht="15">
      <c r="B722" s="13"/>
      <c r="C722" s="19"/>
      <c r="D722" s="19"/>
      <c r="E722" s="19"/>
      <c r="F722" s="19"/>
      <c r="G722" s="19"/>
      <c r="H722" s="19"/>
      <c r="I722" s="19"/>
      <c r="J722" s="19"/>
      <c r="K722" s="19"/>
    </row>
    <row r="723" spans="2:11" ht="15">
      <c r="B723" s="13"/>
      <c r="C723" s="19"/>
      <c r="D723" s="19"/>
      <c r="E723" s="19"/>
      <c r="F723" s="19"/>
      <c r="G723" s="19"/>
      <c r="H723" s="19"/>
      <c r="I723" s="19"/>
      <c r="J723" s="19"/>
      <c r="K723" s="19"/>
    </row>
    <row r="724" spans="2:11" ht="15">
      <c r="B724" s="13"/>
      <c r="C724" s="19"/>
      <c r="D724" s="19"/>
      <c r="E724" s="19"/>
      <c r="F724" s="19"/>
      <c r="G724" s="19"/>
      <c r="H724" s="19"/>
      <c r="I724" s="19"/>
      <c r="J724" s="19"/>
      <c r="K724" s="19"/>
    </row>
    <row r="725" spans="2:11" ht="15">
      <c r="B725" s="13"/>
      <c r="C725" s="19"/>
      <c r="D725" s="19"/>
      <c r="E725" s="19"/>
      <c r="F725" s="19"/>
      <c r="G725" s="19"/>
      <c r="H725" s="19"/>
      <c r="I725" s="19"/>
      <c r="J725" s="19"/>
      <c r="K725" s="19"/>
    </row>
    <row r="726" spans="2:11" ht="15">
      <c r="B726" s="13"/>
      <c r="C726" s="19"/>
      <c r="D726" s="19"/>
      <c r="E726" s="19"/>
      <c r="F726" s="19"/>
      <c r="G726" s="19"/>
      <c r="H726" s="19"/>
      <c r="I726" s="19"/>
      <c r="J726" s="19"/>
      <c r="K726" s="19"/>
    </row>
    <row r="727" spans="2:11" ht="15">
      <c r="B727" s="13"/>
      <c r="C727" s="19"/>
      <c r="D727" s="19"/>
      <c r="E727" s="19"/>
      <c r="F727" s="19"/>
      <c r="G727" s="19"/>
      <c r="H727" s="19"/>
      <c r="I727" s="19"/>
      <c r="J727" s="19"/>
      <c r="K727" s="19"/>
    </row>
    <row r="728" spans="2:11" ht="15">
      <c r="B728" s="13"/>
      <c r="C728" s="19"/>
      <c r="D728" s="19"/>
      <c r="E728" s="19"/>
      <c r="F728" s="19"/>
      <c r="G728" s="19"/>
      <c r="H728" s="19"/>
      <c r="I728" s="19"/>
      <c r="J728" s="19"/>
      <c r="K728" s="19"/>
    </row>
    <row r="729" spans="2:11" ht="15">
      <c r="B729" s="13"/>
      <c r="C729" s="19"/>
      <c r="D729" s="19"/>
      <c r="E729" s="19"/>
      <c r="F729" s="19"/>
      <c r="G729" s="19"/>
      <c r="H729" s="19"/>
      <c r="I729" s="19"/>
      <c r="J729" s="19"/>
      <c r="K729" s="19"/>
    </row>
    <row r="730" spans="2:11" ht="15">
      <c r="B730" s="13"/>
      <c r="C730" s="19"/>
      <c r="D730" s="19"/>
      <c r="E730" s="19"/>
      <c r="F730" s="19"/>
      <c r="G730" s="19"/>
      <c r="H730" s="19"/>
      <c r="I730" s="19"/>
      <c r="J730" s="19"/>
      <c r="K730" s="19"/>
    </row>
    <row r="731" spans="2:11" ht="15">
      <c r="B731" s="13"/>
      <c r="C731" s="19"/>
      <c r="D731" s="19"/>
      <c r="E731" s="19"/>
      <c r="F731" s="19"/>
      <c r="G731" s="19"/>
      <c r="H731" s="19"/>
      <c r="I731" s="19"/>
      <c r="J731" s="19"/>
      <c r="K731" s="19"/>
    </row>
    <row r="732" spans="2:11" ht="15">
      <c r="B732" s="13"/>
      <c r="C732" s="19"/>
      <c r="D732" s="19"/>
      <c r="E732" s="19"/>
      <c r="F732" s="19"/>
      <c r="G732" s="19"/>
      <c r="H732" s="19"/>
      <c r="I732" s="19"/>
      <c r="J732" s="19"/>
      <c r="K732" s="19"/>
    </row>
    <row r="733" spans="2:11" ht="18.75">
      <c r="B733" s="888"/>
      <c r="C733" s="888"/>
      <c r="D733" s="888"/>
      <c r="E733" s="888"/>
      <c r="F733" s="888"/>
      <c r="G733" s="888"/>
      <c r="H733" s="888"/>
      <c r="I733" s="888"/>
      <c r="J733" s="888"/>
      <c r="K733" s="25"/>
    </row>
    <row r="734" spans="2:11" ht="15">
      <c r="B734" s="26"/>
      <c r="C734" s="19"/>
      <c r="D734" s="19"/>
      <c r="E734" s="19"/>
      <c r="F734" s="19"/>
      <c r="G734" s="19"/>
      <c r="H734" s="19"/>
      <c r="I734" s="19"/>
      <c r="J734" s="19"/>
      <c r="K734" s="19"/>
    </row>
    <row r="735" spans="2:11" ht="15">
      <c r="B735" s="890"/>
      <c r="C735" s="890"/>
      <c r="D735" s="890"/>
      <c r="E735" s="890"/>
      <c r="F735" s="890"/>
      <c r="G735" s="890"/>
      <c r="H735" s="890"/>
      <c r="I735" s="890"/>
      <c r="J735" s="890"/>
      <c r="K735" s="25"/>
    </row>
    <row r="736" spans="2:11" ht="15">
      <c r="B736" s="27"/>
      <c r="C736" s="28"/>
      <c r="D736" s="28"/>
      <c r="E736" s="28"/>
      <c r="F736" s="28"/>
      <c r="G736" s="28"/>
      <c r="H736" s="28"/>
      <c r="I736" s="19"/>
      <c r="J736" s="19"/>
      <c r="K736" s="19"/>
    </row>
    <row r="737" spans="2:11" ht="15">
      <c r="B737" s="29"/>
      <c r="C737" s="19"/>
      <c r="D737" s="22"/>
      <c r="E737" s="19"/>
      <c r="F737" s="22"/>
      <c r="G737" s="19"/>
      <c r="H737" s="19"/>
      <c r="I737" s="19"/>
      <c r="J737" s="19"/>
      <c r="K737" s="19"/>
    </row>
    <row r="738" spans="2:11" ht="15">
      <c r="B738" s="20"/>
      <c r="C738" s="22"/>
      <c r="D738" s="22"/>
      <c r="E738" s="22"/>
      <c r="F738" s="22"/>
      <c r="G738" s="22"/>
      <c r="H738" s="22"/>
      <c r="I738" s="22"/>
      <c r="J738" s="22"/>
      <c r="K738" s="22"/>
    </row>
    <row r="739" spans="2:11" ht="15">
      <c r="B739" s="13"/>
      <c r="C739" s="22"/>
      <c r="D739" s="22"/>
      <c r="E739" s="31"/>
      <c r="F739" s="31"/>
      <c r="G739" s="31"/>
      <c r="H739" s="31"/>
      <c r="I739" s="31"/>
      <c r="J739" s="31"/>
      <c r="K739" s="31"/>
    </row>
    <row r="740" spans="2:11" ht="15">
      <c r="B740" s="13"/>
      <c r="C740" s="22"/>
      <c r="D740" s="19"/>
      <c r="E740" s="19"/>
      <c r="F740" s="19"/>
      <c r="G740" s="19"/>
      <c r="H740" s="19"/>
      <c r="I740" s="19"/>
      <c r="J740" s="19"/>
      <c r="K740" s="19"/>
    </row>
    <row r="741" spans="2:11" ht="15">
      <c r="B741" s="32"/>
      <c r="C741" s="19"/>
      <c r="D741" s="19"/>
      <c r="E741" s="19"/>
      <c r="F741" s="19"/>
      <c r="G741" s="19"/>
      <c r="H741" s="19"/>
      <c r="I741" s="19"/>
      <c r="J741" s="19"/>
      <c r="K741" s="19"/>
    </row>
    <row r="742" spans="2:11" ht="15">
      <c r="B742" s="33"/>
      <c r="C742" s="19"/>
      <c r="D742" s="19"/>
      <c r="E742" s="19"/>
      <c r="F742" s="19"/>
      <c r="G742" s="19"/>
      <c r="H742" s="19"/>
      <c r="I742" s="19"/>
      <c r="J742" s="19"/>
      <c r="K742" s="19"/>
    </row>
    <row r="743" spans="2:11" ht="15">
      <c r="B743" s="34"/>
      <c r="C743" s="19"/>
      <c r="D743" s="19"/>
      <c r="E743" s="19"/>
      <c r="F743" s="19"/>
      <c r="G743" s="19"/>
      <c r="H743" s="19"/>
      <c r="I743" s="19"/>
      <c r="J743" s="19"/>
      <c r="K743" s="19"/>
    </row>
    <row r="744" spans="2:11" ht="15">
      <c r="B744" s="16"/>
      <c r="C744" s="19"/>
      <c r="D744" s="19"/>
      <c r="E744" s="19"/>
      <c r="F744" s="19"/>
      <c r="G744" s="19"/>
      <c r="H744" s="19"/>
      <c r="I744" s="19"/>
      <c r="J744" s="19"/>
      <c r="K744" s="19"/>
    </row>
    <row r="745" spans="2:11" ht="15">
      <c r="B745" s="13"/>
      <c r="C745" s="19"/>
      <c r="D745" s="19"/>
      <c r="E745" s="19"/>
      <c r="F745" s="19"/>
      <c r="G745" s="19"/>
      <c r="H745" s="19"/>
      <c r="I745" s="19"/>
      <c r="J745" s="19"/>
      <c r="K745" s="19"/>
    </row>
    <row r="746" spans="2:11" ht="15">
      <c r="B746" s="32"/>
      <c r="C746" s="19"/>
      <c r="D746" s="19"/>
      <c r="E746" s="19"/>
      <c r="F746" s="19"/>
      <c r="G746" s="19"/>
      <c r="H746" s="19"/>
      <c r="I746" s="19"/>
      <c r="J746" s="19"/>
      <c r="K746" s="19"/>
    </row>
    <row r="747" spans="2:11" ht="15">
      <c r="B747" s="15"/>
      <c r="C747" s="19"/>
      <c r="D747" s="19"/>
      <c r="E747" s="19"/>
      <c r="F747" s="19"/>
      <c r="G747" s="19"/>
      <c r="H747" s="19"/>
      <c r="I747" s="19"/>
      <c r="J747" s="19"/>
      <c r="K747" s="19"/>
    </row>
    <row r="748" spans="2:11" ht="15">
      <c r="B748" s="15"/>
      <c r="C748" s="19"/>
      <c r="D748" s="19"/>
      <c r="E748" s="19"/>
      <c r="F748" s="19"/>
      <c r="G748" s="19"/>
      <c r="H748" s="19"/>
      <c r="I748" s="19"/>
      <c r="J748" s="19"/>
      <c r="K748" s="19"/>
    </row>
    <row r="749" spans="2:11" ht="15">
      <c r="B749" s="16"/>
      <c r="C749" s="19"/>
      <c r="D749" s="19"/>
      <c r="E749" s="19"/>
      <c r="F749" s="19"/>
      <c r="G749" s="19"/>
      <c r="H749" s="19"/>
      <c r="I749" s="19"/>
      <c r="J749" s="19"/>
      <c r="K749" s="19"/>
    </row>
    <row r="750" spans="2:11" ht="15">
      <c r="B750" s="16"/>
      <c r="C750" s="19"/>
      <c r="D750" s="19"/>
      <c r="E750" s="19"/>
      <c r="F750" s="19"/>
      <c r="G750" s="19"/>
      <c r="H750" s="19"/>
      <c r="I750" s="19"/>
      <c r="J750" s="19"/>
      <c r="K750" s="19"/>
    </row>
    <row r="751" spans="2:11" ht="15">
      <c r="B751" s="17"/>
      <c r="C751" s="19"/>
      <c r="D751" s="19"/>
      <c r="E751" s="19"/>
      <c r="F751" s="19"/>
      <c r="G751" s="19"/>
      <c r="H751" s="19"/>
      <c r="I751" s="19"/>
      <c r="J751" s="19"/>
      <c r="K751" s="19"/>
    </row>
    <row r="752" spans="2:11" ht="15">
      <c r="B752" s="17"/>
      <c r="C752" s="19"/>
      <c r="D752" s="19"/>
      <c r="E752" s="19"/>
      <c r="F752" s="19"/>
      <c r="G752" s="19"/>
      <c r="H752" s="19"/>
      <c r="I752" s="19"/>
      <c r="J752" s="19"/>
      <c r="K752" s="19"/>
    </row>
    <row r="753" spans="2:11" ht="15">
      <c r="B753" s="32"/>
      <c r="C753" s="19"/>
      <c r="D753" s="19"/>
      <c r="E753" s="19"/>
      <c r="F753" s="19"/>
      <c r="G753" s="19"/>
      <c r="H753" s="19"/>
      <c r="I753" s="19"/>
      <c r="J753" s="19"/>
      <c r="K753" s="19"/>
    </row>
    <row r="754" spans="2:11" ht="15">
      <c r="B754" s="18"/>
      <c r="C754" s="19"/>
      <c r="D754" s="19"/>
      <c r="E754" s="19"/>
      <c r="F754" s="19"/>
      <c r="G754" s="19"/>
      <c r="H754" s="19"/>
      <c r="I754" s="19"/>
      <c r="J754" s="19"/>
      <c r="K754" s="19"/>
    </row>
    <row r="755" spans="2:11" ht="15">
      <c r="B755" s="18"/>
      <c r="C755" s="19"/>
      <c r="D755" s="19"/>
      <c r="E755" s="19"/>
      <c r="F755" s="19"/>
      <c r="G755" s="19"/>
      <c r="H755" s="19"/>
      <c r="I755" s="19"/>
      <c r="J755" s="19"/>
      <c r="K755" s="19"/>
    </row>
    <row r="756" spans="2:11" ht="15">
      <c r="B756" s="13"/>
      <c r="C756" s="19"/>
      <c r="D756" s="19"/>
      <c r="E756" s="19"/>
      <c r="F756" s="19"/>
      <c r="G756" s="19"/>
      <c r="H756" s="19"/>
      <c r="I756" s="19"/>
      <c r="J756" s="19"/>
      <c r="K756" s="19"/>
    </row>
    <row r="757" spans="2:11" ht="15">
      <c r="B757" s="13"/>
      <c r="C757" s="19"/>
      <c r="D757" s="19"/>
      <c r="E757" s="19"/>
      <c r="F757" s="19"/>
      <c r="G757" s="19"/>
      <c r="H757" s="19"/>
      <c r="I757" s="19"/>
      <c r="J757" s="19"/>
      <c r="K757" s="19"/>
    </row>
    <row r="758" spans="2:11" ht="15">
      <c r="B758" s="13"/>
      <c r="C758" s="19"/>
      <c r="D758" s="19"/>
      <c r="E758" s="19"/>
      <c r="F758" s="19"/>
      <c r="G758" s="19"/>
      <c r="H758" s="19"/>
      <c r="I758" s="19"/>
      <c r="J758" s="19"/>
      <c r="K758" s="19"/>
    </row>
    <row r="759" spans="2:11" ht="15">
      <c r="B759" s="13"/>
      <c r="C759" s="19"/>
      <c r="D759" s="19"/>
      <c r="E759" s="19"/>
      <c r="F759" s="19"/>
      <c r="G759" s="19"/>
      <c r="H759" s="19"/>
      <c r="I759" s="19"/>
      <c r="J759" s="19"/>
      <c r="K759" s="19"/>
    </row>
    <row r="760" spans="2:11" ht="15">
      <c r="B760" s="13"/>
      <c r="C760" s="19"/>
      <c r="D760" s="19"/>
      <c r="E760" s="19"/>
      <c r="F760" s="19"/>
      <c r="G760" s="19"/>
      <c r="H760" s="19"/>
      <c r="I760" s="19"/>
      <c r="J760" s="19"/>
      <c r="K760" s="19"/>
    </row>
    <row r="761" spans="2:11" ht="15">
      <c r="B761" s="13"/>
      <c r="C761" s="19"/>
      <c r="D761" s="19"/>
      <c r="E761" s="19"/>
      <c r="F761" s="19"/>
      <c r="G761" s="19"/>
      <c r="H761" s="19"/>
      <c r="I761" s="19"/>
      <c r="J761" s="19"/>
      <c r="K761" s="19"/>
    </row>
    <row r="762" spans="2:11" ht="15">
      <c r="B762" s="13"/>
      <c r="C762" s="19"/>
      <c r="D762" s="19"/>
      <c r="E762" s="19"/>
      <c r="F762" s="19"/>
      <c r="G762" s="19"/>
      <c r="H762" s="19"/>
      <c r="I762" s="19"/>
      <c r="J762" s="19"/>
      <c r="K762" s="19"/>
    </row>
    <row r="763" spans="2:11" ht="15">
      <c r="B763" s="13"/>
      <c r="C763" s="19"/>
      <c r="D763" s="19"/>
      <c r="E763" s="19"/>
      <c r="F763" s="19"/>
      <c r="G763" s="19"/>
      <c r="H763" s="19"/>
      <c r="I763" s="19"/>
      <c r="J763" s="19"/>
      <c r="K763" s="19"/>
    </row>
    <row r="764" spans="2:11" ht="15">
      <c r="B764" s="13"/>
      <c r="C764" s="19"/>
      <c r="D764" s="19"/>
      <c r="E764" s="19"/>
      <c r="F764" s="19"/>
      <c r="G764" s="19"/>
      <c r="H764" s="19"/>
      <c r="I764" s="19"/>
      <c r="J764" s="19"/>
      <c r="K764" s="19"/>
    </row>
    <row r="765" spans="2:11" ht="15">
      <c r="B765" s="13"/>
      <c r="C765" s="19"/>
      <c r="D765" s="19"/>
      <c r="E765" s="19"/>
      <c r="F765" s="19"/>
      <c r="G765" s="19"/>
      <c r="H765" s="19"/>
      <c r="I765" s="19"/>
      <c r="J765" s="19"/>
      <c r="K765" s="19"/>
    </row>
    <row r="766" spans="2:11" ht="15">
      <c r="B766" s="13"/>
      <c r="C766" s="19"/>
      <c r="D766" s="19"/>
      <c r="E766" s="19"/>
      <c r="F766" s="19"/>
      <c r="G766" s="19"/>
      <c r="H766" s="19"/>
      <c r="I766" s="19"/>
      <c r="J766" s="19"/>
      <c r="K766" s="19"/>
    </row>
    <row r="767" spans="2:11" ht="15">
      <c r="B767" s="13"/>
      <c r="C767" s="19"/>
      <c r="D767" s="19"/>
      <c r="E767" s="19"/>
      <c r="F767" s="19"/>
      <c r="G767" s="19"/>
      <c r="H767" s="19"/>
      <c r="I767" s="19"/>
      <c r="J767" s="19"/>
      <c r="K767" s="19"/>
    </row>
  </sheetData>
  <mergeCells count="40">
    <mergeCell ref="B497:J500"/>
    <mergeCell ref="B282:J282"/>
    <mergeCell ref="B61:K61"/>
    <mergeCell ref="B63:K64"/>
    <mergeCell ref="B284:J285"/>
    <mergeCell ref="B320:J320"/>
    <mergeCell ref="B322:J323"/>
    <mergeCell ref="B368:J368"/>
    <mergeCell ref="B370:J371"/>
    <mergeCell ref="B414:J414"/>
    <mergeCell ref="B416:J418"/>
    <mergeCell ref="B450:J450"/>
    <mergeCell ref="B452:J455"/>
    <mergeCell ref="B495:J495"/>
    <mergeCell ref="B207:J208"/>
    <mergeCell ref="B242:J242"/>
    <mergeCell ref="B735:J735"/>
    <mergeCell ref="B535:J535"/>
    <mergeCell ref="B537:J539"/>
    <mergeCell ref="B584:J584"/>
    <mergeCell ref="B586:J587"/>
    <mergeCell ref="B621:J621"/>
    <mergeCell ref="B623:J624"/>
    <mergeCell ref="B659:J659"/>
    <mergeCell ref="B661:J662"/>
    <mergeCell ref="B696:J696"/>
    <mergeCell ref="B698:J699"/>
    <mergeCell ref="B733:J733"/>
    <mergeCell ref="B244:J244"/>
    <mergeCell ref="B122:K122"/>
    <mergeCell ref="B124:K125"/>
    <mergeCell ref="B153:K153"/>
    <mergeCell ref="B155:K156"/>
    <mergeCell ref="B1:K1"/>
    <mergeCell ref="B3:K5"/>
    <mergeCell ref="B32:K32"/>
    <mergeCell ref="B34:K36"/>
    <mergeCell ref="B205:J205"/>
    <mergeCell ref="B92:K92"/>
    <mergeCell ref="B94:K97"/>
  </mergeCells>
  <pageMargins left="0" right="0" top="0.5" bottom="0.25" header="0" footer="0"/>
  <pageSetup scale="92" orientation="landscape" r:id="rId1"/>
  <rowBreaks count="19" manualBreakCount="19">
    <brk id="31" max="10" man="1"/>
    <brk id="60" max="10" man="1"/>
    <brk id="91" max="10" man="1"/>
    <brk id="121" max="10" man="1"/>
    <brk id="152" max="10" man="1"/>
    <brk id="203" max="16383" man="1"/>
    <brk id="241" max="16383" man="1"/>
    <brk id="280" max="16383" man="1"/>
    <brk id="318" max="16383" man="1"/>
    <brk id="366" max="16383" man="1"/>
    <brk id="412" max="16383" man="1"/>
    <brk id="448" max="16383" man="1"/>
    <brk id="493" max="16383" man="1"/>
    <brk id="533" max="16383" man="1"/>
    <brk id="582" max="16383" man="1"/>
    <brk id="619" max="16383" man="1"/>
    <brk id="657" max="16383" man="1"/>
    <brk id="694" max="16383" man="1"/>
    <brk id="731" max="16383" man="1"/>
  </rowBreaks>
  <drawing r:id="rId2"/>
</worksheet>
</file>

<file path=xl/worksheets/sheet6.xml><?xml version="1.0" encoding="utf-8"?>
<worksheet xmlns="http://schemas.openxmlformats.org/spreadsheetml/2006/main" xmlns:r="http://schemas.openxmlformats.org/officeDocument/2006/relationships">
  <dimension ref="A1:K69"/>
  <sheetViews>
    <sheetView zoomScale="75" zoomScaleNormal="75" zoomScaleSheetLayoutView="100" workbookViewId="0">
      <selection activeCell="N18" sqref="N18"/>
    </sheetView>
  </sheetViews>
  <sheetFormatPr defaultRowHeight="12.75"/>
  <cols>
    <col min="1" max="1" width="3.7109375" customWidth="1"/>
    <col min="2" max="2" width="33" customWidth="1"/>
    <col min="3" max="4" width="12.7109375" style="23" customWidth="1"/>
    <col min="5" max="11" width="12.7109375" style="24" customWidth="1"/>
  </cols>
  <sheetData>
    <row r="1" spans="1:11" s="121" customFormat="1" ht="18.75">
      <c r="A1" s="124"/>
      <c r="B1" s="892" t="s">
        <v>869</v>
      </c>
      <c r="C1" s="892"/>
      <c r="D1" s="892"/>
      <c r="E1" s="892"/>
      <c r="F1" s="892"/>
      <c r="G1" s="892"/>
      <c r="H1" s="892"/>
      <c r="I1" s="892"/>
      <c r="J1" s="892"/>
      <c r="K1" s="892"/>
    </row>
    <row r="2" spans="1:11" s="121" customFormat="1" ht="15" customHeight="1">
      <c r="A2" s="124"/>
      <c r="B2" s="64"/>
      <c r="C2" s="3"/>
      <c r="D2" s="2"/>
      <c r="E2" s="2"/>
      <c r="F2" s="2"/>
      <c r="G2" s="2"/>
      <c r="H2" s="2"/>
      <c r="I2" s="2"/>
      <c r="J2" s="2"/>
      <c r="K2" s="2"/>
    </row>
    <row r="3" spans="1:11" s="121" customFormat="1" ht="12.75" customHeight="1">
      <c r="A3" s="124"/>
      <c r="B3" s="886" t="s">
        <v>1412</v>
      </c>
      <c r="C3" s="886"/>
      <c r="D3" s="886"/>
      <c r="E3" s="886"/>
      <c r="F3" s="886"/>
      <c r="G3" s="886"/>
      <c r="H3" s="886"/>
      <c r="I3" s="886"/>
      <c r="J3" s="886"/>
      <c r="K3" s="886"/>
    </row>
    <row r="4" spans="1:11" s="121" customFormat="1" ht="12.75" customHeight="1">
      <c r="A4" s="124"/>
      <c r="B4" s="886"/>
      <c r="C4" s="886"/>
      <c r="D4" s="886"/>
      <c r="E4" s="886"/>
      <c r="F4" s="886"/>
      <c r="G4" s="886"/>
      <c r="H4" s="886"/>
      <c r="I4" s="886"/>
      <c r="J4" s="886"/>
      <c r="K4" s="886"/>
    </row>
    <row r="5" spans="1:11" s="121" customFormat="1" ht="12.75" customHeight="1">
      <c r="A5" s="124"/>
      <c r="B5" s="886"/>
      <c r="C5" s="886"/>
      <c r="D5" s="886"/>
      <c r="E5" s="886"/>
      <c r="F5" s="886"/>
      <c r="G5" s="886"/>
      <c r="H5" s="886"/>
      <c r="I5" s="886"/>
      <c r="J5" s="886"/>
      <c r="K5" s="886"/>
    </row>
    <row r="6" spans="1:11" s="121" customFormat="1" ht="15" customHeight="1">
      <c r="A6" s="124"/>
      <c r="B6" s="886"/>
      <c r="C6" s="886"/>
      <c r="D6" s="886"/>
      <c r="E6" s="886"/>
      <c r="F6" s="886"/>
      <c r="G6" s="886"/>
      <c r="H6" s="886"/>
      <c r="I6" s="886"/>
      <c r="J6" s="886"/>
      <c r="K6" s="886"/>
    </row>
    <row r="7" spans="1:11" s="121" customFormat="1" ht="12" customHeight="1">
      <c r="A7" s="124"/>
      <c r="B7" s="886"/>
      <c r="C7" s="886"/>
      <c r="D7" s="886"/>
      <c r="E7" s="886"/>
      <c r="F7" s="886"/>
      <c r="G7" s="886"/>
      <c r="H7" s="886"/>
      <c r="I7" s="886"/>
      <c r="J7" s="886"/>
      <c r="K7" s="886"/>
    </row>
    <row r="8" spans="1:11" s="121" customFormat="1" ht="15">
      <c r="A8" s="124"/>
      <c r="B8" s="5"/>
      <c r="C8" s="64"/>
      <c r="D8" s="65"/>
      <c r="E8" s="65" t="s">
        <v>834</v>
      </c>
      <c r="F8" s="1"/>
      <c r="G8" s="1"/>
      <c r="H8" s="1"/>
      <c r="I8" s="1"/>
      <c r="J8" s="1"/>
      <c r="K8" s="1"/>
    </row>
    <row r="9" spans="1:11" s="121" customFormat="1" ht="15">
      <c r="A9" s="124"/>
      <c r="B9" s="65"/>
      <c r="C9" s="64" t="s">
        <v>243</v>
      </c>
      <c r="D9" s="64" t="s">
        <v>244</v>
      </c>
      <c r="E9" s="65" t="s">
        <v>679</v>
      </c>
      <c r="F9" s="65" t="s">
        <v>834</v>
      </c>
      <c r="G9" s="65" t="s">
        <v>915</v>
      </c>
      <c r="H9" s="65" t="s">
        <v>946</v>
      </c>
      <c r="I9" s="65" t="s">
        <v>947</v>
      </c>
      <c r="J9" s="65" t="s">
        <v>948</v>
      </c>
      <c r="K9" s="65" t="s">
        <v>949</v>
      </c>
    </row>
    <row r="10" spans="1:11" s="121" customFormat="1" ht="15.75" thickBot="1">
      <c r="A10" s="124"/>
      <c r="B10" s="135"/>
      <c r="C10" s="67" t="s">
        <v>1</v>
      </c>
      <c r="D10" s="67" t="s">
        <v>1</v>
      </c>
      <c r="E10" s="67" t="s">
        <v>638</v>
      </c>
      <c r="F10" s="67" t="s">
        <v>19</v>
      </c>
      <c r="G10" s="67" t="s">
        <v>679</v>
      </c>
      <c r="H10" s="67" t="s">
        <v>19</v>
      </c>
      <c r="I10" s="67" t="s">
        <v>19</v>
      </c>
      <c r="J10" s="67" t="s">
        <v>19</v>
      </c>
      <c r="K10" s="67" t="s">
        <v>19</v>
      </c>
    </row>
    <row r="11" spans="1:11" s="121" customFormat="1" ht="7.5" customHeight="1">
      <c r="A11" s="124"/>
      <c r="B11" s="63"/>
      <c r="C11" s="136"/>
      <c r="D11" s="2"/>
      <c r="E11" s="2"/>
      <c r="F11" s="2"/>
      <c r="G11" s="2"/>
      <c r="H11" s="2"/>
      <c r="I11" s="2"/>
      <c r="J11" s="2"/>
      <c r="K11" s="2"/>
    </row>
    <row r="12" spans="1:11" s="121" customFormat="1" ht="15">
      <c r="A12" s="124"/>
      <c r="B12" s="127" t="s">
        <v>680</v>
      </c>
      <c r="C12" s="2"/>
      <c r="D12" s="2"/>
      <c r="E12" s="2"/>
      <c r="F12" s="2"/>
      <c r="G12" s="2"/>
      <c r="H12" s="2"/>
      <c r="I12" s="2"/>
      <c r="J12" s="2"/>
      <c r="K12" s="2"/>
    </row>
    <row r="13" spans="1:11" s="121" customFormat="1" ht="20.100000000000001" customHeight="1">
      <c r="A13" s="124"/>
      <c r="B13" s="385" t="s">
        <v>683</v>
      </c>
      <c r="C13" s="2">
        <f>SUM('Budget Detail FY 2016-23'!L448:L453)</f>
        <v>89150</v>
      </c>
      <c r="D13" s="2">
        <f>SUM('Budget Detail FY 2016-23'!M448:M453)</f>
        <v>134050</v>
      </c>
      <c r="E13" s="2">
        <f>SUM('Budget Detail FY 2016-23'!N448:N453)</f>
        <v>73500</v>
      </c>
      <c r="F13" s="2">
        <f>SUM('Budget Detail FY 2016-23'!O448:O453)</f>
        <v>122000</v>
      </c>
      <c r="G13" s="2">
        <f>SUM('Budget Detail FY 2016-23'!P448:P453)</f>
        <v>120600</v>
      </c>
      <c r="H13" s="2">
        <f>SUM('Budget Detail FY 2016-23'!Q448:Q453)</f>
        <v>110550</v>
      </c>
      <c r="I13" s="2">
        <f>SUM('Budget Detail FY 2016-23'!R448:R453)</f>
        <v>110550</v>
      </c>
      <c r="J13" s="2">
        <f>SUM('Budget Detail FY 2016-23'!S448:S453)</f>
        <v>110550</v>
      </c>
      <c r="K13" s="2">
        <f>SUM('Budget Detail FY 2016-23'!T448:T453)</f>
        <v>110550</v>
      </c>
    </row>
    <row r="14" spans="1:11" ht="20.100000000000001" customHeight="1">
      <c r="A14" s="124"/>
      <c r="B14" s="385" t="s">
        <v>684</v>
      </c>
      <c r="C14" s="2">
        <f>SUM('Budget Detail FY 2016-23'!L454:L456)</f>
        <v>11374</v>
      </c>
      <c r="D14" s="2">
        <f>SUM('Budget Detail FY 2016-23'!M454:M456)</f>
        <v>6608</v>
      </c>
      <c r="E14" s="2">
        <f>SUM('Budget Detail FY 2016-23'!N454:N456)</f>
        <v>7700</v>
      </c>
      <c r="F14" s="2">
        <f>SUM('Budget Detail FY 2016-23'!O454:O456)</f>
        <v>6700</v>
      </c>
      <c r="G14" s="2">
        <f>SUM('Budget Detail FY 2016-23'!P454:P456)</f>
        <v>6700</v>
      </c>
      <c r="H14" s="2">
        <f>SUM('Budget Detail FY 2016-23'!Q454:Q456)</f>
        <v>6700</v>
      </c>
      <c r="I14" s="2">
        <f>SUM('Budget Detail FY 2016-23'!R454:R456)</f>
        <v>6700</v>
      </c>
      <c r="J14" s="2">
        <f>SUM('Budget Detail FY 2016-23'!S454:S456)</f>
        <v>6700</v>
      </c>
      <c r="K14" s="2">
        <f>SUM('Budget Detail FY 2016-23'!T454:T456)</f>
        <v>6700</v>
      </c>
    </row>
    <row r="15" spans="1:11" ht="20.100000000000001" customHeight="1">
      <c r="A15" s="124"/>
      <c r="B15" s="385" t="s">
        <v>685</v>
      </c>
      <c r="C15" s="2">
        <f>SUM('Budget Detail FY 2016-23'!L457:L462)</f>
        <v>374386</v>
      </c>
      <c r="D15" s="2">
        <f>SUM('Budget Detail FY 2016-23'!M457:M462)</f>
        <v>236948</v>
      </c>
      <c r="E15" s="2">
        <f>SUM('Budget Detail FY 2016-23'!N457:N462)</f>
        <v>246565</v>
      </c>
      <c r="F15" s="2">
        <f>SUM('Budget Detail FY 2016-23'!O457:O462)</f>
        <v>260116</v>
      </c>
      <c r="G15" s="2">
        <f>SUM('Budget Detail FY 2016-23'!P457:P462)</f>
        <v>107861</v>
      </c>
      <c r="H15" s="2">
        <f>SUM('Budget Detail FY 2016-23'!Q457:Q462)</f>
        <v>47578</v>
      </c>
      <c r="I15" s="2">
        <f>SUM('Budget Detail FY 2016-23'!R457:R462)</f>
        <v>47146</v>
      </c>
      <c r="J15" s="2">
        <f>SUM('Budget Detail FY 2016-23'!S457:S462)</f>
        <v>51412</v>
      </c>
      <c r="K15" s="2">
        <f>SUM('Budget Detail FY 2016-23'!T457:T462)</f>
        <v>71723</v>
      </c>
    </row>
    <row r="16" spans="1:11" ht="20.100000000000001" customHeight="1">
      <c r="A16" s="124"/>
      <c r="B16" s="385" t="s">
        <v>686</v>
      </c>
      <c r="C16" s="2">
        <f>SUM('Budget Detail FY 2016-23'!L463:L463)</f>
        <v>43</v>
      </c>
      <c r="D16" s="2">
        <f>SUM('Budget Detail FY 2016-23'!M463:M463)</f>
        <v>86</v>
      </c>
      <c r="E16" s="2">
        <f>SUM('Budget Detail FY 2016-23'!N463:N463)</f>
        <v>80</v>
      </c>
      <c r="F16" s="2">
        <f>SUM('Budget Detail FY 2016-23'!O463:O463)</f>
        <v>150</v>
      </c>
      <c r="G16" s="2">
        <f>SUM('Budget Detail FY 2016-23'!P463:P463)</f>
        <v>150</v>
      </c>
      <c r="H16" s="2">
        <f>SUM('Budget Detail FY 2016-23'!Q463:Q463)</f>
        <v>150</v>
      </c>
      <c r="I16" s="2">
        <f>SUM('Budget Detail FY 2016-23'!R463:R463)</f>
        <v>150</v>
      </c>
      <c r="J16" s="2">
        <f>SUM('Budget Detail FY 2016-23'!S463:S463)</f>
        <v>150</v>
      </c>
      <c r="K16" s="2">
        <f>SUM('Budget Detail FY 2016-23'!T463:T463)</f>
        <v>150</v>
      </c>
    </row>
    <row r="17" spans="1:11" ht="20.100000000000001" customHeight="1">
      <c r="A17" s="124"/>
      <c r="B17" s="385" t="s">
        <v>688</v>
      </c>
      <c r="C17" s="2">
        <f>SUM('Budget Detail FY 2016-23'!L464:L466)</f>
        <v>4627</v>
      </c>
      <c r="D17" s="2">
        <f>SUM('Budget Detail FY 2016-23'!M464:M466)</f>
        <v>5535</v>
      </c>
      <c r="E17" s="2">
        <f>SUM('Budget Detail FY 2016-23'!N464:N466)</f>
        <v>2000</v>
      </c>
      <c r="F17" s="2">
        <f>SUM('Budget Detail FY 2016-23'!O464:O466)</f>
        <v>1583</v>
      </c>
      <c r="G17" s="2">
        <f>SUM('Budget Detail FY 2016-23'!P464:P466)</f>
        <v>2000</v>
      </c>
      <c r="H17" s="2">
        <f>SUM('Budget Detail FY 2016-23'!Q464:Q466)</f>
        <v>2000</v>
      </c>
      <c r="I17" s="2">
        <f>SUM('Budget Detail FY 2016-23'!R464:R466)</f>
        <v>2000</v>
      </c>
      <c r="J17" s="2">
        <f>SUM('Budget Detail FY 2016-23'!S464:S466)</f>
        <v>2000</v>
      </c>
      <c r="K17" s="2">
        <f>SUM('Budget Detail FY 2016-23'!T464:T466)</f>
        <v>2000</v>
      </c>
    </row>
    <row r="18" spans="1:11" ht="20.100000000000001" customHeight="1">
      <c r="A18" s="124"/>
      <c r="B18" s="385" t="s">
        <v>689</v>
      </c>
      <c r="C18" s="2">
        <f>SUM('Budget Detail FY 2016-23'!L467:L469)</f>
        <v>48446</v>
      </c>
      <c r="D18" s="2">
        <f>SUM('Budget Detail FY 2016-23'!M467:M469)</f>
        <v>254162</v>
      </c>
      <c r="E18" s="2">
        <f>SUM('Budget Detail FY 2016-23'!N467:N469)</f>
        <v>0</v>
      </c>
      <c r="F18" s="2">
        <f>SUM('Budget Detail FY 2016-23'!O467:O469)</f>
        <v>0</v>
      </c>
      <c r="G18" s="2">
        <f>SUM('Budget Detail FY 2016-23'!P467:P469)</f>
        <v>0</v>
      </c>
      <c r="H18" s="2">
        <f>SUM('Budget Detail FY 2016-23'!Q467:Q469)</f>
        <v>0</v>
      </c>
      <c r="I18" s="2">
        <f>SUM('Budget Detail FY 2016-23'!R467:R469)</f>
        <v>0</v>
      </c>
      <c r="J18" s="2">
        <f>SUM('Budget Detail FY 2016-23'!S467:S469)</f>
        <v>0</v>
      </c>
      <c r="K18" s="2">
        <f>SUM('Budget Detail FY 2016-23'!T467:T469)</f>
        <v>0</v>
      </c>
    </row>
    <row r="19" spans="1:11" ht="20.100000000000001" customHeight="1" thickBot="1">
      <c r="A19" s="124"/>
      <c r="B19" s="126" t="s">
        <v>690</v>
      </c>
      <c r="C19" s="123">
        <f>SUM(C13:C18)</f>
        <v>528026</v>
      </c>
      <c r="D19" s="123">
        <f t="shared" ref="D19:K19" si="0">SUM(D13:D18)</f>
        <v>637389</v>
      </c>
      <c r="E19" s="123">
        <f t="shared" si="0"/>
        <v>329845</v>
      </c>
      <c r="F19" s="123">
        <f t="shared" si="0"/>
        <v>390549</v>
      </c>
      <c r="G19" s="123">
        <f t="shared" si="0"/>
        <v>237311</v>
      </c>
      <c r="H19" s="123">
        <f t="shared" si="0"/>
        <v>166978</v>
      </c>
      <c r="I19" s="123">
        <f t="shared" si="0"/>
        <v>166546</v>
      </c>
      <c r="J19" s="123">
        <f t="shared" si="0"/>
        <v>170812</v>
      </c>
      <c r="K19" s="123">
        <f t="shared" si="0"/>
        <v>191123</v>
      </c>
    </row>
    <row r="20" spans="1:11" ht="7.5" customHeight="1">
      <c r="A20" s="124"/>
      <c r="B20" s="1"/>
      <c r="C20" s="2"/>
      <c r="D20" s="2"/>
      <c r="E20" s="2"/>
      <c r="F20" s="2"/>
      <c r="G20" s="2"/>
      <c r="H20" s="2"/>
      <c r="I20" s="2"/>
      <c r="J20" s="2"/>
      <c r="K20" s="2"/>
    </row>
    <row r="21" spans="1:11" ht="15">
      <c r="A21" s="124"/>
      <c r="B21" s="127" t="s">
        <v>870</v>
      </c>
      <c r="C21" s="2"/>
      <c r="D21" s="2"/>
      <c r="E21" s="2"/>
      <c r="F21" s="2"/>
      <c r="G21" s="2"/>
      <c r="H21" s="2"/>
      <c r="I21" s="2"/>
      <c r="J21" s="2"/>
      <c r="K21" s="2"/>
    </row>
    <row r="22" spans="1:11" ht="20.100000000000001" customHeight="1">
      <c r="A22" s="124"/>
      <c r="B22" s="386" t="s">
        <v>693</v>
      </c>
      <c r="C22" s="2">
        <f>SUM('Budget Detail FY 2016-23'!L474:L476)</f>
        <v>15717</v>
      </c>
      <c r="D22" s="2">
        <f>SUM('Budget Detail FY 2016-23'!M474:M476)</f>
        <v>3460</v>
      </c>
      <c r="E22" s="2">
        <f>SUM('Budget Detail FY 2016-23'!N474:N476)</f>
        <v>8000</v>
      </c>
      <c r="F22" s="2">
        <f>SUM('Budget Detail FY 2016-23'!O474:O476)</f>
        <v>8570</v>
      </c>
      <c r="G22" s="2">
        <f>SUM('Budget Detail FY 2016-23'!P474:P476)</f>
        <v>8750</v>
      </c>
      <c r="H22" s="2">
        <f>SUM('Budget Detail FY 2016-23'!Q474:Q476)</f>
        <v>8750</v>
      </c>
      <c r="I22" s="2">
        <f>SUM('Budget Detail FY 2016-23'!R474:R476)</f>
        <v>8750</v>
      </c>
      <c r="J22" s="2">
        <f>SUM('Budget Detail FY 2016-23'!S474:S476)</f>
        <v>8750</v>
      </c>
      <c r="K22" s="2">
        <f>SUM('Budget Detail FY 2016-23'!T474:T476)</f>
        <v>8750</v>
      </c>
    </row>
    <row r="23" spans="1:11" ht="20.100000000000001" customHeight="1">
      <c r="A23" s="124"/>
      <c r="B23" s="386" t="s">
        <v>695</v>
      </c>
      <c r="C23" s="2">
        <f>SUM('Budget Detail FY 2016-23'!L477:L478)</f>
        <v>197119</v>
      </c>
      <c r="D23" s="2">
        <f>SUM('Budget Detail FY 2016-23'!M477:M478)</f>
        <v>141832</v>
      </c>
      <c r="E23" s="2">
        <f>SUM('Budget Detail FY 2016-23'!N477:N478)</f>
        <v>192300</v>
      </c>
      <c r="F23" s="2">
        <f>SUM('Budget Detail FY 2016-23'!O477:O478)</f>
        <v>181786</v>
      </c>
      <c r="G23" s="2">
        <f>SUM('Budget Detail FY 2016-23'!P477:P478)</f>
        <v>60000</v>
      </c>
      <c r="H23" s="2">
        <f>SUM('Budget Detail FY 2016-23'!Q477:Q478)</f>
        <v>60000</v>
      </c>
      <c r="I23" s="2">
        <f>SUM('Budget Detail FY 2016-23'!R477:R478)</f>
        <v>55000</v>
      </c>
      <c r="J23" s="2">
        <f>SUM('Budget Detail FY 2016-23'!S477:S478)</f>
        <v>55000</v>
      </c>
      <c r="K23" s="2">
        <f>SUM('Budget Detail FY 2016-23'!T477:T478)</f>
        <v>55000</v>
      </c>
    </row>
    <row r="24" spans="1:11" ht="20.100000000000001" customHeight="1" thickBot="1">
      <c r="A24" s="124"/>
      <c r="B24" s="126" t="s">
        <v>875</v>
      </c>
      <c r="C24" s="140">
        <f t="shared" ref="C24:K24" si="1">SUM(C22:C23)</f>
        <v>212836</v>
      </c>
      <c r="D24" s="140">
        <f t="shared" si="1"/>
        <v>145292</v>
      </c>
      <c r="E24" s="140">
        <f t="shared" si="1"/>
        <v>200300</v>
      </c>
      <c r="F24" s="140">
        <f t="shared" si="1"/>
        <v>190356</v>
      </c>
      <c r="G24" s="140">
        <f t="shared" si="1"/>
        <v>68750</v>
      </c>
      <c r="H24" s="140">
        <f t="shared" si="1"/>
        <v>68750</v>
      </c>
      <c r="I24" s="140">
        <f t="shared" si="1"/>
        <v>63750</v>
      </c>
      <c r="J24" s="140">
        <f t="shared" si="1"/>
        <v>63750</v>
      </c>
      <c r="K24" s="140">
        <f t="shared" si="1"/>
        <v>63750</v>
      </c>
    </row>
    <row r="25" spans="1:11" ht="7.5" customHeight="1">
      <c r="A25" s="124"/>
      <c r="B25" s="129"/>
      <c r="C25" s="4"/>
      <c r="D25" s="4"/>
      <c r="E25" s="4"/>
      <c r="F25" s="4"/>
      <c r="G25" s="4"/>
      <c r="H25" s="4"/>
      <c r="I25" s="4"/>
      <c r="J25" s="4"/>
      <c r="K25" s="4"/>
    </row>
    <row r="26" spans="1:11" ht="15">
      <c r="A26" s="124"/>
      <c r="B26" s="127" t="s">
        <v>1393</v>
      </c>
      <c r="C26" s="2"/>
      <c r="D26" s="2"/>
      <c r="E26" s="2"/>
      <c r="F26" s="2"/>
      <c r="G26" s="2"/>
      <c r="H26" s="2"/>
      <c r="I26" s="2"/>
      <c r="J26" s="2"/>
      <c r="K26" s="2"/>
    </row>
    <row r="27" spans="1:11" ht="20.100000000000001" customHeight="1">
      <c r="A27" s="124"/>
      <c r="B27" s="386" t="s">
        <v>694</v>
      </c>
      <c r="C27" s="2">
        <f>'Budget Detail FY 2016-23'!L482</f>
        <v>0</v>
      </c>
      <c r="D27" s="2">
        <f>'Budget Detail FY 2016-23'!M482</f>
        <v>0</v>
      </c>
      <c r="E27" s="2">
        <f>'Budget Detail FY 2016-23'!N482</f>
        <v>0</v>
      </c>
      <c r="F27" s="2">
        <f>'Budget Detail FY 2016-23'!O482</f>
        <v>0</v>
      </c>
      <c r="G27" s="2">
        <f>'Budget Detail FY 2016-23'!P482</f>
        <v>34411</v>
      </c>
      <c r="H27" s="2">
        <f>'Budget Detail FY 2016-23'!Q482</f>
        <v>11578</v>
      </c>
      <c r="I27" s="2">
        <f>'Budget Detail FY 2016-23'!R482</f>
        <v>16146</v>
      </c>
      <c r="J27" s="2">
        <f>'Budget Detail FY 2016-23'!S482</f>
        <v>20412</v>
      </c>
      <c r="K27" s="2">
        <f>'Budget Detail FY 2016-23'!T482</f>
        <v>37897</v>
      </c>
    </row>
    <row r="28" spans="1:11" ht="20.100000000000001" customHeight="1">
      <c r="A28" s="124"/>
      <c r="B28" s="386" t="s">
        <v>695</v>
      </c>
      <c r="C28" s="2">
        <f>'Budget Detail FY 2016-23'!L483</f>
        <v>0</v>
      </c>
      <c r="D28" s="2">
        <f>'Budget Detail FY 2016-23'!M483</f>
        <v>0</v>
      </c>
      <c r="E28" s="2">
        <f>'Budget Detail FY 2016-23'!N483</f>
        <v>0</v>
      </c>
      <c r="F28" s="2">
        <f>'Budget Detail FY 2016-23'!O483</f>
        <v>0</v>
      </c>
      <c r="G28" s="2">
        <f>'Budget Detail FY 2016-23'!P483</f>
        <v>40000</v>
      </c>
      <c r="H28" s="2">
        <f>'Budget Detail FY 2016-23'!Q483</f>
        <v>0</v>
      </c>
      <c r="I28" s="2">
        <f>'Budget Detail FY 2016-23'!R483</f>
        <v>0</v>
      </c>
      <c r="J28" s="2">
        <f>'Budget Detail FY 2016-23'!S483</f>
        <v>0</v>
      </c>
      <c r="K28" s="2">
        <f>'Budget Detail FY 2016-23'!T483</f>
        <v>0</v>
      </c>
    </row>
    <row r="29" spans="1:11" ht="20.100000000000001" customHeight="1" thickBot="1">
      <c r="A29" s="124"/>
      <c r="B29" s="126" t="s">
        <v>875</v>
      </c>
      <c r="C29" s="140">
        <f>SUM(C27:C28)</f>
        <v>0</v>
      </c>
      <c r="D29" s="140">
        <f t="shared" ref="D29:K29" si="2">SUM(D27:D28)</f>
        <v>0</v>
      </c>
      <c r="E29" s="140">
        <f t="shared" si="2"/>
        <v>0</v>
      </c>
      <c r="F29" s="140">
        <f t="shared" si="2"/>
        <v>0</v>
      </c>
      <c r="G29" s="140">
        <f t="shared" si="2"/>
        <v>74411</v>
      </c>
      <c r="H29" s="140">
        <f t="shared" si="2"/>
        <v>11578</v>
      </c>
      <c r="I29" s="140">
        <f t="shared" si="2"/>
        <v>16146</v>
      </c>
      <c r="J29" s="140">
        <f t="shared" si="2"/>
        <v>20412</v>
      </c>
      <c r="K29" s="140">
        <f t="shared" si="2"/>
        <v>37897</v>
      </c>
    </row>
    <row r="30" spans="1:11" ht="7.5" customHeight="1">
      <c r="A30" s="124"/>
      <c r="B30" s="129"/>
      <c r="C30" s="4"/>
      <c r="D30" s="4"/>
      <c r="E30" s="4"/>
      <c r="F30" s="4"/>
      <c r="G30" s="4"/>
      <c r="H30" s="4"/>
      <c r="I30" s="4"/>
      <c r="J30" s="4"/>
      <c r="K30" s="4"/>
    </row>
    <row r="31" spans="1:11" ht="15">
      <c r="A31" s="124"/>
      <c r="B31" s="127" t="s">
        <v>871</v>
      </c>
      <c r="C31" s="2"/>
      <c r="D31" s="2"/>
      <c r="E31" s="2"/>
      <c r="F31" s="2"/>
      <c r="G31" s="2"/>
      <c r="H31" s="2"/>
      <c r="I31" s="2"/>
      <c r="J31" s="2"/>
      <c r="K31" s="2"/>
    </row>
    <row r="32" spans="1:11" ht="20.100000000000001" customHeight="1">
      <c r="A32" s="124"/>
      <c r="B32" s="386" t="s">
        <v>693</v>
      </c>
      <c r="C32" s="2">
        <f>SUM('Budget Detail FY 2016-23'!L487:L489)</f>
        <v>35611</v>
      </c>
      <c r="D32" s="2">
        <f>SUM('Budget Detail FY 2016-23'!M487:M489)</f>
        <v>26244</v>
      </c>
      <c r="E32" s="2">
        <f>SUM('Budget Detail FY 2016-23'!N487:N489)</f>
        <v>1750</v>
      </c>
      <c r="F32" s="2">
        <f>SUM('Budget Detail FY 2016-23'!O487:O489)</f>
        <v>245</v>
      </c>
      <c r="G32" s="2">
        <f>SUM('Budget Detail FY 2016-23'!P487:P489)</f>
        <v>1750</v>
      </c>
      <c r="H32" s="2">
        <f>SUM('Budget Detail FY 2016-23'!Q487:Q489)</f>
        <v>1750</v>
      </c>
      <c r="I32" s="2">
        <f>SUM('Budget Detail FY 2016-23'!R487:R489)</f>
        <v>1750</v>
      </c>
      <c r="J32" s="2">
        <f>SUM('Budget Detail FY 2016-23'!S487:S489)</f>
        <v>1750</v>
      </c>
      <c r="K32" s="2">
        <f>SUM('Budget Detail FY 2016-23'!T487:T489)</f>
        <v>1750</v>
      </c>
    </row>
    <row r="33" spans="1:11" ht="20.100000000000001" customHeight="1">
      <c r="A33" s="124"/>
      <c r="B33" s="386" t="s">
        <v>694</v>
      </c>
      <c r="C33" s="2">
        <f>'Budget Detail FY 2016-23'!L490</f>
        <v>0</v>
      </c>
      <c r="D33" s="2">
        <f>'Budget Detail FY 2016-23'!M490</f>
        <v>0</v>
      </c>
      <c r="E33" s="2">
        <f>'Budget Detail FY 2016-23'!N490</f>
        <v>2000</v>
      </c>
      <c r="F33" s="2">
        <f>'Budget Detail FY 2016-23'!O490</f>
        <v>1583</v>
      </c>
      <c r="G33" s="2">
        <f>'Budget Detail FY 2016-23'!P490</f>
        <v>2000</v>
      </c>
      <c r="H33" s="2">
        <f>'Budget Detail FY 2016-23'!Q490</f>
        <v>2000</v>
      </c>
      <c r="I33" s="2">
        <f>'Budget Detail FY 2016-23'!R490</f>
        <v>2000</v>
      </c>
      <c r="J33" s="2">
        <f>'Budget Detail FY 2016-23'!S490</f>
        <v>2000</v>
      </c>
      <c r="K33" s="2">
        <f>'Budget Detail FY 2016-23'!T490</f>
        <v>2000</v>
      </c>
    </row>
    <row r="34" spans="1:11" ht="20.100000000000001" customHeight="1">
      <c r="A34" s="124"/>
      <c r="B34" s="386" t="s">
        <v>695</v>
      </c>
      <c r="C34" s="2">
        <f>SUM('Budget Detail FY 2016-23'!L491:L492)</f>
        <v>184891</v>
      </c>
      <c r="D34" s="2">
        <f>SUM('Budget Detail FY 2016-23'!M491:M492)</f>
        <v>68522</v>
      </c>
      <c r="E34" s="2">
        <f>SUM('Budget Detail FY 2016-23'!N491:N492)</f>
        <v>52400</v>
      </c>
      <c r="F34" s="2">
        <f>SUM('Budget Detail FY 2016-23'!O491:O492)</f>
        <v>52400</v>
      </c>
      <c r="G34" s="2">
        <f>SUM('Budget Detail FY 2016-23'!P491:P492)</f>
        <v>7000</v>
      </c>
      <c r="H34" s="2">
        <f>SUM('Budget Detail FY 2016-23'!Q491:Q492)</f>
        <v>7000</v>
      </c>
      <c r="I34" s="2">
        <f>SUM('Budget Detail FY 2016-23'!R491:R492)</f>
        <v>7000</v>
      </c>
      <c r="J34" s="2">
        <f>SUM('Budget Detail FY 2016-23'!S491:S492)</f>
        <v>7000</v>
      </c>
      <c r="K34" s="2">
        <f>SUM('Budget Detail FY 2016-23'!T491:T492)</f>
        <v>14000</v>
      </c>
    </row>
    <row r="35" spans="1:11" ht="20.100000000000001" customHeight="1">
      <c r="A35" s="124"/>
      <c r="B35" s="386" t="s">
        <v>626</v>
      </c>
      <c r="C35" s="2">
        <f>SUM('Budget Detail FY 2016-23'!L494:L495)</f>
        <v>70815</v>
      </c>
      <c r="D35" s="2">
        <f>SUM('Budget Detail FY 2016-23'!M494:M495)</f>
        <v>70815</v>
      </c>
      <c r="E35" s="2">
        <f>SUM('Budget Detail FY 2016-23'!N494:N495)</f>
        <v>70815</v>
      </c>
      <c r="F35" s="2">
        <f>SUM('Budget Detail FY 2016-23'!O494:O495)</f>
        <v>70815</v>
      </c>
      <c r="G35" s="2">
        <f>SUM('Budget Detail FY 2016-23'!P494:P495)</f>
        <v>70815</v>
      </c>
      <c r="H35" s="2">
        <f>SUM('Budget Detail FY 2016-23'!Q494:Q495)</f>
        <v>70815</v>
      </c>
      <c r="I35" s="2">
        <f>SUM('Budget Detail FY 2016-23'!R494:R495)</f>
        <v>70815</v>
      </c>
      <c r="J35" s="2">
        <f>SUM('Budget Detail FY 2016-23'!S494:S495)</f>
        <v>70816</v>
      </c>
      <c r="K35" s="2">
        <f>SUM('Budget Detail FY 2016-23'!T494:T495)</f>
        <v>70815</v>
      </c>
    </row>
    <row r="36" spans="1:11" ht="20.100000000000001" customHeight="1" thickBot="1">
      <c r="A36" s="124"/>
      <c r="B36" s="126" t="s">
        <v>875</v>
      </c>
      <c r="C36" s="140">
        <f>SUM(C32:C35)</f>
        <v>291317</v>
      </c>
      <c r="D36" s="140">
        <f t="shared" ref="D36:K36" si="3">SUM(D32:D35)</f>
        <v>165581</v>
      </c>
      <c r="E36" s="140">
        <f t="shared" si="3"/>
        <v>126965</v>
      </c>
      <c r="F36" s="140">
        <f t="shared" si="3"/>
        <v>125043</v>
      </c>
      <c r="G36" s="140">
        <f t="shared" si="3"/>
        <v>81565</v>
      </c>
      <c r="H36" s="140">
        <f t="shared" si="3"/>
        <v>81565</v>
      </c>
      <c r="I36" s="140">
        <f t="shared" si="3"/>
        <v>81565</v>
      </c>
      <c r="J36" s="140">
        <f t="shared" si="3"/>
        <v>81566</v>
      </c>
      <c r="K36" s="140">
        <f t="shared" si="3"/>
        <v>88565</v>
      </c>
    </row>
    <row r="37" spans="1:11" ht="7.5" customHeight="1">
      <c r="A37" s="124"/>
      <c r="B37" s="129"/>
      <c r="C37" s="4"/>
      <c r="D37" s="4"/>
      <c r="E37" s="4"/>
      <c r="F37" s="4"/>
      <c r="G37" s="4"/>
      <c r="H37" s="4"/>
      <c r="I37" s="4"/>
      <c r="J37" s="4"/>
      <c r="K37" s="4"/>
    </row>
    <row r="38" spans="1:11" ht="15">
      <c r="A38" s="124"/>
      <c r="B38" s="127" t="s">
        <v>1010</v>
      </c>
      <c r="C38" s="2"/>
      <c r="D38" s="2"/>
      <c r="E38" s="2"/>
      <c r="F38" s="2"/>
      <c r="G38" s="2"/>
      <c r="H38" s="2"/>
      <c r="I38" s="2"/>
      <c r="J38" s="2"/>
      <c r="K38" s="2"/>
    </row>
    <row r="39" spans="1:11" ht="20.100000000000001" customHeight="1">
      <c r="A39" s="124"/>
      <c r="B39" s="386" t="s">
        <v>693</v>
      </c>
      <c r="C39" s="2">
        <f>'Budget Detail FY 2016-23'!L499+'Budget Detail FY 2016-23'!L500+'Budget Detail FY 2016-23'!L501</f>
        <v>1225</v>
      </c>
      <c r="D39" s="2">
        <f>'Budget Detail FY 2016-23'!M499+'Budget Detail FY 2016-23'!M500+'Budget Detail FY 2016-23'!M501</f>
        <v>1822</v>
      </c>
      <c r="E39" s="2">
        <f>'Budget Detail FY 2016-23'!N499+'Budget Detail FY 2016-23'!N500+'Budget Detail FY 2016-23'!N501</f>
        <v>0</v>
      </c>
      <c r="F39" s="2">
        <f>'Budget Detail FY 2016-23'!O499+'Budget Detail FY 2016-23'!O500+'Budget Detail FY 2016-23'!O501</f>
        <v>0</v>
      </c>
      <c r="G39" s="2">
        <f>'Budget Detail FY 2016-23'!P499+'Budget Detail FY 2016-23'!P500+'Budget Detail FY 2016-23'!P501</f>
        <v>0</v>
      </c>
      <c r="H39" s="2">
        <f>'Budget Detail FY 2016-23'!Q499+'Budget Detail FY 2016-23'!Q500+'Budget Detail FY 2016-23'!Q501</f>
        <v>0</v>
      </c>
      <c r="I39" s="2">
        <f>'Budget Detail FY 2016-23'!R499+'Budget Detail FY 2016-23'!R500+'Budget Detail FY 2016-23'!R501</f>
        <v>0</v>
      </c>
      <c r="J39" s="2">
        <f>'Budget Detail FY 2016-23'!S499+'Budget Detail FY 2016-23'!S500+'Budget Detail FY 2016-23'!S501</f>
        <v>0</v>
      </c>
      <c r="K39" s="2">
        <f>'Budget Detail FY 2016-23'!T499+'Budget Detail FY 2016-23'!T500+'Budget Detail FY 2016-23'!T501</f>
        <v>0</v>
      </c>
    </row>
    <row r="40" spans="1:11" ht="20.100000000000001" customHeight="1">
      <c r="A40" s="124"/>
      <c r="B40" s="386" t="s">
        <v>695</v>
      </c>
      <c r="C40" s="2">
        <f>SUM('Budget Detail FY 2016-23'!L502:L505)</f>
        <v>124165</v>
      </c>
      <c r="D40" s="2">
        <f>SUM('Budget Detail FY 2016-23'!M502:M505)</f>
        <v>53908</v>
      </c>
      <c r="E40" s="2">
        <f>SUM('Budget Detail FY 2016-23'!N502:N505)</f>
        <v>270441</v>
      </c>
      <c r="F40" s="2">
        <f>SUM('Budget Detail FY 2016-23'!O502:O505)</f>
        <v>39903</v>
      </c>
      <c r="G40" s="2">
        <f>SUM('Budget Detail FY 2016-23'!P502:P505)</f>
        <v>50000</v>
      </c>
      <c r="H40" s="2">
        <f>SUM('Budget Detail FY 2016-23'!Q502:Q505)</f>
        <v>0</v>
      </c>
      <c r="I40" s="2">
        <f>SUM('Budget Detail FY 2016-23'!R502:R505)</f>
        <v>0</v>
      </c>
      <c r="J40" s="2">
        <f>SUM('Budget Detail FY 2016-23'!S502:S505)</f>
        <v>0</v>
      </c>
      <c r="K40" s="2">
        <f>SUM('Budget Detail FY 2016-23'!T502:T505)</f>
        <v>0</v>
      </c>
    </row>
    <row r="41" spans="1:11" ht="20.100000000000001" customHeight="1">
      <c r="A41" s="124"/>
      <c r="B41" s="386" t="s">
        <v>626</v>
      </c>
      <c r="C41" s="2">
        <f>SUM('Budget Detail FY 2016-23'!L507:L508)</f>
        <v>2219</v>
      </c>
      <c r="D41" s="2">
        <f>SUM('Budget Detail FY 2016-23'!M507:M508)</f>
        <v>2219</v>
      </c>
      <c r="E41" s="2">
        <f>SUM('Budget Detail FY 2016-23'!N507:N508)</f>
        <v>2219</v>
      </c>
      <c r="F41" s="2">
        <f>SUM('Budget Detail FY 2016-23'!O507:O508)</f>
        <v>2219</v>
      </c>
      <c r="G41" s="2">
        <f>SUM('Budget Detail FY 2016-23'!P507:P508)</f>
        <v>2219</v>
      </c>
      <c r="H41" s="2">
        <f>SUM('Budget Detail FY 2016-23'!Q507:Q508)</f>
        <v>2219</v>
      </c>
      <c r="I41" s="2">
        <f>SUM('Budget Detail FY 2016-23'!R507:R508)</f>
        <v>2219</v>
      </c>
      <c r="J41" s="2">
        <f>SUM('Budget Detail FY 2016-23'!S507:S508)</f>
        <v>2218</v>
      </c>
      <c r="K41" s="2">
        <f>SUM('Budget Detail FY 2016-23'!T507:T508)</f>
        <v>2218</v>
      </c>
    </row>
    <row r="42" spans="1:11" ht="20.100000000000001" customHeight="1" thickBot="1">
      <c r="A42" s="124"/>
      <c r="B42" s="126" t="s">
        <v>875</v>
      </c>
      <c r="C42" s="140">
        <f t="shared" ref="C42:K42" si="4">SUM(C39:C41)</f>
        <v>127609</v>
      </c>
      <c r="D42" s="140">
        <f t="shared" si="4"/>
        <v>57949</v>
      </c>
      <c r="E42" s="140">
        <f t="shared" si="4"/>
        <v>272660</v>
      </c>
      <c r="F42" s="140">
        <f t="shared" si="4"/>
        <v>42122</v>
      </c>
      <c r="G42" s="140">
        <f t="shared" si="4"/>
        <v>52219</v>
      </c>
      <c r="H42" s="140">
        <f t="shared" si="4"/>
        <v>2219</v>
      </c>
      <c r="I42" s="140">
        <f t="shared" si="4"/>
        <v>2219</v>
      </c>
      <c r="J42" s="140">
        <f t="shared" si="4"/>
        <v>2218</v>
      </c>
      <c r="K42" s="140">
        <f t="shared" si="4"/>
        <v>2218</v>
      </c>
    </row>
    <row r="43" spans="1:11" ht="7.5" customHeight="1">
      <c r="A43" s="124"/>
      <c r="B43" s="129"/>
      <c r="C43" s="4"/>
      <c r="D43" s="4"/>
      <c r="E43" s="4"/>
      <c r="F43" s="4"/>
      <c r="G43" s="4"/>
      <c r="H43" s="4"/>
      <c r="I43" s="4"/>
      <c r="J43" s="4"/>
      <c r="K43" s="4"/>
    </row>
    <row r="44" spans="1:11" ht="20.100000000000001" customHeight="1" thickBot="1">
      <c r="A44" s="124"/>
      <c r="B44" s="126" t="s">
        <v>697</v>
      </c>
      <c r="C44" s="123">
        <f t="shared" ref="C44:K44" si="5">C24+C36+C42+C29</f>
        <v>631762</v>
      </c>
      <c r="D44" s="123">
        <f t="shared" si="5"/>
        <v>368822</v>
      </c>
      <c r="E44" s="123">
        <f t="shared" si="5"/>
        <v>599925</v>
      </c>
      <c r="F44" s="123">
        <f t="shared" si="5"/>
        <v>357521</v>
      </c>
      <c r="G44" s="123">
        <f t="shared" si="5"/>
        <v>276945</v>
      </c>
      <c r="H44" s="123">
        <f t="shared" si="5"/>
        <v>164112</v>
      </c>
      <c r="I44" s="123">
        <f t="shared" si="5"/>
        <v>163680</v>
      </c>
      <c r="J44" s="123">
        <f t="shared" si="5"/>
        <v>167946</v>
      </c>
      <c r="K44" s="123">
        <f t="shared" si="5"/>
        <v>192430</v>
      </c>
    </row>
    <row r="45" spans="1:11" ht="7.5" customHeight="1">
      <c r="A45" s="124"/>
      <c r="B45" s="129"/>
      <c r="C45" s="4"/>
      <c r="D45" s="4"/>
      <c r="E45" s="4"/>
      <c r="F45" s="4"/>
      <c r="G45" s="4"/>
      <c r="H45" s="4"/>
      <c r="I45" s="4"/>
      <c r="J45" s="4"/>
      <c r="K45" s="4"/>
    </row>
    <row r="46" spans="1:11" ht="20.100000000000001" customHeight="1">
      <c r="A46" s="124"/>
      <c r="B46" s="388" t="s">
        <v>698</v>
      </c>
      <c r="C46" s="3">
        <f t="shared" ref="C46:K46" si="6">C19-C44</f>
        <v>-103736</v>
      </c>
      <c r="D46" s="3">
        <f t="shared" si="6"/>
        <v>268567</v>
      </c>
      <c r="E46" s="3">
        <f t="shared" si="6"/>
        <v>-270080</v>
      </c>
      <c r="F46" s="3">
        <f t="shared" si="6"/>
        <v>33028</v>
      </c>
      <c r="G46" s="3">
        <f t="shared" si="6"/>
        <v>-39634</v>
      </c>
      <c r="H46" s="3">
        <f t="shared" si="6"/>
        <v>2866</v>
      </c>
      <c r="I46" s="3">
        <f t="shared" si="6"/>
        <v>2866</v>
      </c>
      <c r="J46" s="3">
        <f t="shared" si="6"/>
        <v>2866</v>
      </c>
      <c r="K46" s="3">
        <f t="shared" si="6"/>
        <v>-1307</v>
      </c>
    </row>
    <row r="47" spans="1:11" ht="7.5" customHeight="1">
      <c r="A47" s="124"/>
      <c r="B47" s="138"/>
      <c r="C47" s="107"/>
      <c r="D47" s="107"/>
      <c r="E47" s="107"/>
      <c r="F47" s="107"/>
      <c r="G47" s="107"/>
      <c r="H47" s="107"/>
      <c r="I47" s="107"/>
      <c r="J47" s="107"/>
      <c r="K47" s="107"/>
    </row>
    <row r="48" spans="1:11" ht="15">
      <c r="A48" s="124"/>
      <c r="B48" s="139" t="s">
        <v>872</v>
      </c>
      <c r="C48" s="94">
        <v>0</v>
      </c>
      <c r="D48" s="94">
        <v>0</v>
      </c>
      <c r="E48" s="94">
        <f>'Budget Detail FY 2016-23'!N515</f>
        <v>0</v>
      </c>
      <c r="F48" s="94">
        <f>'Budget Detail FY 2016-23'!O515</f>
        <v>0</v>
      </c>
      <c r="G48" s="94">
        <f>'Budget Detail FY 2016-23'!P515</f>
        <v>0</v>
      </c>
      <c r="H48" s="94">
        <f>'Budget Detail FY 2016-23'!Q515</f>
        <v>0</v>
      </c>
      <c r="I48" s="94">
        <f>'Budget Detail FY 2016-23'!R515</f>
        <v>0</v>
      </c>
      <c r="J48" s="94">
        <f>'Budget Detail FY 2016-23'!S515</f>
        <v>0</v>
      </c>
      <c r="K48" s="94">
        <f>'Budget Detail FY 2016-23'!T515</f>
        <v>0</v>
      </c>
    </row>
    <row r="49" spans="1:11" ht="7.5" customHeight="1">
      <c r="A49" s="124"/>
      <c r="B49" s="139"/>
      <c r="C49" s="94"/>
      <c r="D49" s="94"/>
      <c r="E49" s="94"/>
      <c r="F49" s="94"/>
      <c r="G49" s="94"/>
      <c r="H49" s="94"/>
      <c r="I49" s="94"/>
      <c r="J49" s="94"/>
      <c r="K49" s="94"/>
    </row>
    <row r="50" spans="1:11" ht="15">
      <c r="A50" s="124"/>
      <c r="B50" s="139" t="s">
        <v>1341</v>
      </c>
      <c r="C50" s="94">
        <f>'Budget Detail FY 2016-23'!L514</f>
        <v>0</v>
      </c>
      <c r="D50" s="94">
        <v>0</v>
      </c>
      <c r="E50" s="94">
        <f>'Budget Detail FY 2016-23'!N514</f>
        <v>0</v>
      </c>
      <c r="F50" s="94">
        <f>'Budget Detail FY 2016-23'!O514</f>
        <v>0</v>
      </c>
      <c r="G50" s="94">
        <f>'Budget Detail FY 2016-23'!P514</f>
        <v>0</v>
      </c>
      <c r="H50" s="94">
        <f>'Budget Detail FY 2016-23'!Q514</f>
        <v>0</v>
      </c>
      <c r="I50" s="94">
        <f>'Budget Detail FY 2016-23'!R514</f>
        <v>0</v>
      </c>
      <c r="J50" s="94">
        <f>'Budget Detail FY 2016-23'!S514</f>
        <v>0</v>
      </c>
      <c r="K50" s="94">
        <f>'Budget Detail FY 2016-23'!T514</f>
        <v>0</v>
      </c>
    </row>
    <row r="51" spans="1:11" ht="7.5" customHeight="1">
      <c r="A51" s="124"/>
      <c r="B51" s="139"/>
      <c r="C51" s="94"/>
      <c r="D51" s="94"/>
      <c r="E51" s="94"/>
      <c r="F51" s="94"/>
      <c r="G51" s="94"/>
      <c r="H51" s="94"/>
      <c r="I51" s="94"/>
      <c r="J51" s="94"/>
      <c r="K51" s="94"/>
    </row>
    <row r="52" spans="1:11" ht="15">
      <c r="A52" s="124"/>
      <c r="B52" s="139" t="s">
        <v>873</v>
      </c>
      <c r="C52" s="94">
        <f>'Budget Detail FY 2016-23'!L519</f>
        <v>0</v>
      </c>
      <c r="D52" s="94">
        <v>0</v>
      </c>
      <c r="E52" s="94">
        <f>'Budget Detail FY 2016-23'!N519</f>
        <v>0</v>
      </c>
      <c r="F52" s="94">
        <f>'Budget Detail FY 2016-23'!O519</f>
        <v>0</v>
      </c>
      <c r="G52" s="94">
        <f>'Budget Detail FY 2016-23'!P519</f>
        <v>6435</v>
      </c>
      <c r="H52" s="94">
        <f>'Budget Detail FY 2016-23'!Q519</f>
        <v>5870</v>
      </c>
      <c r="I52" s="94">
        <f>'Budget Detail FY 2016-23'!R519</f>
        <v>5305</v>
      </c>
      <c r="J52" s="94">
        <f>'Budget Detail FY 2016-23'!S519</f>
        <v>4739</v>
      </c>
      <c r="K52" s="94">
        <f>'Budget Detail FY 2016-23'!T519</f>
        <v>0</v>
      </c>
    </row>
    <row r="53" spans="1:11" ht="7.5" customHeight="1">
      <c r="A53" s="124"/>
      <c r="B53" s="139"/>
      <c r="C53" s="94"/>
      <c r="D53" s="94"/>
      <c r="E53" s="94"/>
      <c r="F53" s="94"/>
      <c r="G53" s="94"/>
      <c r="H53" s="94"/>
      <c r="I53" s="94"/>
      <c r="J53" s="94"/>
      <c r="K53" s="94"/>
    </row>
    <row r="54" spans="1:11" ht="15">
      <c r="A54" s="124"/>
      <c r="B54" s="139" t="s">
        <v>1011</v>
      </c>
      <c r="C54" s="94">
        <v>1841</v>
      </c>
      <c r="D54" s="94">
        <v>270407</v>
      </c>
      <c r="E54" s="94">
        <f>'Budget Detail FY 2016-23'!N521</f>
        <v>0</v>
      </c>
      <c r="F54" s="94">
        <f>'Budget Detail FY 2016-23'!O521</f>
        <v>303435</v>
      </c>
      <c r="G54" s="94">
        <f>'Budget Detail FY 2016-23'!P521</f>
        <v>257366</v>
      </c>
      <c r="H54" s="94">
        <f>'Budget Detail FY 2016-23'!Q521</f>
        <v>260797</v>
      </c>
      <c r="I54" s="94">
        <f>'Budget Detail FY 2016-23'!R521</f>
        <v>264228</v>
      </c>
      <c r="J54" s="94">
        <f>'Budget Detail FY 2016-23'!S521</f>
        <v>267660</v>
      </c>
      <c r="K54" s="94">
        <f>'Budget Detail FY 2016-23'!T521</f>
        <v>271092</v>
      </c>
    </row>
    <row r="55" spans="1:11" ht="7.5" customHeight="1">
      <c r="A55" s="124"/>
      <c r="B55" s="139"/>
      <c r="C55" s="94"/>
      <c r="D55" s="94"/>
      <c r="E55" s="94"/>
      <c r="F55" s="94"/>
      <c r="G55" s="94"/>
      <c r="H55" s="94"/>
      <c r="I55" s="94"/>
      <c r="J55" s="94"/>
      <c r="K55" s="94"/>
    </row>
    <row r="56" spans="1:11" ht="15" thickBot="1">
      <c r="A56" s="124"/>
      <c r="B56" s="125" t="s">
        <v>699</v>
      </c>
      <c r="C56" s="80">
        <v>1841</v>
      </c>
      <c r="D56" s="80">
        <v>270407</v>
      </c>
      <c r="E56" s="80">
        <v>0</v>
      </c>
      <c r="F56" s="80">
        <f>D56+F46</f>
        <v>303435</v>
      </c>
      <c r="G56" s="80">
        <f>F56+G46</f>
        <v>263801</v>
      </c>
      <c r="H56" s="80">
        <f>G56+H46</f>
        <v>266667</v>
      </c>
      <c r="I56" s="80">
        <f>H56+I46</f>
        <v>269533</v>
      </c>
      <c r="J56" s="80">
        <f>I56+J46</f>
        <v>272399</v>
      </c>
      <c r="K56" s="80">
        <f>J56+K46</f>
        <v>271092</v>
      </c>
    </row>
    <row r="57" spans="1:11" ht="7.5" customHeight="1" thickTop="1">
      <c r="A57" s="124"/>
      <c r="B57" s="131"/>
      <c r="C57" s="3"/>
      <c r="D57" s="3"/>
      <c r="E57" s="3"/>
      <c r="F57" s="2"/>
      <c r="G57" s="2"/>
      <c r="H57" s="2"/>
      <c r="I57" s="2"/>
      <c r="J57" s="2"/>
      <c r="K57" s="2"/>
    </row>
    <row r="58" spans="1:11" ht="15">
      <c r="A58" s="124"/>
      <c r="B58" s="131"/>
      <c r="C58" s="2"/>
      <c r="D58" s="2"/>
      <c r="E58" s="2"/>
      <c r="F58" s="2"/>
      <c r="G58" s="2"/>
      <c r="H58" s="2"/>
      <c r="I58" s="2"/>
      <c r="J58" s="2"/>
      <c r="K58" s="2"/>
    </row>
    <row r="59" spans="1:11" ht="15">
      <c r="A59" s="124"/>
      <c r="B59" s="1"/>
      <c r="C59" s="2"/>
      <c r="D59" s="2"/>
      <c r="E59" s="2"/>
      <c r="F59" s="2"/>
      <c r="G59" s="2"/>
      <c r="H59" s="2"/>
      <c r="I59" s="2"/>
      <c r="J59" s="2"/>
      <c r="K59" s="2"/>
    </row>
    <row r="60" spans="1:11" ht="15">
      <c r="A60" s="124"/>
      <c r="B60" s="1"/>
      <c r="C60" s="2"/>
      <c r="D60" s="2"/>
      <c r="E60" s="2"/>
      <c r="F60" s="2"/>
      <c r="G60" s="2"/>
      <c r="H60" s="2"/>
      <c r="I60" s="2"/>
      <c r="J60" s="2"/>
      <c r="K60" s="2"/>
    </row>
    <row r="61" spans="1:11" ht="15">
      <c r="A61" s="124"/>
      <c r="B61" s="1"/>
      <c r="C61" s="2"/>
      <c r="D61" s="2"/>
      <c r="E61" s="2"/>
      <c r="F61" s="2"/>
      <c r="G61" s="2"/>
      <c r="H61" s="2"/>
      <c r="I61" s="2"/>
      <c r="J61" s="2"/>
      <c r="K61" s="2"/>
    </row>
    <row r="62" spans="1:11" ht="15">
      <c r="A62" s="124"/>
      <c r="B62" s="1"/>
      <c r="C62" s="2"/>
      <c r="D62" s="2"/>
      <c r="E62" s="2"/>
      <c r="F62" s="2"/>
      <c r="G62" s="2"/>
      <c r="H62" s="2"/>
      <c r="I62" s="2"/>
      <c r="J62" s="2"/>
      <c r="K62" s="2"/>
    </row>
    <row r="63" spans="1:11" s="121" customFormat="1" ht="15">
      <c r="A63" s="124"/>
      <c r="B63" s="1"/>
      <c r="C63" s="2"/>
      <c r="D63" s="2"/>
      <c r="E63" s="2"/>
      <c r="F63" s="2"/>
      <c r="G63" s="2"/>
      <c r="H63" s="2"/>
      <c r="I63" s="2"/>
      <c r="J63" s="2"/>
      <c r="K63" s="2"/>
    </row>
    <row r="64" spans="1:11" s="121" customFormat="1" ht="15">
      <c r="A64" s="124"/>
      <c r="B64" s="1"/>
      <c r="C64" s="2"/>
      <c r="D64" s="2"/>
      <c r="E64" s="2"/>
      <c r="F64" s="2"/>
      <c r="G64" s="2"/>
      <c r="H64" s="2"/>
      <c r="I64" s="2"/>
      <c r="J64" s="2"/>
      <c r="K64" s="2"/>
    </row>
    <row r="65" spans="1:11" s="121" customFormat="1" ht="15">
      <c r="A65" s="124"/>
      <c r="B65" s="1"/>
      <c r="C65" s="2"/>
      <c r="D65" s="2"/>
      <c r="E65" s="2"/>
      <c r="F65" s="2"/>
      <c r="G65" s="2"/>
      <c r="H65" s="2"/>
      <c r="I65" s="2"/>
      <c r="J65" s="2"/>
      <c r="K65" s="2"/>
    </row>
    <row r="66" spans="1:11" s="121" customFormat="1" ht="15">
      <c r="A66" s="124"/>
      <c r="B66" s="1"/>
      <c r="C66" s="2"/>
      <c r="D66" s="2"/>
      <c r="E66" s="2"/>
      <c r="F66" s="2"/>
      <c r="G66" s="2"/>
      <c r="H66" s="2"/>
      <c r="I66" s="2"/>
      <c r="J66" s="2"/>
      <c r="K66" s="2"/>
    </row>
    <row r="67" spans="1:11" s="121" customFormat="1" ht="15">
      <c r="A67" s="124"/>
      <c r="B67" s="1"/>
      <c r="C67" s="2"/>
      <c r="D67" s="2"/>
      <c r="E67" s="2"/>
      <c r="F67" s="2"/>
      <c r="G67" s="2"/>
      <c r="H67" s="2"/>
      <c r="I67" s="2"/>
      <c r="J67" s="2"/>
      <c r="K67" s="2"/>
    </row>
    <row r="68" spans="1:11" s="121" customFormat="1" ht="15">
      <c r="A68" s="124"/>
      <c r="B68" s="1"/>
      <c r="C68" s="2"/>
      <c r="D68" s="2"/>
      <c r="E68" s="2"/>
      <c r="F68" s="2"/>
      <c r="G68" s="2"/>
      <c r="H68" s="2"/>
      <c r="I68" s="2"/>
      <c r="J68" s="2"/>
      <c r="K68" s="2"/>
    </row>
    <row r="69" spans="1:11" s="121" customFormat="1">
      <c r="A69" s="124"/>
      <c r="B69" s="124"/>
      <c r="C69" s="133"/>
      <c r="D69" s="133"/>
      <c r="E69" s="134"/>
      <c r="F69" s="134"/>
      <c r="G69" s="134"/>
      <c r="H69" s="134"/>
      <c r="I69" s="134"/>
      <c r="J69" s="134"/>
      <c r="K69" s="134"/>
    </row>
  </sheetData>
  <mergeCells count="2">
    <mergeCell ref="B1:K1"/>
    <mergeCell ref="B3:K7"/>
  </mergeCells>
  <printOptions horizontalCentered="1"/>
  <pageMargins left="0" right="0" top="0.5" bottom="0" header="0" footer="0"/>
  <pageSetup scale="70" orientation="portrait" r:id="rId1"/>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dimension ref="A1:K830"/>
  <sheetViews>
    <sheetView zoomScale="75" zoomScaleNormal="75" zoomScaleSheetLayoutView="100" workbookViewId="0">
      <selection activeCell="P11" sqref="P11:P12"/>
    </sheetView>
  </sheetViews>
  <sheetFormatPr defaultRowHeight="15"/>
  <cols>
    <col min="1" max="1" width="3.7109375" style="421" customWidth="1"/>
    <col min="2" max="2" width="33" style="421" customWidth="1"/>
    <col min="3" max="4" width="12.7109375" style="426" customWidth="1"/>
    <col min="5" max="11" width="12.7109375" style="427" customWidth="1"/>
    <col min="12" max="16384" width="9.140625" style="421"/>
  </cols>
  <sheetData>
    <row r="1" spans="1:11">
      <c r="A1" s="1"/>
      <c r="B1" s="895" t="s">
        <v>677</v>
      </c>
      <c r="C1" s="895"/>
      <c r="D1" s="895"/>
      <c r="E1" s="895"/>
      <c r="F1" s="895"/>
      <c r="G1" s="895"/>
      <c r="H1" s="895"/>
      <c r="I1" s="895"/>
      <c r="J1" s="895"/>
      <c r="K1" s="895"/>
    </row>
    <row r="2" spans="1:11" ht="7.5" customHeight="1">
      <c r="A2" s="1"/>
      <c r="B2" s="64"/>
      <c r="C2" s="3"/>
      <c r="D2" s="2"/>
      <c r="E2" s="2"/>
      <c r="F2" s="2"/>
      <c r="G2" s="2"/>
      <c r="H2" s="2"/>
      <c r="I2" s="2"/>
      <c r="J2" s="2"/>
      <c r="K2" s="2"/>
    </row>
    <row r="3" spans="1:11" ht="15" customHeight="1">
      <c r="A3" s="1"/>
      <c r="B3" s="886" t="s">
        <v>678</v>
      </c>
      <c r="C3" s="886"/>
      <c r="D3" s="886"/>
      <c r="E3" s="886"/>
      <c r="F3" s="886"/>
      <c r="G3" s="886"/>
      <c r="H3" s="886"/>
      <c r="I3" s="886"/>
      <c r="J3" s="886"/>
      <c r="K3" s="886"/>
    </row>
    <row r="4" spans="1:11">
      <c r="A4" s="1"/>
      <c r="B4" s="886"/>
      <c r="C4" s="886"/>
      <c r="D4" s="886"/>
      <c r="E4" s="886"/>
      <c r="F4" s="886"/>
      <c r="G4" s="886"/>
      <c r="H4" s="886"/>
      <c r="I4" s="886"/>
      <c r="J4" s="886"/>
      <c r="K4" s="886"/>
    </row>
    <row r="5" spans="1:11" ht="7.5" customHeight="1">
      <c r="A5" s="1"/>
      <c r="B5" s="418"/>
      <c r="C5" s="21"/>
      <c r="D5" s="21"/>
      <c r="E5" s="21"/>
      <c r="F5" s="21"/>
      <c r="G5" s="21"/>
      <c r="H5" s="2"/>
      <c r="I5" s="2"/>
      <c r="J5" s="2"/>
      <c r="K5" s="2"/>
    </row>
    <row r="6" spans="1:11">
      <c r="A6" s="1"/>
      <c r="B6" s="5"/>
      <c r="C6" s="64"/>
      <c r="D6" s="65"/>
      <c r="E6" s="65" t="s">
        <v>834</v>
      </c>
      <c r="F6" s="1"/>
      <c r="G6" s="1"/>
      <c r="H6" s="1"/>
      <c r="I6" s="1"/>
      <c r="J6" s="1"/>
      <c r="K6" s="1"/>
    </row>
    <row r="7" spans="1:11">
      <c r="A7" s="1"/>
      <c r="B7" s="65"/>
      <c r="C7" s="64" t="s">
        <v>243</v>
      </c>
      <c r="D7" s="64" t="s">
        <v>244</v>
      </c>
      <c r="E7" s="65" t="s">
        <v>679</v>
      </c>
      <c r="F7" s="65" t="s">
        <v>834</v>
      </c>
      <c r="G7" s="65" t="s">
        <v>915</v>
      </c>
      <c r="H7" s="65" t="s">
        <v>946</v>
      </c>
      <c r="I7" s="65" t="s">
        <v>947</v>
      </c>
      <c r="J7" s="65" t="s">
        <v>948</v>
      </c>
      <c r="K7" s="65" t="s">
        <v>949</v>
      </c>
    </row>
    <row r="8" spans="1:11" ht="15.75" thickBot="1">
      <c r="A8" s="1"/>
      <c r="B8" s="135"/>
      <c r="C8" s="67" t="s">
        <v>1</v>
      </c>
      <c r="D8" s="67" t="s">
        <v>1</v>
      </c>
      <c r="E8" s="67" t="s">
        <v>638</v>
      </c>
      <c r="F8" s="67" t="s">
        <v>19</v>
      </c>
      <c r="G8" s="67" t="s">
        <v>679</v>
      </c>
      <c r="H8" s="67" t="s">
        <v>19</v>
      </c>
      <c r="I8" s="67" t="s">
        <v>19</v>
      </c>
      <c r="J8" s="67" t="s">
        <v>19</v>
      </c>
      <c r="K8" s="67" t="s">
        <v>19</v>
      </c>
    </row>
    <row r="9" spans="1:11">
      <c r="A9" s="1"/>
      <c r="B9" s="63"/>
      <c r="C9" s="136"/>
      <c r="D9" s="2"/>
      <c r="E9" s="2"/>
      <c r="F9" s="2"/>
      <c r="G9" s="2"/>
      <c r="H9" s="2"/>
      <c r="I9" s="2"/>
      <c r="J9" s="2"/>
      <c r="K9" s="2"/>
    </row>
    <row r="10" spans="1:11">
      <c r="A10" s="1"/>
      <c r="B10" s="127" t="s">
        <v>680</v>
      </c>
      <c r="C10" s="2"/>
      <c r="D10" s="2"/>
      <c r="E10" s="2"/>
      <c r="F10" s="2"/>
      <c r="G10" s="2"/>
      <c r="H10" s="2"/>
      <c r="I10" s="2"/>
      <c r="J10" s="2"/>
      <c r="K10" s="2"/>
    </row>
    <row r="11" spans="1:11" ht="20.100000000000001" customHeight="1">
      <c r="A11" s="1"/>
      <c r="B11" s="384" t="s">
        <v>681</v>
      </c>
      <c r="C11" s="2">
        <f>SUM('Budget Detail FY 2016-23'!L9:L25)</f>
        <v>10330920</v>
      </c>
      <c r="D11" s="2">
        <f>SUM('Budget Detail FY 2016-23'!M9:M25)</f>
        <v>10736464</v>
      </c>
      <c r="E11" s="2">
        <f>SUM('Budget Detail FY 2016-23'!N9:N25)</f>
        <v>10899060</v>
      </c>
      <c r="F11" s="2">
        <f>SUM('Budget Detail FY 2016-23'!O9:O25)</f>
        <v>10910998</v>
      </c>
      <c r="G11" s="2">
        <f>SUM('Budget Detail FY 2016-23'!P9:P25)</f>
        <v>11014213</v>
      </c>
      <c r="H11" s="2">
        <f>SUM('Budget Detail FY 2016-23'!Q9:Q25)</f>
        <v>11196435</v>
      </c>
      <c r="I11" s="2">
        <f>SUM('Budget Detail FY 2016-23'!R9:R25)</f>
        <v>11380899</v>
      </c>
      <c r="J11" s="2">
        <f>SUM('Budget Detail FY 2016-23'!S9:S25)</f>
        <v>11567646</v>
      </c>
      <c r="K11" s="2">
        <f>SUM('Budget Detail FY 2016-23'!T9:T25)</f>
        <v>11636714</v>
      </c>
    </row>
    <row r="12" spans="1:11" ht="20.100000000000001" customHeight="1">
      <c r="A12" s="1"/>
      <c r="B12" s="384" t="s">
        <v>682</v>
      </c>
      <c r="C12" s="2">
        <f>SUM('Budget Detail FY 2016-23'!L26:L33)</f>
        <v>2311978</v>
      </c>
      <c r="D12" s="2">
        <f>SUM('Budget Detail FY 2016-23'!M26:M33)</f>
        <v>2235395</v>
      </c>
      <c r="E12" s="2">
        <f>SUM('Budget Detail FY 2016-23'!N26:N33)</f>
        <v>2379022</v>
      </c>
      <c r="F12" s="2">
        <f>SUM('Budget Detail FY 2016-23'!O26:O33)</f>
        <v>2259827</v>
      </c>
      <c r="G12" s="2">
        <f>SUM('Budget Detail FY 2016-23'!P26:P33)</f>
        <v>2512487</v>
      </c>
      <c r="H12" s="2">
        <f>SUM('Budget Detail FY 2016-23'!Q26:Q33)</f>
        <v>2563939</v>
      </c>
      <c r="I12" s="2">
        <f>SUM('Budget Detail FY 2016-23'!R26:R33)</f>
        <v>2616320</v>
      </c>
      <c r="J12" s="2">
        <f>SUM('Budget Detail FY 2016-23'!S26:S33)</f>
        <v>2669649</v>
      </c>
      <c r="K12" s="2">
        <f>SUM('Budget Detail FY 2016-23'!T26:T33)</f>
        <v>2723944</v>
      </c>
    </row>
    <row r="13" spans="1:11" ht="20.100000000000001" customHeight="1">
      <c r="A13" s="1"/>
      <c r="B13" s="385" t="s">
        <v>683</v>
      </c>
      <c r="C13" s="2">
        <f>SUM('Budget Detail FY 2016-23'!L34:L36)</f>
        <v>213451</v>
      </c>
      <c r="D13" s="2">
        <f>SUM('Budget Detail FY 2016-23'!M34:M36)</f>
        <v>315862</v>
      </c>
      <c r="E13" s="2">
        <f>SUM('Budget Detail FY 2016-23'!N34:N36)</f>
        <v>253000</v>
      </c>
      <c r="F13" s="2">
        <f>SUM('Budget Detail FY 2016-23'!O34:O36)</f>
        <v>361000</v>
      </c>
      <c r="G13" s="2">
        <f>SUM('Budget Detail FY 2016-23'!P34:P36)</f>
        <v>336000</v>
      </c>
      <c r="H13" s="2">
        <f>SUM('Budget Detail FY 2016-23'!Q34:Q36)</f>
        <v>311000</v>
      </c>
      <c r="I13" s="2">
        <f>SUM('Budget Detail FY 2016-23'!R34:R36)</f>
        <v>311000</v>
      </c>
      <c r="J13" s="2">
        <f>SUM('Budget Detail FY 2016-23'!S34:S36)</f>
        <v>311000</v>
      </c>
      <c r="K13" s="2">
        <f>SUM('Budget Detail FY 2016-23'!T34:T36)</f>
        <v>311000</v>
      </c>
    </row>
    <row r="14" spans="1:11" ht="20.100000000000001" customHeight="1">
      <c r="A14" s="1"/>
      <c r="B14" s="385" t="s">
        <v>684</v>
      </c>
      <c r="C14" s="2">
        <f>SUM('Budget Detail FY 2016-23'!L37:L40)</f>
        <v>123639</v>
      </c>
      <c r="D14" s="2">
        <f>SUM('Budget Detail FY 2016-23'!M37:M40)</f>
        <v>140250</v>
      </c>
      <c r="E14" s="2">
        <f>SUM('Budget Detail FY 2016-23'!N37:N40)</f>
        <v>140225</v>
      </c>
      <c r="F14" s="2">
        <f>SUM('Budget Detail FY 2016-23'!O37:O40)</f>
        <v>125545</v>
      </c>
      <c r="G14" s="2">
        <f>SUM('Budget Detail FY 2016-23'!P37:P40)</f>
        <v>130400</v>
      </c>
      <c r="H14" s="2">
        <f>SUM('Budget Detail FY 2016-23'!Q37:Q40)</f>
        <v>130400</v>
      </c>
      <c r="I14" s="2">
        <f>SUM('Budget Detail FY 2016-23'!R37:R40)</f>
        <v>130400</v>
      </c>
      <c r="J14" s="2">
        <f>SUM('Budget Detail FY 2016-23'!S37:S40)</f>
        <v>130400</v>
      </c>
      <c r="K14" s="2">
        <f>SUM('Budget Detail FY 2016-23'!T37:T40)</f>
        <v>130400</v>
      </c>
    </row>
    <row r="15" spans="1:11" ht="20.100000000000001" customHeight="1">
      <c r="A15" s="1"/>
      <c r="B15" s="385" t="s">
        <v>685</v>
      </c>
      <c r="C15" s="2">
        <f>SUM('Budget Detail FY 2016-23'!L41:L45)</f>
        <v>1401384</v>
      </c>
      <c r="D15" s="2">
        <f>SUM('Budget Detail FY 2016-23'!M41:M45)</f>
        <v>1465678</v>
      </c>
      <c r="E15" s="2">
        <f>SUM('Budget Detail FY 2016-23'!N41:N45)</f>
        <v>1365564</v>
      </c>
      <c r="F15" s="2">
        <f>SUM('Budget Detail FY 2016-23'!O41:O45)</f>
        <v>1500764</v>
      </c>
      <c r="G15" s="2">
        <f>SUM('Budget Detail FY 2016-23'!P41:P45)</f>
        <v>1535112</v>
      </c>
      <c r="H15" s="2">
        <f>SUM('Budget Detail FY 2016-23'!Q41:Q45)</f>
        <v>1564043</v>
      </c>
      <c r="I15" s="2">
        <f>SUM('Budget Detail FY 2016-23'!R41:R45)</f>
        <v>1593697</v>
      </c>
      <c r="J15" s="2">
        <f>SUM('Budget Detail FY 2016-23'!S41:S45)</f>
        <v>1624092</v>
      </c>
      <c r="K15" s="2">
        <f>SUM('Budget Detail FY 2016-23'!T41:T45)</f>
        <v>1655247</v>
      </c>
    </row>
    <row r="16" spans="1:11" ht="20.100000000000001" customHeight="1">
      <c r="A16" s="1"/>
      <c r="B16" s="385" t="s">
        <v>686</v>
      </c>
      <c r="C16" s="2">
        <f>'Budget Detail FY 2016-23'!L46</f>
        <v>6394</v>
      </c>
      <c r="D16" s="2">
        <f>'Budget Detail FY 2016-23'!M46</f>
        <v>21197</v>
      </c>
      <c r="E16" s="2">
        <f>'Budget Detail FY 2016-23'!N46</f>
        <v>15000</v>
      </c>
      <c r="F16" s="2">
        <f>'Budget Detail FY 2016-23'!O46</f>
        <v>35000</v>
      </c>
      <c r="G16" s="2">
        <f>'Budget Detail FY 2016-23'!P46</f>
        <v>20000</v>
      </c>
      <c r="H16" s="2">
        <f>'Budget Detail FY 2016-23'!Q46</f>
        <v>10000</v>
      </c>
      <c r="I16" s="2">
        <f>'Budget Detail FY 2016-23'!R46</f>
        <v>5000</v>
      </c>
      <c r="J16" s="2">
        <f>'Budget Detail FY 2016-23'!S46</f>
        <v>2500</v>
      </c>
      <c r="K16" s="2">
        <f>'Budget Detail FY 2016-23'!T46</f>
        <v>0</v>
      </c>
    </row>
    <row r="17" spans="1:11" ht="20.100000000000001" customHeight="1">
      <c r="A17" s="1"/>
      <c r="B17" s="385" t="s">
        <v>687</v>
      </c>
      <c r="C17" s="2">
        <f>SUM('Budget Detail FY 2016-23'!L47:L50)</f>
        <v>113024</v>
      </c>
      <c r="D17" s="2">
        <f>SUM('Budget Detail FY 2016-23'!M47:M50)</f>
        <v>66449</v>
      </c>
      <c r="E17" s="2">
        <f>SUM('Budget Detail FY 2016-23'!N47:N50)</f>
        <v>55000</v>
      </c>
      <c r="F17" s="2">
        <f>SUM('Budget Detail FY 2016-23'!O47:O50)</f>
        <v>64338</v>
      </c>
      <c r="G17" s="2">
        <f>SUM('Budget Detail FY 2016-23'!P47:P50)</f>
        <v>55000</v>
      </c>
      <c r="H17" s="2">
        <f>SUM('Budget Detail FY 2016-23'!Q47:Q50)</f>
        <v>55000</v>
      </c>
      <c r="I17" s="2">
        <f>SUM('Budget Detail FY 2016-23'!R47:R50)</f>
        <v>55000</v>
      </c>
      <c r="J17" s="2">
        <f>SUM('Budget Detail FY 2016-23'!S47:S50)</f>
        <v>55000</v>
      </c>
      <c r="K17" s="2">
        <f>SUM('Budget Detail FY 2016-23'!T47:T50)</f>
        <v>55000</v>
      </c>
    </row>
    <row r="18" spans="1:11" ht="20.100000000000001" customHeight="1">
      <c r="A18" s="1"/>
      <c r="B18" s="385" t="s">
        <v>688</v>
      </c>
      <c r="C18" s="2">
        <f>SUM('Budget Detail FY 2016-23'!L51:L53)</f>
        <v>21919</v>
      </c>
      <c r="D18" s="2">
        <f>SUM('Budget Detail FY 2016-23'!M51:M53)</f>
        <v>19848</v>
      </c>
      <c r="E18" s="2">
        <f>SUM('Budget Detail FY 2016-23'!N51:N53)</f>
        <v>23750</v>
      </c>
      <c r="F18" s="2">
        <f>SUM('Budget Detail FY 2016-23'!O51:O53)</f>
        <v>21750</v>
      </c>
      <c r="G18" s="2">
        <f>SUM('Budget Detail FY 2016-23'!P51:P53)</f>
        <v>21750</v>
      </c>
      <c r="H18" s="2">
        <f>SUM('Budget Detail FY 2016-23'!Q51:Q53)</f>
        <v>21750</v>
      </c>
      <c r="I18" s="2">
        <f>SUM('Budget Detail FY 2016-23'!R51:R53)</f>
        <v>21750</v>
      </c>
      <c r="J18" s="2">
        <f>SUM('Budget Detail FY 2016-23'!S51:S53)</f>
        <v>21750</v>
      </c>
      <c r="K18" s="2">
        <f>SUM('Budget Detail FY 2016-23'!T51:T53)</f>
        <v>21750</v>
      </c>
    </row>
    <row r="19" spans="1:11" ht="20.100000000000001" customHeight="1">
      <c r="A19" s="1"/>
      <c r="B19" s="385" t="s">
        <v>689</v>
      </c>
      <c r="C19" s="2">
        <f>SUM('Budget Detail FY 2016-23'!L54:L54)</f>
        <v>7077</v>
      </c>
      <c r="D19" s="2">
        <f>SUM('Budget Detail FY 2016-23'!M54:M54)</f>
        <v>9645</v>
      </c>
      <c r="E19" s="2">
        <f>SUM('Budget Detail FY 2016-23'!N54:N54)</f>
        <v>7000</v>
      </c>
      <c r="F19" s="2">
        <f>SUM('Budget Detail FY 2016-23'!O54:O54)</f>
        <v>30000</v>
      </c>
      <c r="G19" s="2">
        <f>SUM('Budget Detail FY 2016-23'!P54:P54)</f>
        <v>18000</v>
      </c>
      <c r="H19" s="2">
        <f>SUM('Budget Detail FY 2016-23'!Q54:Q54)</f>
        <v>16500</v>
      </c>
      <c r="I19" s="2">
        <f>SUM('Budget Detail FY 2016-23'!R54:R54)</f>
        <v>16500</v>
      </c>
      <c r="J19" s="2">
        <f>SUM('Budget Detail FY 2016-23'!S54:S54)</f>
        <v>16500</v>
      </c>
      <c r="K19" s="2">
        <f>SUM('Budget Detail FY 2016-23'!T54:T54)</f>
        <v>16500</v>
      </c>
    </row>
    <row r="20" spans="1:11" ht="20.100000000000001" customHeight="1" thickBot="1">
      <c r="A20" s="1"/>
      <c r="B20" s="126" t="s">
        <v>690</v>
      </c>
      <c r="C20" s="123">
        <f>SUM(C11:C19)</f>
        <v>14529786</v>
      </c>
      <c r="D20" s="123">
        <f t="shared" ref="D20:J20" si="0">SUM(D11:D19)</f>
        <v>15010788</v>
      </c>
      <c r="E20" s="123">
        <f t="shared" si="0"/>
        <v>15137621</v>
      </c>
      <c r="F20" s="123">
        <f t="shared" si="0"/>
        <v>15309222</v>
      </c>
      <c r="G20" s="123">
        <f>SUM(G11:G19)</f>
        <v>15642962</v>
      </c>
      <c r="H20" s="123">
        <f t="shared" si="0"/>
        <v>15869067</v>
      </c>
      <c r="I20" s="123">
        <f t="shared" si="0"/>
        <v>16130566</v>
      </c>
      <c r="J20" s="123">
        <f t="shared" si="0"/>
        <v>16398537</v>
      </c>
      <c r="K20" s="123">
        <f>SUM(K11:K19)</f>
        <v>16550555</v>
      </c>
    </row>
    <row r="21" spans="1:11" ht="7.5" customHeight="1">
      <c r="A21" s="1"/>
      <c r="B21" s="1"/>
      <c r="C21" s="2"/>
      <c r="D21" s="2"/>
      <c r="E21" s="2"/>
      <c r="F21" s="2"/>
      <c r="G21" s="2"/>
      <c r="H21" s="2"/>
      <c r="I21" s="2"/>
      <c r="J21" s="2"/>
      <c r="K21" s="2"/>
    </row>
    <row r="22" spans="1:11">
      <c r="A22" s="1"/>
      <c r="B22" s="127" t="s">
        <v>484</v>
      </c>
      <c r="C22" s="2"/>
      <c r="D22" s="421"/>
      <c r="E22" s="421"/>
      <c r="F22" s="421"/>
      <c r="G22" s="421"/>
      <c r="H22" s="421"/>
      <c r="I22" s="421"/>
      <c r="J22" s="421"/>
      <c r="K22" s="421"/>
    </row>
    <row r="23" spans="1:11" ht="20.100000000000001" customHeight="1">
      <c r="A23" s="1"/>
      <c r="B23" s="386" t="s">
        <v>691</v>
      </c>
      <c r="C23" s="2">
        <f>'Gen Fd Cover Sheets'!C12+'Gen Fd Cover Sheets'!C43+'Gen Fd Cover Sheets'!C71+'Gen Fd Cover Sheets'!C104+'Gen Fd Cover Sheets'!C132+'Gen Fd Cover Sheets'!C163</f>
        <v>3958489</v>
      </c>
      <c r="D23" s="2">
        <f>'Gen Fd Cover Sheets'!D12+'Gen Fd Cover Sheets'!D43+'Gen Fd Cover Sheets'!D71+'Gen Fd Cover Sheets'!D104+'Gen Fd Cover Sheets'!D132+'Gen Fd Cover Sheets'!D163</f>
        <v>4212964</v>
      </c>
      <c r="E23" s="2">
        <f>'Gen Fd Cover Sheets'!E12+'Gen Fd Cover Sheets'!E43+'Gen Fd Cover Sheets'!E71+'Gen Fd Cover Sheets'!E104+'Gen Fd Cover Sheets'!E132+'Gen Fd Cover Sheets'!E163</f>
        <v>4618075</v>
      </c>
      <c r="F23" s="2">
        <f>'Gen Fd Cover Sheets'!F12+'Gen Fd Cover Sheets'!F43+'Gen Fd Cover Sheets'!F71+'Gen Fd Cover Sheets'!F104+'Gen Fd Cover Sheets'!F132+'Gen Fd Cover Sheets'!F163</f>
        <v>4575428</v>
      </c>
      <c r="G23" s="2">
        <f>'Gen Fd Cover Sheets'!G12+'Gen Fd Cover Sheets'!G43+'Gen Fd Cover Sheets'!G71+'Gen Fd Cover Sheets'!G104+'Gen Fd Cover Sheets'!G132+'Gen Fd Cover Sheets'!G163</f>
        <v>4901639</v>
      </c>
      <c r="H23" s="2">
        <f>'Gen Fd Cover Sheets'!H12+'Gen Fd Cover Sheets'!H43+'Gen Fd Cover Sheets'!H71+'Gen Fd Cover Sheets'!H104+'Gen Fd Cover Sheets'!H132+'Gen Fd Cover Sheets'!H163</f>
        <v>5029096</v>
      </c>
      <c r="I23" s="2">
        <f>'Gen Fd Cover Sheets'!I12+'Gen Fd Cover Sheets'!I43+'Gen Fd Cover Sheets'!I71+'Gen Fd Cover Sheets'!I104+'Gen Fd Cover Sheets'!I132+'Gen Fd Cover Sheets'!I163</f>
        <v>5169645</v>
      </c>
      <c r="J23" s="2">
        <f>'Gen Fd Cover Sheets'!J12+'Gen Fd Cover Sheets'!J43+'Gen Fd Cover Sheets'!J71+'Gen Fd Cover Sheets'!J104+'Gen Fd Cover Sheets'!J132+'Gen Fd Cover Sheets'!J163</f>
        <v>5314413</v>
      </c>
      <c r="K23" s="2">
        <f>'Gen Fd Cover Sheets'!K12+'Gen Fd Cover Sheets'!K43+'Gen Fd Cover Sheets'!K71+'Gen Fd Cover Sheets'!K104+'Gen Fd Cover Sheets'!K132+'Gen Fd Cover Sheets'!K163</f>
        <v>5463523</v>
      </c>
    </row>
    <row r="24" spans="1:11" ht="20.100000000000001" customHeight="1">
      <c r="A24" s="1"/>
      <c r="B24" s="386" t="s">
        <v>692</v>
      </c>
      <c r="C24" s="2">
        <f>'Gen Fd Cover Sheets'!C13+'Gen Fd Cover Sheets'!C44+'Gen Fd Cover Sheets'!C72+'Gen Fd Cover Sheets'!C105+'Gen Fd Cover Sheets'!C133+'Gen Fd Cover Sheets'!C164</f>
        <v>2447779</v>
      </c>
      <c r="D24" s="2">
        <f>'Gen Fd Cover Sheets'!D13+'Gen Fd Cover Sheets'!D44+'Gen Fd Cover Sheets'!D72+'Gen Fd Cover Sheets'!D105+'Gen Fd Cover Sheets'!D133+'Gen Fd Cover Sheets'!D164</f>
        <v>2635062</v>
      </c>
      <c r="E24" s="2">
        <f>'Gen Fd Cover Sheets'!E13+'Gen Fd Cover Sheets'!E44+'Gen Fd Cover Sheets'!E72+'Gen Fd Cover Sheets'!E105+'Gen Fd Cover Sheets'!E133+'Gen Fd Cover Sheets'!E164</f>
        <v>3086500</v>
      </c>
      <c r="F24" s="2">
        <f>'Gen Fd Cover Sheets'!F13+'Gen Fd Cover Sheets'!F44+'Gen Fd Cover Sheets'!F72+'Gen Fd Cover Sheets'!F105+'Gen Fd Cover Sheets'!F133+'Gen Fd Cover Sheets'!F164</f>
        <v>2903642</v>
      </c>
      <c r="G24" s="2">
        <f>'Gen Fd Cover Sheets'!G13+'Gen Fd Cover Sheets'!G44+'Gen Fd Cover Sheets'!G72+'Gen Fd Cover Sheets'!G105+'Gen Fd Cover Sheets'!G133+'Gen Fd Cover Sheets'!G164</f>
        <v>3056457</v>
      </c>
      <c r="H24" s="2">
        <f>'Gen Fd Cover Sheets'!H13+'Gen Fd Cover Sheets'!H44+'Gen Fd Cover Sheets'!H72+'Gen Fd Cover Sheets'!H105+'Gen Fd Cover Sheets'!H133+'Gen Fd Cover Sheets'!H164</f>
        <v>3234883</v>
      </c>
      <c r="I24" s="2">
        <f>'Gen Fd Cover Sheets'!I13+'Gen Fd Cover Sheets'!I44+'Gen Fd Cover Sheets'!I72+'Gen Fd Cover Sheets'!I105+'Gen Fd Cover Sheets'!I133+'Gen Fd Cover Sheets'!I164</f>
        <v>3427626</v>
      </c>
      <c r="J24" s="2">
        <f>'Gen Fd Cover Sheets'!J13+'Gen Fd Cover Sheets'!J44+'Gen Fd Cover Sheets'!J72+'Gen Fd Cover Sheets'!J105+'Gen Fd Cover Sheets'!J133+'Gen Fd Cover Sheets'!J164</f>
        <v>3626340</v>
      </c>
      <c r="K24" s="2">
        <f>'Gen Fd Cover Sheets'!K13+'Gen Fd Cover Sheets'!K44+'Gen Fd Cover Sheets'!K72+'Gen Fd Cover Sheets'!K105+'Gen Fd Cover Sheets'!K133+'Gen Fd Cover Sheets'!K164</f>
        <v>3834758</v>
      </c>
    </row>
    <row r="25" spans="1:11" ht="20.100000000000001" customHeight="1">
      <c r="A25" s="1"/>
      <c r="B25" s="386" t="s">
        <v>693</v>
      </c>
      <c r="C25" s="2">
        <f>'Gen Fd Cover Sheets'!C14+'Gen Fd Cover Sheets'!C45+'Gen Fd Cover Sheets'!C73+'Gen Fd Cover Sheets'!C106+'Gen Fd Cover Sheets'!C134+'Gen Fd Cover Sheets'!C165</f>
        <v>4593459</v>
      </c>
      <c r="D25" s="2">
        <f>'Gen Fd Cover Sheets'!D14+'Gen Fd Cover Sheets'!D45+'Gen Fd Cover Sheets'!D73+'Gen Fd Cover Sheets'!D106+'Gen Fd Cover Sheets'!D134+'Gen Fd Cover Sheets'!D165</f>
        <v>4793382</v>
      </c>
      <c r="E25" s="2">
        <f>'Gen Fd Cover Sheets'!E14+'Gen Fd Cover Sheets'!E45+'Gen Fd Cover Sheets'!E73+'Gen Fd Cover Sheets'!E106+'Gen Fd Cover Sheets'!E134+'Gen Fd Cover Sheets'!E165</f>
        <v>4794807</v>
      </c>
      <c r="F25" s="2">
        <f>'Gen Fd Cover Sheets'!F14+'Gen Fd Cover Sheets'!F45+'Gen Fd Cover Sheets'!F73+'Gen Fd Cover Sheets'!F106+'Gen Fd Cover Sheets'!F134+'Gen Fd Cover Sheets'!F165</f>
        <v>4960921</v>
      </c>
      <c r="G25" s="2">
        <f>'Gen Fd Cover Sheets'!G14+'Gen Fd Cover Sheets'!G45+'Gen Fd Cover Sheets'!G73+'Gen Fd Cover Sheets'!G106+'Gen Fd Cover Sheets'!G134+'Gen Fd Cover Sheets'!G165</f>
        <v>4937900</v>
      </c>
      <c r="H25" s="2">
        <f>'Gen Fd Cover Sheets'!H14+'Gen Fd Cover Sheets'!H45+'Gen Fd Cover Sheets'!H73+'Gen Fd Cover Sheets'!H106+'Gen Fd Cover Sheets'!H134+'Gen Fd Cover Sheets'!H165</f>
        <v>5019490</v>
      </c>
      <c r="I25" s="2">
        <f>'Gen Fd Cover Sheets'!I14+'Gen Fd Cover Sheets'!I45+'Gen Fd Cover Sheets'!I73+'Gen Fd Cover Sheets'!I106+'Gen Fd Cover Sheets'!I134+'Gen Fd Cover Sheets'!I165</f>
        <v>4932650</v>
      </c>
      <c r="J25" s="2">
        <f>'Gen Fd Cover Sheets'!J14+'Gen Fd Cover Sheets'!J45+'Gen Fd Cover Sheets'!J73+'Gen Fd Cover Sheets'!J106+'Gen Fd Cover Sheets'!J134+'Gen Fd Cover Sheets'!J165</f>
        <v>4997450</v>
      </c>
      <c r="K25" s="2">
        <f>'Gen Fd Cover Sheets'!K14+'Gen Fd Cover Sheets'!K45+'Gen Fd Cover Sheets'!K73+'Gen Fd Cover Sheets'!K106+'Gen Fd Cover Sheets'!K134+'Gen Fd Cover Sheets'!K165</f>
        <v>4958228</v>
      </c>
    </row>
    <row r="26" spans="1:11" ht="20.100000000000001" customHeight="1">
      <c r="A26" s="1"/>
      <c r="B26" s="386" t="s">
        <v>694</v>
      </c>
      <c r="C26" s="2">
        <f>'Gen Fd Cover Sheets'!C15+'Gen Fd Cover Sheets'!C46+'Gen Fd Cover Sheets'!C74+'Gen Fd Cover Sheets'!C107+'Gen Fd Cover Sheets'!C135+'Gen Fd Cover Sheets'!C166</f>
        <v>216288</v>
      </c>
      <c r="D26" s="2">
        <f>'Gen Fd Cover Sheets'!D15+'Gen Fd Cover Sheets'!D46+'Gen Fd Cover Sheets'!D74+'Gen Fd Cover Sheets'!D107+'Gen Fd Cover Sheets'!D135+'Gen Fd Cover Sheets'!D166</f>
        <v>197932</v>
      </c>
      <c r="E26" s="2">
        <f>'Gen Fd Cover Sheets'!E15+'Gen Fd Cover Sheets'!E46+'Gen Fd Cover Sheets'!E74+'Gen Fd Cover Sheets'!E107+'Gen Fd Cover Sheets'!E135+'Gen Fd Cover Sheets'!E166</f>
        <v>274353</v>
      </c>
      <c r="F26" s="2">
        <f>'Gen Fd Cover Sheets'!F15+'Gen Fd Cover Sheets'!F46+'Gen Fd Cover Sheets'!F74+'Gen Fd Cover Sheets'!F107+'Gen Fd Cover Sheets'!F135+'Gen Fd Cover Sheets'!F166</f>
        <v>274642</v>
      </c>
      <c r="G26" s="2">
        <f>'Gen Fd Cover Sheets'!G15+'Gen Fd Cover Sheets'!G46+'Gen Fd Cover Sheets'!G74+'Gen Fd Cover Sheets'!G107+'Gen Fd Cover Sheets'!G135+'Gen Fd Cover Sheets'!G166</f>
        <v>330998</v>
      </c>
      <c r="H26" s="2">
        <f>'Gen Fd Cover Sheets'!H15+'Gen Fd Cover Sheets'!H46+'Gen Fd Cover Sheets'!H74+'Gen Fd Cover Sheets'!H107+'Gen Fd Cover Sheets'!H135+'Gen Fd Cover Sheets'!H166</f>
        <v>455361</v>
      </c>
      <c r="I26" s="2">
        <f>'Gen Fd Cover Sheets'!I15+'Gen Fd Cover Sheets'!I46+'Gen Fd Cover Sheets'!I74+'Gen Fd Cover Sheets'!I107+'Gen Fd Cover Sheets'!I135+'Gen Fd Cover Sheets'!I166</f>
        <v>444941</v>
      </c>
      <c r="J26" s="2">
        <f>'Gen Fd Cover Sheets'!J15+'Gen Fd Cover Sheets'!J46+'Gen Fd Cover Sheets'!J74+'Gen Fd Cover Sheets'!J107+'Gen Fd Cover Sheets'!J135+'Gen Fd Cover Sheets'!J166</f>
        <v>449750</v>
      </c>
      <c r="K26" s="2">
        <f>'Gen Fd Cover Sheets'!K15+'Gen Fd Cover Sheets'!K46+'Gen Fd Cover Sheets'!K74+'Gen Fd Cover Sheets'!K107+'Gen Fd Cover Sheets'!K135+'Gen Fd Cover Sheets'!K166</f>
        <v>419800</v>
      </c>
    </row>
    <row r="27" spans="1:11" ht="20.100000000000001" customHeight="1">
      <c r="A27" s="1"/>
      <c r="B27" s="387" t="s">
        <v>696</v>
      </c>
      <c r="C27" s="2">
        <f>'Gen Fd Cover Sheets'!C167</f>
        <v>2448123</v>
      </c>
      <c r="D27" s="2">
        <f>'Gen Fd Cover Sheets'!D167</f>
        <v>2649065</v>
      </c>
      <c r="E27" s="2">
        <f>'Gen Fd Cover Sheets'!E167</f>
        <v>2948210</v>
      </c>
      <c r="F27" s="2">
        <f>'Gen Fd Cover Sheets'!F167</f>
        <v>3030682</v>
      </c>
      <c r="G27" s="2">
        <f>'Gen Fd Cover Sheets'!G167</f>
        <v>2725186</v>
      </c>
      <c r="H27" s="2">
        <f>'Gen Fd Cover Sheets'!H167</f>
        <v>2434185</v>
      </c>
      <c r="I27" s="2">
        <f>'Gen Fd Cover Sheets'!I167</f>
        <v>2471283</v>
      </c>
      <c r="J27" s="2">
        <f>'Gen Fd Cover Sheets'!J167</f>
        <v>2946296</v>
      </c>
      <c r="K27" s="2">
        <f>'Gen Fd Cover Sheets'!K167</f>
        <v>3163551</v>
      </c>
    </row>
    <row r="28" spans="1:11" ht="20.100000000000001" customHeight="1" thickBot="1">
      <c r="A28" s="1"/>
      <c r="B28" s="126" t="s">
        <v>697</v>
      </c>
      <c r="C28" s="123">
        <f t="shared" ref="C28:K28" si="1">SUM(C23:C27)</f>
        <v>13664138</v>
      </c>
      <c r="D28" s="123">
        <f t="shared" si="1"/>
        <v>14488405</v>
      </c>
      <c r="E28" s="123">
        <f t="shared" si="1"/>
        <v>15721945</v>
      </c>
      <c r="F28" s="123">
        <f t="shared" si="1"/>
        <v>15745315</v>
      </c>
      <c r="G28" s="123">
        <f t="shared" si="1"/>
        <v>15952180</v>
      </c>
      <c r="H28" s="123">
        <f t="shared" si="1"/>
        <v>16173015</v>
      </c>
      <c r="I28" s="123">
        <f t="shared" si="1"/>
        <v>16446145</v>
      </c>
      <c r="J28" s="123">
        <f t="shared" si="1"/>
        <v>17334249</v>
      </c>
      <c r="K28" s="123">
        <f t="shared" si="1"/>
        <v>17839860</v>
      </c>
    </row>
    <row r="29" spans="1:11" s="590" customFormat="1">
      <c r="B29" s="129"/>
      <c r="C29" s="3"/>
      <c r="D29" s="2"/>
      <c r="E29" s="2"/>
      <c r="F29" s="2"/>
      <c r="G29" s="2"/>
      <c r="H29" s="2"/>
      <c r="I29" s="2"/>
      <c r="J29" s="2"/>
      <c r="K29" s="2"/>
    </row>
    <row r="30" spans="1:11" ht="20.100000000000001" customHeight="1">
      <c r="A30" s="1"/>
      <c r="B30" s="388" t="s">
        <v>698</v>
      </c>
      <c r="C30" s="3">
        <f t="shared" ref="C30:K30" si="2">+C20-C28</f>
        <v>865648</v>
      </c>
      <c r="D30" s="3">
        <f t="shared" si="2"/>
        <v>522383</v>
      </c>
      <c r="E30" s="3">
        <f t="shared" si="2"/>
        <v>-584324</v>
      </c>
      <c r="F30" s="3">
        <f t="shared" si="2"/>
        <v>-436093</v>
      </c>
      <c r="G30" s="3">
        <f t="shared" si="2"/>
        <v>-309218</v>
      </c>
      <c r="H30" s="3">
        <f t="shared" si="2"/>
        <v>-303948</v>
      </c>
      <c r="I30" s="3">
        <f t="shared" si="2"/>
        <v>-315579</v>
      </c>
      <c r="J30" s="3">
        <f t="shared" si="2"/>
        <v>-935712</v>
      </c>
      <c r="K30" s="3">
        <f t="shared" si="2"/>
        <v>-1289305</v>
      </c>
    </row>
    <row r="31" spans="1:11" s="422" customFormat="1">
      <c r="A31" s="1"/>
      <c r="B31" s="130"/>
      <c r="C31" s="3"/>
      <c r="D31" s="2"/>
      <c r="E31" s="2"/>
      <c r="F31" s="2"/>
      <c r="G31" s="2"/>
      <c r="H31" s="2"/>
      <c r="I31" s="2"/>
      <c r="J31" s="2"/>
      <c r="K31" s="2"/>
    </row>
    <row r="32" spans="1:11" ht="20.100000000000001" customHeight="1" thickBot="1">
      <c r="A32" s="1"/>
      <c r="B32" s="125" t="s">
        <v>699</v>
      </c>
      <c r="C32" s="80">
        <v>5691706</v>
      </c>
      <c r="D32" s="80">
        <v>6214089</v>
      </c>
      <c r="E32" s="80">
        <v>5383778</v>
      </c>
      <c r="F32" s="80">
        <f>D32+F30</f>
        <v>5777996</v>
      </c>
      <c r="G32" s="80">
        <f>F32+G30</f>
        <v>5468778</v>
      </c>
      <c r="H32" s="80">
        <f>G32+H30</f>
        <v>5164830</v>
      </c>
      <c r="I32" s="80">
        <f>H32+I30</f>
        <v>4849251</v>
      </c>
      <c r="J32" s="80">
        <f>I32+J30</f>
        <v>3913539</v>
      </c>
      <c r="K32" s="80">
        <f>J32+K30</f>
        <v>2624234</v>
      </c>
    </row>
    <row r="33" spans="1:11" s="422" customFormat="1" ht="15.75" thickTop="1">
      <c r="A33" s="1"/>
      <c r="B33" s="131"/>
      <c r="C33" s="132">
        <f t="shared" ref="C33:K33" si="3">+C32/C28</f>
        <v>0.41654336336474351</v>
      </c>
      <c r="D33" s="132">
        <f t="shared" si="3"/>
        <v>0.42890083483999791</v>
      </c>
      <c r="E33" s="132">
        <f t="shared" si="3"/>
        <v>0.3424371475666656</v>
      </c>
      <c r="F33" s="132">
        <f t="shared" si="3"/>
        <v>0.36696604672564503</v>
      </c>
      <c r="G33" s="132">
        <f t="shared" si="3"/>
        <v>0.3428232379524303</v>
      </c>
      <c r="H33" s="132">
        <f t="shared" si="3"/>
        <v>0.31934861867128672</v>
      </c>
      <c r="I33" s="132">
        <f t="shared" si="3"/>
        <v>0.29485639339796649</v>
      </c>
      <c r="J33" s="132">
        <f t="shared" si="3"/>
        <v>0.22576916946329778</v>
      </c>
      <c r="K33" s="132">
        <f t="shared" si="3"/>
        <v>0.14709947275370996</v>
      </c>
    </row>
    <row r="34" spans="1:11" ht="8.1" customHeight="1">
      <c r="A34" s="1"/>
      <c r="B34" s="131"/>
      <c r="C34" s="137"/>
      <c r="D34" s="137"/>
      <c r="E34" s="137"/>
      <c r="F34" s="137"/>
      <c r="G34" s="137"/>
      <c r="H34" s="137"/>
      <c r="I34" s="137"/>
      <c r="J34" s="137"/>
      <c r="K34" s="137"/>
    </row>
    <row r="35" spans="1:11">
      <c r="A35" s="1"/>
      <c r="B35" s="1"/>
      <c r="C35" s="2"/>
      <c r="D35" s="2"/>
      <c r="E35" s="2"/>
      <c r="F35" s="2"/>
      <c r="G35" s="2"/>
      <c r="H35" s="2"/>
      <c r="I35" s="2"/>
      <c r="J35" s="2"/>
      <c r="K35" s="2"/>
    </row>
    <row r="36" spans="1:11">
      <c r="A36" s="1"/>
      <c r="B36" s="1"/>
      <c r="C36" s="2"/>
      <c r="D36" s="2"/>
      <c r="E36" s="2"/>
      <c r="F36" s="2"/>
      <c r="G36" s="2"/>
      <c r="H36" s="2"/>
      <c r="I36" s="2"/>
      <c r="J36" s="2"/>
      <c r="K36" s="2"/>
    </row>
    <row r="37" spans="1:11">
      <c r="A37" s="1"/>
      <c r="B37" s="1"/>
      <c r="C37" s="2"/>
      <c r="D37" s="2"/>
      <c r="E37" s="2"/>
      <c r="F37" s="2"/>
      <c r="G37" s="2"/>
      <c r="H37" s="2"/>
      <c r="I37" s="2"/>
      <c r="J37" s="2"/>
      <c r="K37" s="2"/>
    </row>
    <row r="38" spans="1:11">
      <c r="A38" s="1"/>
      <c r="B38" s="1"/>
      <c r="C38" s="2"/>
      <c r="D38" s="2"/>
      <c r="E38" s="2"/>
      <c r="F38" s="2"/>
      <c r="G38" s="2"/>
      <c r="H38" s="2"/>
      <c r="I38" s="2"/>
      <c r="J38" s="2"/>
      <c r="K38" s="2"/>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7" spans="1:11">
      <c r="B47" s="895" t="s">
        <v>700</v>
      </c>
      <c r="C47" s="895"/>
      <c r="D47" s="895"/>
      <c r="E47" s="895"/>
      <c r="F47" s="895"/>
      <c r="G47" s="895"/>
      <c r="H47" s="895"/>
      <c r="I47" s="895"/>
      <c r="J47" s="895"/>
      <c r="K47" s="895"/>
    </row>
    <row r="48" spans="1:11">
      <c r="B48" s="64"/>
      <c r="C48" s="3"/>
      <c r="D48" s="2"/>
      <c r="E48" s="2"/>
      <c r="F48" s="2"/>
      <c r="G48" s="2"/>
      <c r="H48" s="2"/>
      <c r="I48" s="2"/>
      <c r="J48" s="2"/>
      <c r="K48" s="2"/>
    </row>
    <row r="49" spans="2:11" ht="12.75" customHeight="1">
      <c r="B49" s="886" t="s">
        <v>701</v>
      </c>
      <c r="C49" s="886"/>
      <c r="D49" s="886"/>
      <c r="E49" s="886"/>
      <c r="F49" s="886"/>
      <c r="G49" s="886"/>
      <c r="H49" s="886"/>
      <c r="I49" s="886"/>
      <c r="J49" s="886"/>
      <c r="K49" s="886"/>
    </row>
    <row r="50" spans="2:11" ht="17.25" customHeight="1">
      <c r="B50" s="886"/>
      <c r="C50" s="886"/>
      <c r="D50" s="886"/>
      <c r="E50" s="886"/>
      <c r="F50" s="886"/>
      <c r="G50" s="886"/>
      <c r="H50" s="886"/>
      <c r="I50" s="886"/>
      <c r="J50" s="886"/>
      <c r="K50" s="886"/>
    </row>
    <row r="51" spans="2:11" ht="17.25" customHeight="1">
      <c r="B51" s="418"/>
      <c r="C51" s="418"/>
      <c r="D51" s="418"/>
      <c r="E51" s="418"/>
      <c r="F51" s="418"/>
      <c r="G51" s="418"/>
      <c r="H51" s="418"/>
      <c r="I51" s="418"/>
      <c r="J51" s="418"/>
      <c r="K51" s="421"/>
    </row>
    <row r="52" spans="2:11">
      <c r="B52" s="5"/>
      <c r="C52" s="64"/>
      <c r="D52" s="65"/>
      <c r="E52" s="65" t="s">
        <v>834</v>
      </c>
      <c r="F52" s="1"/>
      <c r="G52" s="1"/>
      <c r="H52" s="1"/>
      <c r="I52" s="1"/>
      <c r="J52" s="1"/>
      <c r="K52" s="1"/>
    </row>
    <row r="53" spans="2:11">
      <c r="B53" s="65"/>
      <c r="C53" s="64" t="s">
        <v>243</v>
      </c>
      <c r="D53" s="64" t="s">
        <v>244</v>
      </c>
      <c r="E53" s="65" t="s">
        <v>679</v>
      </c>
      <c r="F53" s="65" t="s">
        <v>834</v>
      </c>
      <c r="G53" s="65" t="s">
        <v>915</v>
      </c>
      <c r="H53" s="65" t="s">
        <v>946</v>
      </c>
      <c r="I53" s="65" t="s">
        <v>947</v>
      </c>
      <c r="J53" s="65" t="s">
        <v>948</v>
      </c>
      <c r="K53" s="65" t="s">
        <v>949</v>
      </c>
    </row>
    <row r="54" spans="2:11" ht="15.75" thickBot="1">
      <c r="B54" s="135"/>
      <c r="C54" s="67" t="s">
        <v>1</v>
      </c>
      <c r="D54" s="67" t="s">
        <v>1</v>
      </c>
      <c r="E54" s="67" t="s">
        <v>638</v>
      </c>
      <c r="F54" s="67" t="s">
        <v>19</v>
      </c>
      <c r="G54" s="67" t="s">
        <v>679</v>
      </c>
      <c r="H54" s="67" t="s">
        <v>19</v>
      </c>
      <c r="I54" s="67" t="s">
        <v>19</v>
      </c>
      <c r="J54" s="67" t="s">
        <v>19</v>
      </c>
      <c r="K54" s="67" t="s">
        <v>19</v>
      </c>
    </row>
    <row r="55" spans="2:11">
      <c r="B55" s="63"/>
      <c r="C55" s="136"/>
      <c r="D55" s="2"/>
      <c r="E55" s="2"/>
      <c r="F55" s="2"/>
      <c r="G55" s="2"/>
      <c r="H55" s="2"/>
      <c r="I55" s="2"/>
      <c r="J55" s="2"/>
      <c r="K55" s="2"/>
    </row>
    <row r="56" spans="2:11">
      <c r="B56" s="127" t="s">
        <v>680</v>
      </c>
      <c r="C56" s="2"/>
      <c r="D56" s="2"/>
      <c r="E56" s="2"/>
      <c r="F56" s="2"/>
      <c r="G56" s="2"/>
      <c r="H56" s="2"/>
      <c r="I56" s="2"/>
      <c r="J56" s="2"/>
      <c r="K56" s="2"/>
    </row>
    <row r="57" spans="2:11" ht="20.100000000000001" customHeight="1">
      <c r="B57" s="384" t="s">
        <v>681</v>
      </c>
      <c r="C57" s="2">
        <f>'Budget Detail FY 2016-23'!L287</f>
        <v>7072</v>
      </c>
      <c r="D57" s="2">
        <f>'Budget Detail FY 2016-23'!M287</f>
        <v>7263</v>
      </c>
      <c r="E57" s="2">
        <f>'Budget Detail FY 2016-23'!N287</f>
        <v>9365</v>
      </c>
      <c r="F57" s="2">
        <f>'Budget Detail FY 2016-23'!O287</f>
        <v>9366</v>
      </c>
      <c r="G57" s="2">
        <f>'Budget Detail FY 2016-23'!P287</f>
        <v>13381</v>
      </c>
      <c r="H57" s="2">
        <f>'Budget Detail FY 2016-23'!Q287</f>
        <v>13381</v>
      </c>
      <c r="I57" s="2">
        <f>'Budget Detail FY 2016-23'!R287</f>
        <v>13381</v>
      </c>
      <c r="J57" s="2">
        <f>'Budget Detail FY 2016-23'!S287</f>
        <v>13381</v>
      </c>
      <c r="K57" s="2">
        <f>'Budget Detail FY 2016-23'!T287</f>
        <v>13381</v>
      </c>
    </row>
    <row r="58" spans="2:11" ht="20.100000000000001" customHeight="1">
      <c r="B58" s="385" t="s">
        <v>689</v>
      </c>
      <c r="C58" s="2">
        <f>'Budget Detail FY 2016-23'!L288</f>
        <v>0</v>
      </c>
      <c r="D58" s="2">
        <f>'Budget Detail FY 2016-23'!M288</f>
        <v>22000</v>
      </c>
      <c r="E58" s="2">
        <f>'Budget Detail FY 2016-23'!N288</f>
        <v>0</v>
      </c>
      <c r="F58" s="2">
        <f>'Budget Detail FY 2016-23'!O288</f>
        <v>0</v>
      </c>
      <c r="G58" s="2">
        <f>'Budget Detail FY 2016-23'!P288</f>
        <v>0</v>
      </c>
      <c r="H58" s="2">
        <f>'Budget Detail FY 2016-23'!Q288</f>
        <v>0</v>
      </c>
      <c r="I58" s="2">
        <f>'Budget Detail FY 2016-23'!R288</f>
        <v>0</v>
      </c>
      <c r="J58" s="2">
        <f>'Budget Detail FY 2016-23'!S288</f>
        <v>0</v>
      </c>
      <c r="K58" s="2">
        <f>'Budget Detail FY 2016-23'!T288</f>
        <v>0</v>
      </c>
    </row>
    <row r="59" spans="2:11" ht="20.100000000000001" customHeight="1" thickBot="1">
      <c r="B59" s="126" t="s">
        <v>690</v>
      </c>
      <c r="C59" s="123">
        <f t="shared" ref="C59:J59" si="4">SUM(C57:C58)</f>
        <v>7072</v>
      </c>
      <c r="D59" s="123">
        <f t="shared" si="4"/>
        <v>29263</v>
      </c>
      <c r="E59" s="123">
        <f t="shared" si="4"/>
        <v>9365</v>
      </c>
      <c r="F59" s="123">
        <f t="shared" si="4"/>
        <v>9366</v>
      </c>
      <c r="G59" s="123">
        <f t="shared" si="4"/>
        <v>13381</v>
      </c>
      <c r="H59" s="123">
        <f t="shared" si="4"/>
        <v>13381</v>
      </c>
      <c r="I59" s="123">
        <f t="shared" si="4"/>
        <v>13381</v>
      </c>
      <c r="J59" s="123">
        <f t="shared" si="4"/>
        <v>13381</v>
      </c>
      <c r="K59" s="123">
        <f>SUM(K57:K58)</f>
        <v>13381</v>
      </c>
    </row>
    <row r="60" spans="2:11">
      <c r="B60" s="1"/>
      <c r="C60" s="2"/>
      <c r="D60" s="2"/>
      <c r="E60" s="2"/>
      <c r="F60" s="2"/>
      <c r="G60" s="2"/>
      <c r="H60" s="2"/>
      <c r="I60" s="2"/>
      <c r="J60" s="2"/>
      <c r="K60" s="2"/>
    </row>
    <row r="61" spans="2:11">
      <c r="B61" s="127" t="s">
        <v>484</v>
      </c>
      <c r="C61" s="2"/>
      <c r="D61" s="2"/>
      <c r="E61" s="2"/>
      <c r="F61" s="2"/>
      <c r="G61" s="2"/>
      <c r="H61" s="2"/>
      <c r="I61" s="2"/>
      <c r="J61" s="2"/>
      <c r="K61" s="2"/>
    </row>
    <row r="62" spans="2:11" ht="20.100000000000001" customHeight="1">
      <c r="B62" s="386" t="s">
        <v>693</v>
      </c>
      <c r="C62" s="2">
        <f>SUM('Budget Detail FY 2016-23'!L292:L294)</f>
        <v>26314</v>
      </c>
      <c r="D62" s="2">
        <f>SUM('Budget Detail FY 2016-23'!M292:M294)</f>
        <v>10741</v>
      </c>
      <c r="E62" s="2">
        <f>SUM('Budget Detail FY 2016-23'!N292:N294)</f>
        <v>23000</v>
      </c>
      <c r="F62" s="2">
        <f>SUM('Budget Detail FY 2016-23'!O292:O294)</f>
        <v>18700</v>
      </c>
      <c r="G62" s="2">
        <f>SUM('Budget Detail FY 2016-23'!P292:P294)</f>
        <v>8835</v>
      </c>
      <c r="H62" s="2">
        <f>SUM('Budget Detail FY 2016-23'!Q292:Q294)</f>
        <v>30977</v>
      </c>
      <c r="I62" s="2">
        <f>SUM('Budget Detail FY 2016-23'!R292:R294)</f>
        <v>10326</v>
      </c>
      <c r="J62" s="2">
        <f>SUM('Budget Detail FY 2016-23'!S292:S294)</f>
        <v>10482</v>
      </c>
      <c r="K62" s="2">
        <f>SUM('Budget Detail FY 2016-23'!T292:T294)</f>
        <v>10646</v>
      </c>
    </row>
    <row r="63" spans="2:11" ht="20.100000000000001" customHeight="1" thickBot="1">
      <c r="B63" s="126" t="s">
        <v>697</v>
      </c>
      <c r="C63" s="123">
        <f t="shared" ref="C63:J63" si="5">SUM(C62:C62)</f>
        <v>26314</v>
      </c>
      <c r="D63" s="123">
        <f t="shared" si="5"/>
        <v>10741</v>
      </c>
      <c r="E63" s="123">
        <f t="shared" si="5"/>
        <v>23000</v>
      </c>
      <c r="F63" s="123">
        <f t="shared" si="5"/>
        <v>18700</v>
      </c>
      <c r="G63" s="123">
        <f t="shared" si="5"/>
        <v>8835</v>
      </c>
      <c r="H63" s="123">
        <f t="shared" si="5"/>
        <v>30977</v>
      </c>
      <c r="I63" s="123">
        <f t="shared" si="5"/>
        <v>10326</v>
      </c>
      <c r="J63" s="123">
        <f t="shared" si="5"/>
        <v>10482</v>
      </c>
      <c r="K63" s="123">
        <f>SUM(K62:K62)</f>
        <v>10646</v>
      </c>
    </row>
    <row r="64" spans="2:11">
      <c r="B64" s="129"/>
      <c r="C64" s="3"/>
      <c r="D64" s="2"/>
      <c r="E64" s="2"/>
      <c r="F64" s="2"/>
      <c r="G64" s="2"/>
      <c r="H64" s="2"/>
      <c r="I64" s="2"/>
      <c r="J64" s="2"/>
      <c r="K64" s="2"/>
    </row>
    <row r="65" spans="2:11" ht="20.100000000000001" customHeight="1">
      <c r="B65" s="388" t="s">
        <v>698</v>
      </c>
      <c r="C65" s="3">
        <f t="shared" ref="C65:K65" si="6">+C59-C63</f>
        <v>-19242</v>
      </c>
      <c r="D65" s="3">
        <f t="shared" si="6"/>
        <v>18522</v>
      </c>
      <c r="E65" s="3">
        <f t="shared" si="6"/>
        <v>-13635</v>
      </c>
      <c r="F65" s="3">
        <f t="shared" si="6"/>
        <v>-9334</v>
      </c>
      <c r="G65" s="3">
        <f t="shared" si="6"/>
        <v>4546</v>
      </c>
      <c r="H65" s="3">
        <f t="shared" si="6"/>
        <v>-17596</v>
      </c>
      <c r="I65" s="3">
        <f t="shared" si="6"/>
        <v>3055</v>
      </c>
      <c r="J65" s="3">
        <f t="shared" si="6"/>
        <v>2899</v>
      </c>
      <c r="K65" s="3">
        <f t="shared" si="6"/>
        <v>2735</v>
      </c>
    </row>
    <row r="66" spans="2:11">
      <c r="B66" s="130"/>
      <c r="C66" s="3"/>
      <c r="D66" s="2"/>
      <c r="E66" s="2"/>
      <c r="F66" s="2"/>
      <c r="G66" s="2"/>
      <c r="H66" s="2"/>
      <c r="I66" s="2"/>
      <c r="J66" s="2"/>
      <c r="K66" s="2"/>
    </row>
    <row r="67" spans="2:11" ht="20.100000000000001" customHeight="1" thickBot="1">
      <c r="B67" s="125" t="s">
        <v>699</v>
      </c>
      <c r="C67" s="80">
        <v>-3780</v>
      </c>
      <c r="D67" s="80">
        <v>14742</v>
      </c>
      <c r="E67" s="80">
        <v>-21485</v>
      </c>
      <c r="F67" s="80">
        <f>D67+F65</f>
        <v>5408</v>
      </c>
      <c r="G67" s="80">
        <f>F67+G65</f>
        <v>9954</v>
      </c>
      <c r="H67" s="80">
        <f>G67+H65</f>
        <v>-7642</v>
      </c>
      <c r="I67" s="80">
        <f>H67+I65</f>
        <v>-4587</v>
      </c>
      <c r="J67" s="80">
        <f>I67+J65</f>
        <v>-1688</v>
      </c>
      <c r="K67" s="80">
        <f>J67+K65</f>
        <v>1047</v>
      </c>
    </row>
    <row r="68" spans="2:11" ht="15.75" thickTop="1">
      <c r="B68" s="131"/>
      <c r="C68" s="132">
        <f t="shared" ref="C68:K68" si="7">C67/C63</f>
        <v>-0.14364976818423653</v>
      </c>
      <c r="D68" s="132">
        <f t="shared" si="7"/>
        <v>1.3724979052229773</v>
      </c>
      <c r="E68" s="132">
        <f t="shared" si="7"/>
        <v>-0.93413043478260871</v>
      </c>
      <c r="F68" s="132">
        <f t="shared" si="7"/>
        <v>0.28919786096256683</v>
      </c>
      <c r="G68" s="132">
        <f t="shared" si="7"/>
        <v>1.1266553480475383</v>
      </c>
      <c r="H68" s="132">
        <f t="shared" si="7"/>
        <v>-0.24669916389579366</v>
      </c>
      <c r="I68" s="132">
        <f t="shared" si="7"/>
        <v>-0.44421847762928529</v>
      </c>
      <c r="J68" s="132">
        <f t="shared" si="7"/>
        <v>-0.16103796985308147</v>
      </c>
      <c r="K68" s="132">
        <f t="shared" si="7"/>
        <v>9.8346796919030616E-2</v>
      </c>
    </row>
    <row r="69" spans="2:11">
      <c r="B69" s="131"/>
      <c r="C69" s="3"/>
      <c r="D69" s="3"/>
      <c r="E69" s="3"/>
      <c r="F69" s="2"/>
      <c r="G69" s="2"/>
      <c r="H69" s="2"/>
      <c r="I69" s="2"/>
      <c r="J69" s="2"/>
      <c r="K69" s="2"/>
    </row>
    <row r="70" spans="2:11">
      <c r="B70" s="1"/>
      <c r="C70" s="2"/>
      <c r="D70" s="2"/>
      <c r="E70" s="2"/>
      <c r="F70" s="2"/>
      <c r="G70" s="2"/>
      <c r="H70" s="2"/>
      <c r="I70" s="2"/>
      <c r="J70" s="2"/>
      <c r="K70" s="2"/>
    </row>
    <row r="71" spans="2:11">
      <c r="B71" s="1"/>
      <c r="C71" s="2"/>
      <c r="D71" s="2"/>
      <c r="E71" s="2"/>
      <c r="F71" s="2"/>
      <c r="G71" s="2"/>
      <c r="H71" s="2"/>
      <c r="I71" s="2"/>
      <c r="J71" s="2"/>
      <c r="K71" s="2"/>
    </row>
    <row r="72" spans="2:11">
      <c r="B72" s="1"/>
      <c r="C72" s="2"/>
      <c r="D72" s="2"/>
      <c r="E72" s="2"/>
      <c r="F72" s="2"/>
      <c r="G72" s="2"/>
      <c r="H72" s="2"/>
      <c r="I72" s="2"/>
      <c r="J72" s="2"/>
      <c r="K72" s="2"/>
    </row>
    <row r="73" spans="2:11">
      <c r="B73" s="1"/>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3" spans="2:11">
      <c r="B83" s="895" t="s">
        <v>702</v>
      </c>
      <c r="C83" s="895"/>
      <c r="D83" s="895"/>
      <c r="E83" s="895"/>
      <c r="F83" s="895"/>
      <c r="G83" s="895"/>
      <c r="H83" s="895"/>
      <c r="I83" s="895"/>
      <c r="J83" s="895"/>
      <c r="K83" s="895"/>
    </row>
    <row r="84" spans="2:11">
      <c r="B84" s="64"/>
      <c r="C84" s="3"/>
      <c r="D84" s="2"/>
      <c r="E84" s="2"/>
      <c r="F84" s="2"/>
      <c r="G84" s="2"/>
      <c r="H84" s="2"/>
      <c r="I84" s="2"/>
      <c r="J84" s="2"/>
      <c r="K84" s="2"/>
    </row>
    <row r="85" spans="2:11" ht="12.75" customHeight="1">
      <c r="B85" s="886" t="s">
        <v>703</v>
      </c>
      <c r="C85" s="886"/>
      <c r="D85" s="886"/>
      <c r="E85" s="886"/>
      <c r="F85" s="886"/>
      <c r="G85" s="886"/>
      <c r="H85" s="886"/>
      <c r="I85" s="886"/>
      <c r="J85" s="886"/>
      <c r="K85" s="886"/>
    </row>
    <row r="86" spans="2:11" ht="18" customHeight="1">
      <c r="B86" s="886"/>
      <c r="C86" s="886"/>
      <c r="D86" s="886"/>
      <c r="E86" s="886"/>
      <c r="F86" s="886"/>
      <c r="G86" s="886"/>
      <c r="H86" s="886"/>
      <c r="I86" s="886"/>
      <c r="J86" s="886"/>
      <c r="K86" s="886"/>
    </row>
    <row r="87" spans="2:11">
      <c r="B87" s="418"/>
      <c r="C87" s="21"/>
      <c r="D87" s="21"/>
      <c r="E87" s="21"/>
      <c r="F87" s="2"/>
      <c r="G87" s="2"/>
      <c r="H87" s="2"/>
      <c r="I87" s="2"/>
      <c r="J87" s="2"/>
      <c r="K87" s="2"/>
    </row>
    <row r="88" spans="2:11">
      <c r="B88" s="5"/>
      <c r="C88" s="64"/>
      <c r="D88" s="65"/>
      <c r="E88" s="65" t="s">
        <v>834</v>
      </c>
      <c r="F88" s="1"/>
      <c r="G88" s="1"/>
      <c r="H88" s="1"/>
      <c r="I88" s="1"/>
      <c r="J88" s="1"/>
      <c r="K88" s="1"/>
    </row>
    <row r="89" spans="2:11">
      <c r="B89" s="65"/>
      <c r="C89" s="64" t="s">
        <v>243</v>
      </c>
      <c r="D89" s="64" t="s">
        <v>244</v>
      </c>
      <c r="E89" s="65" t="s">
        <v>679</v>
      </c>
      <c r="F89" s="65" t="s">
        <v>834</v>
      </c>
      <c r="G89" s="65" t="s">
        <v>915</v>
      </c>
      <c r="H89" s="65" t="s">
        <v>946</v>
      </c>
      <c r="I89" s="65" t="s">
        <v>947</v>
      </c>
      <c r="J89" s="65" t="s">
        <v>948</v>
      </c>
      <c r="K89" s="65" t="s">
        <v>949</v>
      </c>
    </row>
    <row r="90" spans="2:11" ht="15.75" thickBot="1">
      <c r="B90" s="135"/>
      <c r="C90" s="67" t="s">
        <v>1</v>
      </c>
      <c r="D90" s="67" t="s">
        <v>1</v>
      </c>
      <c r="E90" s="67" t="s">
        <v>638</v>
      </c>
      <c r="F90" s="67" t="s">
        <v>19</v>
      </c>
      <c r="G90" s="67" t="s">
        <v>679</v>
      </c>
      <c r="H90" s="67" t="s">
        <v>19</v>
      </c>
      <c r="I90" s="67" t="s">
        <v>19</v>
      </c>
      <c r="J90" s="67" t="s">
        <v>19</v>
      </c>
      <c r="K90" s="67" t="s">
        <v>19</v>
      </c>
    </row>
    <row r="91" spans="2:11">
      <c r="B91" s="63"/>
      <c r="C91" s="136"/>
      <c r="D91" s="2"/>
      <c r="E91" s="2"/>
      <c r="F91" s="2"/>
      <c r="G91" s="2"/>
      <c r="H91" s="2"/>
      <c r="I91" s="2"/>
      <c r="J91" s="2"/>
      <c r="K91" s="2"/>
    </row>
    <row r="92" spans="2:11">
      <c r="B92" s="127" t="s">
        <v>680</v>
      </c>
      <c r="C92" s="2"/>
      <c r="D92" s="2"/>
      <c r="E92" s="2"/>
      <c r="F92" s="2"/>
      <c r="G92" s="2"/>
      <c r="H92" s="2"/>
      <c r="I92" s="2"/>
      <c r="J92" s="2"/>
      <c r="K92" s="2"/>
    </row>
    <row r="93" spans="2:11" ht="20.100000000000001" customHeight="1">
      <c r="B93" s="384" t="s">
        <v>681</v>
      </c>
      <c r="C93" s="2">
        <f>'Budget Detail FY 2016-23'!L305</f>
        <v>18608</v>
      </c>
      <c r="D93" s="2">
        <f>'Budget Detail FY 2016-23'!M305</f>
        <v>20456</v>
      </c>
      <c r="E93" s="2">
        <f>'Budget Detail FY 2016-23'!N305</f>
        <v>13480</v>
      </c>
      <c r="F93" s="2">
        <f>'Budget Detail FY 2016-23'!O305</f>
        <v>13480</v>
      </c>
      <c r="G93" s="2">
        <f>'Budget Detail FY 2016-23'!P305</f>
        <v>15637</v>
      </c>
      <c r="H93" s="2">
        <f>'Budget Detail FY 2016-23'!Q305</f>
        <v>18139</v>
      </c>
      <c r="I93" s="2">
        <f>'Budget Detail FY 2016-23'!R305</f>
        <v>21303</v>
      </c>
      <c r="J93" s="2">
        <f>'Budget Detail FY 2016-23'!S305</f>
        <v>21303</v>
      </c>
      <c r="K93" s="2">
        <f>'Budget Detail FY 2016-23'!T305</f>
        <v>21303</v>
      </c>
    </row>
    <row r="94" spans="2:11" ht="20.100000000000001" customHeight="1">
      <c r="B94" s="384" t="s">
        <v>686</v>
      </c>
      <c r="C94" s="2">
        <f>'Budget Detail FY 2016-23'!L306</f>
        <v>1</v>
      </c>
      <c r="D94" s="2">
        <f>'Budget Detail FY 2016-23'!M306</f>
        <v>0</v>
      </c>
      <c r="E94" s="2">
        <f>'Budget Detail FY 2016-23'!N306</f>
        <v>0</v>
      </c>
      <c r="F94" s="2">
        <f>'Budget Detail FY 2016-23'!O306</f>
        <v>0</v>
      </c>
      <c r="G94" s="2">
        <f>'Budget Detail FY 2016-23'!P306</f>
        <v>0</v>
      </c>
      <c r="H94" s="2">
        <f>'Budget Detail FY 2016-23'!Q306</f>
        <v>0</v>
      </c>
      <c r="I94" s="2">
        <f>'Budget Detail FY 2016-23'!R306</f>
        <v>0</v>
      </c>
      <c r="J94" s="2">
        <f>'Budget Detail FY 2016-23'!S306</f>
        <v>0</v>
      </c>
      <c r="K94" s="2">
        <f>'Budget Detail FY 2016-23'!T306</f>
        <v>0</v>
      </c>
    </row>
    <row r="95" spans="2:11" ht="20.100000000000001" customHeight="1" thickBot="1">
      <c r="B95" s="126" t="s">
        <v>690</v>
      </c>
      <c r="C95" s="123">
        <f t="shared" ref="C95:J95" si="8">SUM(C93:C94)</f>
        <v>18609</v>
      </c>
      <c r="D95" s="123">
        <f t="shared" si="8"/>
        <v>20456</v>
      </c>
      <c r="E95" s="123">
        <f t="shared" si="8"/>
        <v>13480</v>
      </c>
      <c r="F95" s="123">
        <f t="shared" si="8"/>
        <v>13480</v>
      </c>
      <c r="G95" s="123">
        <f t="shared" si="8"/>
        <v>15637</v>
      </c>
      <c r="H95" s="123">
        <f t="shared" si="8"/>
        <v>18139</v>
      </c>
      <c r="I95" s="123">
        <f t="shared" si="8"/>
        <v>21303</v>
      </c>
      <c r="J95" s="123">
        <f t="shared" si="8"/>
        <v>21303</v>
      </c>
      <c r="K95" s="123">
        <f>SUM(K93:K94)</f>
        <v>21303</v>
      </c>
    </row>
    <row r="96" spans="2:11">
      <c r="B96" s="1"/>
      <c r="C96" s="2"/>
      <c r="D96" s="2"/>
      <c r="E96" s="2"/>
      <c r="F96" s="2"/>
      <c r="G96" s="2"/>
      <c r="H96" s="2"/>
      <c r="I96" s="2"/>
      <c r="J96" s="2"/>
      <c r="K96" s="2"/>
    </row>
    <row r="97" spans="2:11">
      <c r="B97" s="127" t="s">
        <v>484</v>
      </c>
      <c r="C97" s="2"/>
      <c r="D97" s="2"/>
      <c r="E97" s="2"/>
      <c r="F97" s="2"/>
      <c r="G97" s="2"/>
      <c r="H97" s="2"/>
      <c r="I97" s="2"/>
      <c r="J97" s="2"/>
      <c r="K97" s="2"/>
    </row>
    <row r="98" spans="2:11" ht="20.100000000000001" customHeight="1">
      <c r="B98" s="386" t="s">
        <v>693</v>
      </c>
      <c r="C98" s="2">
        <f>SUM('Budget Detail FY 2016-23'!L310:L312)</f>
        <v>29676</v>
      </c>
      <c r="D98" s="2">
        <f>SUM('Budget Detail FY 2016-23'!M310:M312)</f>
        <v>5057</v>
      </c>
      <c r="E98" s="2">
        <f>SUM('Budget Detail FY 2016-23'!N310:N312)</f>
        <v>29735</v>
      </c>
      <c r="F98" s="2">
        <f>SUM('Budget Detail FY 2016-23'!O310:O312)</f>
        <v>22744</v>
      </c>
      <c r="G98" s="2">
        <f>SUM('Budget Detail FY 2016-23'!P310:P312)</f>
        <v>18835</v>
      </c>
      <c r="H98" s="2">
        <f>SUM('Budget Detail FY 2016-23'!Q310:Q312)</f>
        <v>15177</v>
      </c>
      <c r="I98" s="2">
        <f>SUM('Budget Detail FY 2016-23'!R310:R312)</f>
        <v>15326</v>
      </c>
      <c r="J98" s="2">
        <f>SUM('Budget Detail FY 2016-23'!S310:S312)</f>
        <v>16922</v>
      </c>
      <c r="K98" s="2">
        <f>SUM('Budget Detail FY 2016-23'!T310:T312)</f>
        <v>17086</v>
      </c>
    </row>
    <row r="99" spans="2:11" ht="20.100000000000001" customHeight="1" thickBot="1">
      <c r="B99" s="126" t="s">
        <v>697</v>
      </c>
      <c r="C99" s="123">
        <f t="shared" ref="C99:J99" si="9">SUM(C98:C98)</f>
        <v>29676</v>
      </c>
      <c r="D99" s="123">
        <f t="shared" si="9"/>
        <v>5057</v>
      </c>
      <c r="E99" s="123">
        <f t="shared" si="9"/>
        <v>29735</v>
      </c>
      <c r="F99" s="123">
        <f t="shared" si="9"/>
        <v>22744</v>
      </c>
      <c r="G99" s="123">
        <f t="shared" si="9"/>
        <v>18835</v>
      </c>
      <c r="H99" s="123">
        <f t="shared" si="9"/>
        <v>15177</v>
      </c>
      <c r="I99" s="123">
        <f t="shared" si="9"/>
        <v>15326</v>
      </c>
      <c r="J99" s="123">
        <f t="shared" si="9"/>
        <v>16922</v>
      </c>
      <c r="K99" s="123">
        <f>SUM(K98:K98)</f>
        <v>17086</v>
      </c>
    </row>
    <row r="100" spans="2:11">
      <c r="B100" s="129"/>
      <c r="C100" s="3"/>
      <c r="D100" s="2"/>
      <c r="E100" s="2"/>
      <c r="F100" s="2"/>
      <c r="G100" s="2"/>
      <c r="H100" s="2"/>
      <c r="I100" s="2"/>
      <c r="J100" s="2"/>
      <c r="K100" s="2"/>
    </row>
    <row r="101" spans="2:11" ht="20.100000000000001" customHeight="1">
      <c r="B101" s="388" t="s">
        <v>698</v>
      </c>
      <c r="C101" s="3">
        <f t="shared" ref="C101:K101" si="10">+C95-C99</f>
        <v>-11067</v>
      </c>
      <c r="D101" s="3">
        <f t="shared" si="10"/>
        <v>15399</v>
      </c>
      <c r="E101" s="3">
        <f t="shared" si="10"/>
        <v>-16255</v>
      </c>
      <c r="F101" s="3">
        <f t="shared" si="10"/>
        <v>-9264</v>
      </c>
      <c r="G101" s="3">
        <f t="shared" si="10"/>
        <v>-3198</v>
      </c>
      <c r="H101" s="3">
        <f t="shared" si="10"/>
        <v>2962</v>
      </c>
      <c r="I101" s="3">
        <f t="shared" si="10"/>
        <v>5977</v>
      </c>
      <c r="J101" s="3">
        <f t="shared" si="10"/>
        <v>4381</v>
      </c>
      <c r="K101" s="3">
        <f t="shared" si="10"/>
        <v>4217</v>
      </c>
    </row>
    <row r="102" spans="2:11">
      <c r="B102" s="130"/>
      <c r="C102" s="3"/>
      <c r="D102" s="2"/>
      <c r="E102" s="2"/>
      <c r="F102" s="2"/>
      <c r="G102" s="2"/>
      <c r="H102" s="2"/>
      <c r="I102" s="2"/>
      <c r="J102" s="2"/>
      <c r="K102" s="2"/>
    </row>
    <row r="103" spans="2:11" ht="20.100000000000001" customHeight="1" thickBot="1">
      <c r="B103" s="125" t="s">
        <v>699</v>
      </c>
      <c r="C103" s="80">
        <v>-31175</v>
      </c>
      <c r="D103" s="80">
        <v>-15774</v>
      </c>
      <c r="E103" s="80">
        <v>-35099</v>
      </c>
      <c r="F103" s="80">
        <f>D103+F101</f>
        <v>-25038</v>
      </c>
      <c r="G103" s="80">
        <f>F103+G101</f>
        <v>-28236</v>
      </c>
      <c r="H103" s="80">
        <f>G103+H101</f>
        <v>-25274</v>
      </c>
      <c r="I103" s="80">
        <f>H103+I101</f>
        <v>-19297</v>
      </c>
      <c r="J103" s="80">
        <f>I103+J101</f>
        <v>-14916</v>
      </c>
      <c r="K103" s="80">
        <f>J103+K101</f>
        <v>-10699</v>
      </c>
    </row>
    <row r="104" spans="2:11" s="422" customFormat="1" ht="15.75" thickTop="1">
      <c r="B104" s="129"/>
      <c r="C104" s="132">
        <f t="shared" ref="C104:K104" si="11">C103/C99</f>
        <v>-1.0505121984094892</v>
      </c>
      <c r="D104" s="132">
        <f t="shared" si="11"/>
        <v>-3.1192406565157209</v>
      </c>
      <c r="E104" s="132">
        <f t="shared" si="11"/>
        <v>-1.1803934757020347</v>
      </c>
      <c r="F104" s="132">
        <f t="shared" si="11"/>
        <v>-1.1008617657404149</v>
      </c>
      <c r="G104" s="132">
        <f t="shared" si="11"/>
        <v>-1.4991239713299709</v>
      </c>
      <c r="H104" s="132">
        <f t="shared" si="11"/>
        <v>-1.6652829940040852</v>
      </c>
      <c r="I104" s="132">
        <f t="shared" si="11"/>
        <v>-1.2591021793031449</v>
      </c>
      <c r="J104" s="132">
        <f t="shared" si="11"/>
        <v>-0.881456092660442</v>
      </c>
      <c r="K104" s="132">
        <f t="shared" si="11"/>
        <v>-0.62618518084981856</v>
      </c>
    </row>
    <row r="105" spans="2:11">
      <c r="B105" s="131"/>
      <c r="C105" s="137"/>
      <c r="D105" s="137"/>
      <c r="E105" s="137"/>
      <c r="F105" s="137"/>
      <c r="G105" s="137"/>
      <c r="H105" s="137"/>
      <c r="I105" s="137"/>
      <c r="J105" s="137"/>
      <c r="K105" s="137"/>
    </row>
    <row r="106" spans="2:11">
      <c r="B106" s="1"/>
      <c r="C106" s="2"/>
      <c r="D106" s="2"/>
      <c r="E106" s="2"/>
      <c r="F106" s="2"/>
      <c r="G106" s="2"/>
      <c r="H106" s="2"/>
      <c r="I106" s="2"/>
      <c r="J106" s="2"/>
      <c r="K106" s="2"/>
    </row>
    <row r="107" spans="2:11">
      <c r="B107" s="1"/>
      <c r="C107" s="2"/>
      <c r="D107" s="2"/>
      <c r="E107" s="2"/>
      <c r="F107" s="2"/>
      <c r="G107" s="2"/>
      <c r="H107" s="2"/>
      <c r="I107" s="2"/>
      <c r="J107" s="2"/>
      <c r="K107" s="2"/>
    </row>
    <row r="108" spans="2:11">
      <c r="B108" s="1"/>
      <c r="C108" s="2"/>
      <c r="D108" s="2"/>
      <c r="E108" s="2"/>
      <c r="F108" s="2"/>
      <c r="G108" s="2"/>
      <c r="H108" s="2"/>
      <c r="I108" s="2"/>
      <c r="J108" s="2"/>
      <c r="K108" s="2"/>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ht="21" customHeight="1">
      <c r="B116" s="1"/>
      <c r="C116" s="2"/>
      <c r="D116" s="2"/>
      <c r="E116" s="2"/>
      <c r="F116" s="2"/>
      <c r="G116" s="2"/>
      <c r="H116" s="2"/>
      <c r="I116" s="2"/>
      <c r="J116" s="2"/>
      <c r="K116" s="2"/>
    </row>
    <row r="118" spans="2:11">
      <c r="B118" s="895" t="s">
        <v>704</v>
      </c>
      <c r="C118" s="895"/>
      <c r="D118" s="895"/>
      <c r="E118" s="895"/>
      <c r="F118" s="895"/>
      <c r="G118" s="895"/>
      <c r="H118" s="895"/>
      <c r="I118" s="895"/>
      <c r="J118" s="895"/>
      <c r="K118" s="895"/>
    </row>
    <row r="119" spans="2:11">
      <c r="B119" s="64"/>
      <c r="C119" s="3"/>
      <c r="D119" s="2"/>
      <c r="E119" s="2"/>
      <c r="F119" s="2"/>
      <c r="G119" s="2"/>
      <c r="H119" s="2"/>
      <c r="I119" s="2"/>
      <c r="J119" s="2"/>
      <c r="K119" s="2"/>
    </row>
    <row r="120" spans="2:11" ht="12.75" customHeight="1">
      <c r="B120" s="886" t="s">
        <v>1050</v>
      </c>
      <c r="C120" s="886"/>
      <c r="D120" s="886"/>
      <c r="E120" s="886"/>
      <c r="F120" s="886"/>
      <c r="G120" s="886"/>
      <c r="H120" s="886"/>
      <c r="I120" s="886"/>
      <c r="J120" s="886"/>
      <c r="K120" s="886"/>
    </row>
    <row r="121" spans="2:11" ht="18.75" customHeight="1">
      <c r="B121" s="886"/>
      <c r="C121" s="886"/>
      <c r="D121" s="886"/>
      <c r="E121" s="886"/>
      <c r="F121" s="886"/>
      <c r="G121" s="886"/>
      <c r="H121" s="886"/>
      <c r="I121" s="886"/>
      <c r="J121" s="886"/>
      <c r="K121" s="886"/>
    </row>
    <row r="122" spans="2:11" ht="7.5" customHeight="1">
      <c r="B122" s="419"/>
      <c r="C122" s="423"/>
      <c r="D122" s="423"/>
      <c r="E122" s="424"/>
      <c r="F122" s="2"/>
      <c r="G122" s="2"/>
      <c r="H122" s="2"/>
      <c r="I122" s="2"/>
      <c r="J122" s="2"/>
      <c r="K122" s="2"/>
    </row>
    <row r="123" spans="2:11">
      <c r="B123" s="425"/>
      <c r="C123" s="64"/>
      <c r="D123" s="65"/>
      <c r="E123" s="65" t="s">
        <v>834</v>
      </c>
      <c r="F123" s="1"/>
      <c r="G123" s="1"/>
      <c r="H123" s="1"/>
      <c r="I123" s="1"/>
      <c r="J123" s="1"/>
      <c r="K123" s="1"/>
    </row>
    <row r="124" spans="2:11">
      <c r="B124" s="65"/>
      <c r="C124" s="64" t="s">
        <v>243</v>
      </c>
      <c r="D124" s="64" t="s">
        <v>244</v>
      </c>
      <c r="E124" s="65" t="s">
        <v>679</v>
      </c>
      <c r="F124" s="65" t="s">
        <v>834</v>
      </c>
      <c r="G124" s="65" t="s">
        <v>915</v>
      </c>
      <c r="H124" s="65" t="s">
        <v>946</v>
      </c>
      <c r="I124" s="65" t="s">
        <v>947</v>
      </c>
      <c r="J124" s="65" t="s">
        <v>948</v>
      </c>
      <c r="K124" s="65" t="s">
        <v>949</v>
      </c>
    </row>
    <row r="125" spans="2:11" ht="15.75" thickBot="1">
      <c r="B125" s="135"/>
      <c r="C125" s="67" t="s">
        <v>1</v>
      </c>
      <c r="D125" s="67" t="s">
        <v>1</v>
      </c>
      <c r="E125" s="67" t="s">
        <v>638</v>
      </c>
      <c r="F125" s="67" t="s">
        <v>19</v>
      </c>
      <c r="G125" s="67" t="s">
        <v>679</v>
      </c>
      <c r="H125" s="67" t="s">
        <v>19</v>
      </c>
      <c r="I125" s="67" t="s">
        <v>19</v>
      </c>
      <c r="J125" s="67" t="s">
        <v>19</v>
      </c>
      <c r="K125" s="67" t="s">
        <v>19</v>
      </c>
    </row>
    <row r="126" spans="2:11">
      <c r="B126" s="63"/>
      <c r="C126" s="136"/>
      <c r="D126" s="2"/>
      <c r="E126" s="2"/>
      <c r="F126" s="2"/>
      <c r="G126" s="2"/>
      <c r="H126" s="2"/>
      <c r="I126" s="2"/>
      <c r="J126" s="2"/>
      <c r="K126" s="2"/>
    </row>
    <row r="127" spans="2:11">
      <c r="B127" s="127" t="s">
        <v>680</v>
      </c>
      <c r="C127" s="2"/>
      <c r="D127" s="2"/>
      <c r="E127" s="2"/>
      <c r="F127" s="2"/>
      <c r="G127" s="2"/>
      <c r="H127" s="2"/>
      <c r="I127" s="2"/>
      <c r="J127" s="2"/>
      <c r="K127" s="2"/>
    </row>
    <row r="128" spans="2:11" ht="20.100000000000001" customHeight="1">
      <c r="B128" s="384" t="s">
        <v>682</v>
      </c>
      <c r="C128" s="2">
        <f>SUM('Budget Detail FY 2016-23'!L323:L326)</f>
        <v>565571</v>
      </c>
      <c r="D128" s="2">
        <f>SUM('Budget Detail FY 2016-23'!M323:M326)</f>
        <v>470816</v>
      </c>
      <c r="E128" s="2">
        <f>SUM('Budget Detail FY 2016-23'!N323:N326)</f>
        <v>492616</v>
      </c>
      <c r="F128" s="2">
        <f>SUM('Budget Detail FY 2016-23'!O323:O326)</f>
        <v>499319</v>
      </c>
      <c r="G128" s="2">
        <f>SUM('Budget Detail FY 2016-23'!P323:P326)</f>
        <v>530817</v>
      </c>
      <c r="H128" s="2">
        <f>SUM('Budget Detail FY 2016-23'!Q323:Q326)</f>
        <v>540613</v>
      </c>
      <c r="I128" s="2">
        <f>SUM('Budget Detail FY 2016-23'!R323:R326)</f>
        <v>550605</v>
      </c>
      <c r="J128" s="2">
        <f>SUM('Budget Detail FY 2016-23'!S323:S326)</f>
        <v>560797</v>
      </c>
      <c r="K128" s="2">
        <f>SUM('Budget Detail FY 2016-23'!T323:T326)</f>
        <v>571193</v>
      </c>
    </row>
    <row r="129" spans="2:11" ht="20.100000000000001" customHeight="1">
      <c r="B129" s="385" t="s">
        <v>686</v>
      </c>
      <c r="C129" s="2">
        <f>'Budget Detail FY 2016-23'!L327</f>
        <v>813</v>
      </c>
      <c r="D129" s="2">
        <f>'Budget Detail FY 2016-23'!M327</f>
        <v>3556</v>
      </c>
      <c r="E129" s="2">
        <f>'Budget Detail FY 2016-23'!N327</f>
        <v>1500</v>
      </c>
      <c r="F129" s="2">
        <f>'Budget Detail FY 2016-23'!O327</f>
        <v>7500</v>
      </c>
      <c r="G129" s="2">
        <f>'Budget Detail FY 2016-23'!P327</f>
        <v>5000</v>
      </c>
      <c r="H129" s="2">
        <f>'Budget Detail FY 2016-23'!Q327</f>
        <v>3000</v>
      </c>
      <c r="I129" s="2">
        <f>'Budget Detail FY 2016-23'!R327</f>
        <v>1000</v>
      </c>
      <c r="J129" s="2">
        <f>'Budget Detail FY 2016-23'!S327</f>
        <v>0</v>
      </c>
      <c r="K129" s="2">
        <f>'Budget Detail FY 2016-23'!T327</f>
        <v>0</v>
      </c>
    </row>
    <row r="130" spans="2:11" ht="20.100000000000001" customHeight="1">
      <c r="B130" s="385" t="s">
        <v>687</v>
      </c>
      <c r="C130" s="2">
        <f>SUM('Budget Detail FY 2016-23'!L328:L328)</f>
        <v>3564</v>
      </c>
      <c r="D130" s="2">
        <f>SUM('Budget Detail FY 2016-23'!M328:M328)</f>
        <v>0</v>
      </c>
      <c r="E130" s="2">
        <f>SUM('Budget Detail FY 2016-23'!N328:N328)</f>
        <v>0</v>
      </c>
      <c r="F130" s="2">
        <f>SUM('Budget Detail FY 2016-23'!O328:O328)</f>
        <v>0</v>
      </c>
      <c r="G130" s="2">
        <f>SUM('Budget Detail FY 2016-23'!P328:P328)</f>
        <v>0</v>
      </c>
      <c r="H130" s="2">
        <f>SUM('Budget Detail FY 2016-23'!Q328:Q328)</f>
        <v>0</v>
      </c>
      <c r="I130" s="2">
        <f>SUM('Budget Detail FY 2016-23'!R328:R328)</f>
        <v>0</v>
      </c>
      <c r="J130" s="2">
        <f>SUM('Budget Detail FY 2016-23'!S328:S328)</f>
        <v>0</v>
      </c>
      <c r="K130" s="2">
        <f>SUM('Budget Detail FY 2016-23'!T328:T328)</f>
        <v>0</v>
      </c>
    </row>
    <row r="131" spans="2:11" ht="20.100000000000001" customHeight="1">
      <c r="B131" s="385" t="s">
        <v>689</v>
      </c>
      <c r="C131" s="2">
        <f>'Budget Detail FY 2016-23'!L329+'Budget Detail FY 2016-23'!L330</f>
        <v>30951</v>
      </c>
      <c r="D131" s="2">
        <f>'Budget Detail FY 2016-23'!M329+'Budget Detail FY 2016-23'!M330</f>
        <v>33750</v>
      </c>
      <c r="E131" s="2">
        <f>'Budget Detail FY 2016-23'!N329+'Budget Detail FY 2016-23'!N330</f>
        <v>0</v>
      </c>
      <c r="F131" s="2">
        <f>'Budget Detail FY 2016-23'!O329+'Budget Detail FY 2016-23'!O330</f>
        <v>0</v>
      </c>
      <c r="G131" s="2">
        <f>'Budget Detail FY 2016-23'!P329+'Budget Detail FY 2016-23'!P330</f>
        <v>0</v>
      </c>
      <c r="H131" s="2">
        <f>'Budget Detail FY 2016-23'!Q329+'Budget Detail FY 2016-23'!Q330</f>
        <v>0</v>
      </c>
      <c r="I131" s="2">
        <f>'Budget Detail FY 2016-23'!R329+'Budget Detail FY 2016-23'!R330</f>
        <v>0</v>
      </c>
      <c r="J131" s="2">
        <f>'Budget Detail FY 2016-23'!S329+'Budget Detail FY 2016-23'!S330</f>
        <v>0</v>
      </c>
      <c r="K131" s="2">
        <f>'Budget Detail FY 2016-23'!T329+'Budget Detail FY 2016-23'!T330</f>
        <v>0</v>
      </c>
    </row>
    <row r="132" spans="2:11" ht="20.100000000000001" customHeight="1" thickBot="1">
      <c r="B132" s="126" t="s">
        <v>690</v>
      </c>
      <c r="C132" s="123">
        <f>SUM(C128:C131)</f>
        <v>600899</v>
      </c>
      <c r="D132" s="123">
        <f t="shared" ref="D132:K132" si="12">SUM(D128:D131)</f>
        <v>508122</v>
      </c>
      <c r="E132" s="123">
        <f t="shared" si="12"/>
        <v>494116</v>
      </c>
      <c r="F132" s="123">
        <f t="shared" si="12"/>
        <v>506819</v>
      </c>
      <c r="G132" s="123">
        <f t="shared" si="12"/>
        <v>535817</v>
      </c>
      <c r="H132" s="123">
        <f t="shared" si="12"/>
        <v>543613</v>
      </c>
      <c r="I132" s="123">
        <f t="shared" si="12"/>
        <v>551605</v>
      </c>
      <c r="J132" s="123">
        <f t="shared" si="12"/>
        <v>560797</v>
      </c>
      <c r="K132" s="123">
        <f t="shared" si="12"/>
        <v>571193</v>
      </c>
    </row>
    <row r="133" spans="2:11" ht="7.5" customHeight="1">
      <c r="B133" s="1"/>
      <c r="C133" s="2"/>
      <c r="D133" s="2"/>
      <c r="E133" s="2"/>
      <c r="F133" s="2"/>
      <c r="G133" s="2"/>
      <c r="H133" s="2"/>
      <c r="I133" s="2"/>
      <c r="J133" s="2"/>
      <c r="K133" s="2"/>
    </row>
    <row r="134" spans="2:11">
      <c r="B134" s="127" t="s">
        <v>484</v>
      </c>
      <c r="C134" s="2"/>
      <c r="D134" s="2"/>
      <c r="E134" s="2"/>
      <c r="F134" s="2"/>
      <c r="G134" s="2"/>
      <c r="H134" s="2"/>
      <c r="I134" s="2"/>
      <c r="J134" s="2"/>
      <c r="K134" s="2"/>
    </row>
    <row r="135" spans="2:11" ht="20.100000000000001" customHeight="1">
      <c r="B135" s="386" t="s">
        <v>693</v>
      </c>
      <c r="C135" s="2">
        <f>SUM('Budget Detail FY 2016-23'!L334:L335)</f>
        <v>102418</v>
      </c>
      <c r="D135" s="2">
        <f>SUM('Budget Detail FY 2016-23'!M334:M335)</f>
        <v>105673</v>
      </c>
      <c r="E135" s="2">
        <f>SUM('Budget Detail FY 2016-23'!N334:N335)</f>
        <v>124350</v>
      </c>
      <c r="F135" s="2">
        <f>SUM('Budget Detail FY 2016-23'!O334:O335)</f>
        <v>107750</v>
      </c>
      <c r="G135" s="2">
        <f>SUM('Budget Detail FY 2016-23'!P334:P335)</f>
        <v>97000</v>
      </c>
      <c r="H135" s="2">
        <f>SUM('Budget Detail FY 2016-23'!Q334:Q335)</f>
        <v>0</v>
      </c>
      <c r="I135" s="2">
        <f>SUM('Budget Detail FY 2016-23'!R334:R335)</f>
        <v>0</v>
      </c>
      <c r="J135" s="2">
        <f>SUM('Budget Detail FY 2016-23'!S334:S335)</f>
        <v>0</v>
      </c>
      <c r="K135" s="2">
        <f>SUM('Budget Detail FY 2016-23'!T334:T335)</f>
        <v>0</v>
      </c>
    </row>
    <row r="136" spans="2:11" ht="20.100000000000001" customHeight="1">
      <c r="B136" s="386" t="s">
        <v>694</v>
      </c>
      <c r="C136" s="2">
        <f>SUM('Budget Detail FY 2016-23'!L336:L340)</f>
        <v>136390</v>
      </c>
      <c r="D136" s="2">
        <f>SUM('Budget Detail FY 2016-23'!M336:M340)</f>
        <v>119661</v>
      </c>
      <c r="E136" s="2">
        <f>SUM('Budget Detail FY 2016-23'!N336:N340)</f>
        <v>208000</v>
      </c>
      <c r="F136" s="2">
        <f>SUM('Budget Detail FY 2016-23'!O336:O340)</f>
        <v>208000</v>
      </c>
      <c r="G136" s="2">
        <f>SUM('Budget Detail FY 2016-23'!P336:P340)</f>
        <v>90000</v>
      </c>
      <c r="H136" s="2">
        <f>SUM('Budget Detail FY 2016-23'!Q336:Q340)</f>
        <v>0</v>
      </c>
      <c r="I136" s="2">
        <f>SUM('Budget Detail FY 2016-23'!R336:R340)</f>
        <v>0</v>
      </c>
      <c r="J136" s="2">
        <f>SUM('Budget Detail FY 2016-23'!S336:S340)</f>
        <v>0</v>
      </c>
      <c r="K136" s="2">
        <f>SUM('Budget Detail FY 2016-23'!T336:T340)</f>
        <v>0</v>
      </c>
    </row>
    <row r="137" spans="2:11" ht="20.100000000000001" customHeight="1">
      <c r="B137" s="386" t="s">
        <v>695</v>
      </c>
      <c r="C137" s="2">
        <f>SUM('Budget Detail FY 2016-23'!L341:L345)</f>
        <v>399147</v>
      </c>
      <c r="D137" s="2">
        <f>SUM('Budget Detail FY 2016-23'!M341:M345)</f>
        <v>373787</v>
      </c>
      <c r="E137" s="2">
        <f>SUM('Budget Detail FY 2016-23'!N341:N345)</f>
        <v>423787</v>
      </c>
      <c r="F137" s="2">
        <f>SUM('Budget Detail FY 2016-23'!O341:O345)</f>
        <v>398787</v>
      </c>
      <c r="G137" s="2">
        <f>SUM('Budget Detail FY 2016-23'!P341:P345)</f>
        <v>504787</v>
      </c>
      <c r="H137" s="2">
        <f>SUM('Budget Detail FY 2016-23'!Q341:Q345)</f>
        <v>773787</v>
      </c>
      <c r="I137" s="2">
        <f>SUM('Budget Detail FY 2016-23'!R341:R345)</f>
        <v>662287</v>
      </c>
      <c r="J137" s="2">
        <f>SUM('Budget Detail FY 2016-23'!S341:S345)</f>
        <v>647287</v>
      </c>
      <c r="K137" s="2">
        <f>SUM('Budget Detail FY 2016-23'!T341:T345)</f>
        <v>572383</v>
      </c>
    </row>
    <row r="138" spans="2:11" ht="20.100000000000001" customHeight="1" thickBot="1">
      <c r="B138" s="126" t="s">
        <v>697</v>
      </c>
      <c r="C138" s="123">
        <f t="shared" ref="C138:K138" si="13">SUM(C135:C137)</f>
        <v>637955</v>
      </c>
      <c r="D138" s="123">
        <f t="shared" si="13"/>
        <v>599121</v>
      </c>
      <c r="E138" s="123">
        <f t="shared" si="13"/>
        <v>756137</v>
      </c>
      <c r="F138" s="123">
        <f t="shared" si="13"/>
        <v>714537</v>
      </c>
      <c r="G138" s="123">
        <f t="shared" si="13"/>
        <v>691787</v>
      </c>
      <c r="H138" s="123">
        <f t="shared" si="13"/>
        <v>773787</v>
      </c>
      <c r="I138" s="123">
        <f t="shared" si="13"/>
        <v>662287</v>
      </c>
      <c r="J138" s="123">
        <f t="shared" si="13"/>
        <v>647287</v>
      </c>
      <c r="K138" s="123">
        <f t="shared" si="13"/>
        <v>572383</v>
      </c>
    </row>
    <row r="139" spans="2:11" ht="7.5" customHeight="1">
      <c r="B139" s="129"/>
      <c r="C139" s="3"/>
      <c r="D139" s="2"/>
      <c r="E139" s="2"/>
      <c r="F139" s="2"/>
      <c r="G139" s="2"/>
      <c r="H139" s="2"/>
      <c r="I139" s="2"/>
      <c r="J139" s="2"/>
      <c r="K139" s="2"/>
    </row>
    <row r="140" spans="2:11" ht="20.100000000000001" customHeight="1">
      <c r="B140" s="388" t="s">
        <v>698</v>
      </c>
      <c r="C140" s="3">
        <f t="shared" ref="C140:K140" si="14">+C132-C138</f>
        <v>-37056</v>
      </c>
      <c r="D140" s="3">
        <f t="shared" si="14"/>
        <v>-90999</v>
      </c>
      <c r="E140" s="3">
        <f t="shared" si="14"/>
        <v>-262021</v>
      </c>
      <c r="F140" s="3">
        <f t="shared" si="14"/>
        <v>-207718</v>
      </c>
      <c r="G140" s="3">
        <f t="shared" si="14"/>
        <v>-155970</v>
      </c>
      <c r="H140" s="3">
        <f t="shared" si="14"/>
        <v>-230174</v>
      </c>
      <c r="I140" s="3">
        <f t="shared" si="14"/>
        <v>-110682</v>
      </c>
      <c r="J140" s="3">
        <f t="shared" si="14"/>
        <v>-86490</v>
      </c>
      <c r="K140" s="3">
        <f t="shared" si="14"/>
        <v>-1190</v>
      </c>
    </row>
    <row r="141" spans="2:11" ht="7.5" customHeight="1">
      <c r="B141" s="130"/>
      <c r="C141" s="3"/>
      <c r="D141" s="2"/>
      <c r="E141" s="2"/>
      <c r="F141" s="2"/>
      <c r="G141" s="2"/>
      <c r="H141" s="2"/>
      <c r="I141" s="2"/>
      <c r="J141" s="2"/>
      <c r="K141" s="2"/>
    </row>
    <row r="142" spans="2:11" ht="20.100000000000001" customHeight="1" thickBot="1">
      <c r="B142" s="125" t="s">
        <v>699</v>
      </c>
      <c r="C142" s="80">
        <v>883223</v>
      </c>
      <c r="D142" s="80">
        <v>792224</v>
      </c>
      <c r="E142" s="80">
        <v>438871</v>
      </c>
      <c r="F142" s="80">
        <f>D142+F140</f>
        <v>584506</v>
      </c>
      <c r="G142" s="80">
        <f>F142+G140</f>
        <v>428536</v>
      </c>
      <c r="H142" s="80">
        <f>G142+H140</f>
        <v>198362</v>
      </c>
      <c r="I142" s="80">
        <f>H142+I140</f>
        <v>87680</v>
      </c>
      <c r="J142" s="80">
        <f>I142+J140</f>
        <v>1190</v>
      </c>
      <c r="K142" s="80">
        <f>J142+K140</f>
        <v>0</v>
      </c>
    </row>
    <row r="143" spans="2:11" ht="15.75" thickTop="1">
      <c r="B143" s="131"/>
      <c r="C143" s="137"/>
      <c r="D143" s="137"/>
      <c r="E143" s="137"/>
      <c r="F143" s="137"/>
      <c r="G143" s="137"/>
      <c r="H143" s="137"/>
      <c r="I143" s="137"/>
      <c r="J143" s="137"/>
      <c r="K143" s="137"/>
    </row>
    <row r="144" spans="2:11">
      <c r="B144" s="1"/>
      <c r="C144" s="2"/>
      <c r="D144" s="2"/>
      <c r="E144" s="2"/>
      <c r="F144" s="2"/>
      <c r="G144" s="2"/>
      <c r="H144" s="2"/>
      <c r="I144" s="2"/>
      <c r="J144" s="2"/>
      <c r="K144" s="2"/>
    </row>
    <row r="145" spans="2:11">
      <c r="B145" s="1"/>
      <c r="C145" s="2"/>
      <c r="D145" s="2"/>
      <c r="E145" s="2"/>
      <c r="F145" s="2"/>
      <c r="G145" s="2"/>
      <c r="H145" s="2"/>
      <c r="I145" s="2"/>
      <c r="J145" s="2"/>
      <c r="K145" s="2"/>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4" spans="2:11">
      <c r="B154" s="1"/>
      <c r="C154" s="2"/>
      <c r="D154" s="2"/>
      <c r="E154" s="2"/>
      <c r="F154" s="2"/>
      <c r="G154" s="2"/>
      <c r="H154" s="2"/>
      <c r="I154" s="2"/>
      <c r="J154" s="2"/>
      <c r="K154" s="2"/>
    </row>
    <row r="157" spans="2:11">
      <c r="B157" s="895" t="s">
        <v>705</v>
      </c>
      <c r="C157" s="895"/>
      <c r="D157" s="895"/>
      <c r="E157" s="895"/>
      <c r="F157" s="895"/>
      <c r="G157" s="895"/>
      <c r="H157" s="895"/>
      <c r="I157" s="895"/>
      <c r="J157" s="895"/>
      <c r="K157" s="895"/>
    </row>
    <row r="158" spans="2:11">
      <c r="B158" s="64"/>
      <c r="C158" s="3"/>
      <c r="D158" s="2"/>
      <c r="E158" s="2"/>
      <c r="F158" s="2"/>
      <c r="G158" s="2"/>
      <c r="H158" s="2"/>
      <c r="I158" s="2"/>
      <c r="J158" s="2"/>
      <c r="K158" s="2"/>
    </row>
    <row r="159" spans="2:11" ht="15" customHeight="1">
      <c r="B159" s="886" t="s">
        <v>1056</v>
      </c>
      <c r="C159" s="886"/>
      <c r="D159" s="886"/>
      <c r="E159" s="886"/>
      <c r="F159" s="886"/>
      <c r="G159" s="886"/>
      <c r="H159" s="886"/>
      <c r="I159" s="886"/>
      <c r="J159" s="886"/>
      <c r="K159" s="886"/>
    </row>
    <row r="160" spans="2:11" ht="15" customHeight="1">
      <c r="B160" s="886"/>
      <c r="C160" s="886"/>
      <c r="D160" s="886"/>
      <c r="E160" s="886"/>
      <c r="F160" s="886"/>
      <c r="G160" s="886"/>
      <c r="H160" s="886"/>
      <c r="I160" s="886"/>
      <c r="J160" s="886"/>
      <c r="K160" s="886"/>
    </row>
    <row r="161" spans="2:11" ht="7.5" customHeight="1">
      <c r="B161" s="418"/>
      <c r="C161" s="21"/>
      <c r="D161" s="21"/>
      <c r="E161" s="21"/>
      <c r="F161" s="21"/>
      <c r="G161" s="21"/>
      <c r="H161" s="2"/>
      <c r="I161" s="2"/>
      <c r="J161" s="2"/>
      <c r="K161" s="2"/>
    </row>
    <row r="162" spans="2:11">
      <c r="B162" s="5"/>
      <c r="C162" s="64"/>
      <c r="D162" s="65"/>
      <c r="E162" s="65" t="s">
        <v>834</v>
      </c>
      <c r="F162" s="1"/>
      <c r="G162" s="1"/>
      <c r="H162" s="1"/>
      <c r="I162" s="1"/>
      <c r="J162" s="1"/>
      <c r="K162" s="1"/>
    </row>
    <row r="163" spans="2:11">
      <c r="B163" s="65"/>
      <c r="C163" s="64" t="s">
        <v>243</v>
      </c>
      <c r="D163" s="64" t="s">
        <v>244</v>
      </c>
      <c r="E163" s="65" t="s">
        <v>679</v>
      </c>
      <c r="F163" s="65" t="s">
        <v>834</v>
      </c>
      <c r="G163" s="65" t="s">
        <v>915</v>
      </c>
      <c r="H163" s="65" t="s">
        <v>946</v>
      </c>
      <c r="I163" s="65" t="s">
        <v>947</v>
      </c>
      <c r="J163" s="65" t="s">
        <v>948</v>
      </c>
      <c r="K163" s="65" t="s">
        <v>949</v>
      </c>
    </row>
    <row r="164" spans="2:11" ht="15.75" thickBot="1">
      <c r="B164" s="135"/>
      <c r="C164" s="67" t="s">
        <v>1</v>
      </c>
      <c r="D164" s="67" t="s">
        <v>1</v>
      </c>
      <c r="E164" s="67" t="s">
        <v>638</v>
      </c>
      <c r="F164" s="67" t="s">
        <v>19</v>
      </c>
      <c r="G164" s="67" t="s">
        <v>679</v>
      </c>
      <c r="H164" s="67" t="s">
        <v>19</v>
      </c>
      <c r="I164" s="67" t="s">
        <v>19</v>
      </c>
      <c r="J164" s="67" t="s">
        <v>19</v>
      </c>
      <c r="K164" s="67" t="s">
        <v>19</v>
      </c>
    </row>
    <row r="165" spans="2:11">
      <c r="B165" s="63"/>
      <c r="C165" s="136"/>
      <c r="D165" s="2"/>
      <c r="E165" s="2"/>
      <c r="F165" s="2"/>
      <c r="G165" s="2"/>
      <c r="H165" s="2"/>
      <c r="I165" s="2"/>
      <c r="J165" s="2"/>
      <c r="K165" s="2"/>
    </row>
    <row r="166" spans="2:11">
      <c r="B166" s="127" t="s">
        <v>680</v>
      </c>
      <c r="C166" s="2"/>
      <c r="D166" s="2"/>
      <c r="E166" s="2"/>
      <c r="F166" s="2"/>
      <c r="G166" s="2"/>
      <c r="H166" s="2"/>
      <c r="I166" s="2"/>
      <c r="J166" s="2"/>
      <c r="K166" s="2"/>
    </row>
    <row r="167" spans="2:11" ht="20.100000000000001" customHeight="1">
      <c r="B167" s="385" t="s">
        <v>682</v>
      </c>
      <c r="C167" s="2">
        <f>SUM('Budget Detail FY 2016-23'!L355:L358)</f>
        <v>135722</v>
      </c>
      <c r="D167" s="2">
        <f>SUM('Budget Detail FY 2016-23'!M355:M358)</f>
        <v>534354</v>
      </c>
      <c r="E167" s="2">
        <f>SUM('Budget Detail FY 2016-23'!N355:N358)</f>
        <v>200224</v>
      </c>
      <c r="F167" s="2">
        <f>SUM('Budget Detail FY 2016-23'!O355:O358)</f>
        <v>292754</v>
      </c>
      <c r="G167" s="2">
        <f>SUM('Budget Detail FY 2016-23'!P355:P358)</f>
        <v>0</v>
      </c>
      <c r="H167" s="2">
        <f>SUM('Budget Detail FY 2016-23'!Q355:Q358)</f>
        <v>0</v>
      </c>
      <c r="I167" s="2">
        <f>SUM('Budget Detail FY 2016-23'!R355:R358)</f>
        <v>0</v>
      </c>
      <c r="J167" s="2">
        <f>SUM('Budget Detail FY 2016-23'!S355:S358)</f>
        <v>0</v>
      </c>
      <c r="K167" s="2">
        <f>SUM('Budget Detail FY 2016-23'!T355:T358)</f>
        <v>0</v>
      </c>
    </row>
    <row r="168" spans="2:11" ht="20.100000000000001" customHeight="1">
      <c r="B168" s="385" t="s">
        <v>683</v>
      </c>
      <c r="C168" s="2">
        <f>SUM('Budget Detail FY 2016-23'!L359:L364)</f>
        <v>141203</v>
      </c>
      <c r="D168" s="2">
        <f>SUM('Budget Detail FY 2016-23'!M359:M364)</f>
        <v>196003</v>
      </c>
      <c r="E168" s="2">
        <f>SUM('Budget Detail FY 2016-23'!N359:N364)</f>
        <v>73000</v>
      </c>
      <c r="F168" s="2">
        <f>SUM('Budget Detail FY 2016-23'!O359:O364)</f>
        <v>173500</v>
      </c>
      <c r="G168" s="2">
        <f>SUM('Budget Detail FY 2016-23'!P359:P364)</f>
        <v>91500</v>
      </c>
      <c r="H168" s="2">
        <f>SUM('Budget Detail FY 2016-23'!Q359:Q364)</f>
        <v>90000</v>
      </c>
      <c r="I168" s="2">
        <f>SUM('Budget Detail FY 2016-23'!R359:R364)</f>
        <v>90000</v>
      </c>
      <c r="J168" s="2">
        <f>SUM('Budget Detail FY 2016-23'!S359:S364)</f>
        <v>90000</v>
      </c>
      <c r="K168" s="2">
        <f>SUM('Budget Detail FY 2016-23'!T359:T364)</f>
        <v>90000</v>
      </c>
    </row>
    <row r="169" spans="2:11" ht="20.100000000000001" customHeight="1">
      <c r="B169" s="385" t="s">
        <v>685</v>
      </c>
      <c r="C169" s="2">
        <f>'Budget Detail FY 2016-23'!L365</f>
        <v>700156</v>
      </c>
      <c r="D169" s="2">
        <f>'Budget Detail FY 2016-23'!M365</f>
        <v>718872</v>
      </c>
      <c r="E169" s="2">
        <f>'Budget Detail FY 2016-23'!N365</f>
        <v>700000</v>
      </c>
      <c r="F169" s="2">
        <f>'Budget Detail FY 2016-23'!O365</f>
        <v>730000</v>
      </c>
      <c r="G169" s="2">
        <f>'Budget Detail FY 2016-23'!P365</f>
        <v>730000</v>
      </c>
      <c r="H169" s="2">
        <f>'Budget Detail FY 2016-23'!Q365</f>
        <v>735000</v>
      </c>
      <c r="I169" s="2">
        <f>'Budget Detail FY 2016-23'!R365</f>
        <v>735000</v>
      </c>
      <c r="J169" s="2">
        <f>'Budget Detail FY 2016-23'!S365</f>
        <v>740000</v>
      </c>
      <c r="K169" s="2">
        <f>'Budget Detail FY 2016-23'!T365</f>
        <v>740000</v>
      </c>
    </row>
    <row r="170" spans="2:11" ht="20.100000000000001" customHeight="1">
      <c r="B170" s="385" t="s">
        <v>686</v>
      </c>
      <c r="C170" s="2">
        <f>'Budget Detail FY 2016-23'!L366</f>
        <v>1630</v>
      </c>
      <c r="D170" s="2">
        <f>'Budget Detail FY 2016-23'!M366</f>
        <v>3703</v>
      </c>
      <c r="E170" s="2">
        <f>'Budget Detail FY 2016-23'!N366</f>
        <v>1000</v>
      </c>
      <c r="F170" s="2">
        <f>'Budget Detail FY 2016-23'!O366</f>
        <v>6750</v>
      </c>
      <c r="G170" s="2">
        <f>'Budget Detail FY 2016-23'!P366</f>
        <v>1000</v>
      </c>
      <c r="H170" s="2">
        <f>'Budget Detail FY 2016-23'!Q366</f>
        <v>0</v>
      </c>
      <c r="I170" s="2">
        <f>'Budget Detail FY 2016-23'!R366</f>
        <v>0</v>
      </c>
      <c r="J170" s="2">
        <f>'Budget Detail FY 2016-23'!S366</f>
        <v>0</v>
      </c>
      <c r="K170" s="2">
        <f>'Budget Detail FY 2016-23'!T366</f>
        <v>0</v>
      </c>
    </row>
    <row r="171" spans="2:11" ht="20.100000000000001" customHeight="1">
      <c r="B171" s="385" t="s">
        <v>687</v>
      </c>
      <c r="C171" s="2">
        <f>SUM('Budget Detail FY 2016-23'!L367:L376)</f>
        <v>399561</v>
      </c>
      <c r="D171" s="2">
        <f>SUM('Budget Detail FY 2016-23'!M367:M376)</f>
        <v>199851</v>
      </c>
      <c r="E171" s="2">
        <f>SUM('Budget Detail FY 2016-23'!N367:N376)</f>
        <v>472617</v>
      </c>
      <c r="F171" s="2">
        <f>SUM('Budget Detail FY 2016-23'!O367:O376)</f>
        <v>367560</v>
      </c>
      <c r="G171" s="2">
        <f>SUM('Budget Detail FY 2016-23'!P367:P376)</f>
        <v>1109077</v>
      </c>
      <c r="H171" s="2">
        <f>SUM('Budget Detail FY 2016-23'!Q367:Q376)</f>
        <v>7549</v>
      </c>
      <c r="I171" s="2">
        <f>SUM('Budget Detail FY 2016-23'!R367:R376)</f>
        <v>7549</v>
      </c>
      <c r="J171" s="2">
        <f>SUM('Budget Detail FY 2016-23'!S367:S376)</f>
        <v>0</v>
      </c>
      <c r="K171" s="2">
        <f>SUM('Budget Detail FY 2016-23'!T367:T376)</f>
        <v>171600</v>
      </c>
    </row>
    <row r="172" spans="2:11" ht="20.100000000000001" customHeight="1">
      <c r="B172" s="385" t="s">
        <v>688</v>
      </c>
      <c r="C172" s="2">
        <f>'Budget Detail FY 2016-23'!L377</f>
        <v>0</v>
      </c>
      <c r="D172" s="2">
        <f>'Budget Detail FY 2016-23'!M377</f>
        <v>0</v>
      </c>
      <c r="E172" s="2">
        <f>'Budget Detail FY 2016-23'!N377</f>
        <v>0</v>
      </c>
      <c r="F172" s="2">
        <f>'Budget Detail FY 2016-23'!O377</f>
        <v>0</v>
      </c>
      <c r="G172" s="2">
        <f>'Budget Detail FY 2016-23'!P377</f>
        <v>2000</v>
      </c>
      <c r="H172" s="2">
        <f>'Budget Detail FY 2016-23'!Q377</f>
        <v>2000</v>
      </c>
      <c r="I172" s="2">
        <f>'Budget Detail FY 2016-23'!R377</f>
        <v>2000</v>
      </c>
      <c r="J172" s="2">
        <f>'Budget Detail FY 2016-23'!S377</f>
        <v>2000</v>
      </c>
      <c r="K172" s="2">
        <f>'Budget Detail FY 2016-23'!T377</f>
        <v>2000</v>
      </c>
    </row>
    <row r="173" spans="2:11" ht="20.100000000000001" customHeight="1">
      <c r="B173" s="385" t="s">
        <v>689</v>
      </c>
      <c r="C173" s="2">
        <f>SUM('Budget Detail FY 2016-23'!L378:L382)</f>
        <v>210243</v>
      </c>
      <c r="D173" s="2">
        <f>SUM('Budget Detail FY 2016-23'!M378:M382)</f>
        <v>73502</v>
      </c>
      <c r="E173" s="2">
        <f>SUM('Budget Detail FY 2016-23'!N378:N382)</f>
        <v>1258924</v>
      </c>
      <c r="F173" s="2">
        <f>SUM('Budget Detail FY 2016-23'!O378:O382)</f>
        <v>1263397</v>
      </c>
      <c r="G173" s="2">
        <f>SUM('Budget Detail FY 2016-23'!P378:P382)</f>
        <v>250000</v>
      </c>
      <c r="H173" s="2">
        <f>SUM('Budget Detail FY 2016-23'!Q378:Q382)</f>
        <v>0</v>
      </c>
      <c r="I173" s="2">
        <f>SUM('Budget Detail FY 2016-23'!R378:R382)</f>
        <v>0</v>
      </c>
      <c r="J173" s="2">
        <f>SUM('Budget Detail FY 2016-23'!S378:S382)</f>
        <v>0</v>
      </c>
      <c r="K173" s="2">
        <f>SUM('Budget Detail FY 2016-23'!T378:T382)</f>
        <v>0</v>
      </c>
    </row>
    <row r="174" spans="2:11" ht="20.100000000000001" customHeight="1" thickBot="1">
      <c r="B174" s="126" t="s">
        <v>690</v>
      </c>
      <c r="C174" s="123">
        <f t="shared" ref="C174:K174" si="15">SUM(C167:C173)</f>
        <v>1588515</v>
      </c>
      <c r="D174" s="123">
        <f t="shared" si="15"/>
        <v>1726285</v>
      </c>
      <c r="E174" s="123">
        <f t="shared" si="15"/>
        <v>2705765</v>
      </c>
      <c r="F174" s="123">
        <f t="shared" si="15"/>
        <v>2833961</v>
      </c>
      <c r="G174" s="123">
        <f t="shared" si="15"/>
        <v>2183577</v>
      </c>
      <c r="H174" s="123">
        <f t="shared" si="15"/>
        <v>834549</v>
      </c>
      <c r="I174" s="123">
        <f t="shared" si="15"/>
        <v>834549</v>
      </c>
      <c r="J174" s="123">
        <f t="shared" si="15"/>
        <v>832000</v>
      </c>
      <c r="K174" s="123">
        <f t="shared" si="15"/>
        <v>1003600</v>
      </c>
    </row>
    <row r="175" spans="2:11" ht="7.5" customHeight="1">
      <c r="B175" s="1"/>
      <c r="C175" s="2"/>
      <c r="D175" s="2"/>
      <c r="E175" s="2"/>
      <c r="F175" s="2"/>
      <c r="G175" s="2"/>
      <c r="H175" s="2"/>
      <c r="I175" s="2"/>
      <c r="J175" s="2"/>
      <c r="K175" s="2"/>
    </row>
    <row r="176" spans="2:11">
      <c r="B176" s="127" t="s">
        <v>484</v>
      </c>
      <c r="C176" s="2"/>
      <c r="D176" s="2"/>
      <c r="E176" s="2"/>
      <c r="F176" s="2"/>
      <c r="G176" s="2"/>
      <c r="H176" s="2"/>
      <c r="I176" s="2"/>
      <c r="J176" s="2"/>
      <c r="K176" s="2"/>
    </row>
    <row r="177" spans="2:11" ht="20.100000000000001" customHeight="1">
      <c r="B177" s="386" t="s">
        <v>693</v>
      </c>
      <c r="C177" s="2">
        <f>'Budget Detail FY 2016-23'!L387+'Budget Detail FY 2016-23'!L388+'Budget Detail FY 2016-23'!L389+'Budget Detail FY 2016-23'!L398+'Budget Detail FY 2016-23'!L399+'Budget Detail FY 2016-23'!L400+'Budget Detail FY 2016-23'!L401+'Budget Detail FY 2016-23'!L402+'Budget Detail FY 2016-23'!L403</f>
        <v>130762</v>
      </c>
      <c r="D177" s="2">
        <f>'Budget Detail FY 2016-23'!M387+'Budget Detail FY 2016-23'!M388+'Budget Detail FY 2016-23'!M389+'Budget Detail FY 2016-23'!M398+'Budget Detail FY 2016-23'!M399+'Budget Detail FY 2016-23'!M400+'Budget Detail FY 2016-23'!M401+'Budget Detail FY 2016-23'!M402+'Budget Detail FY 2016-23'!M403</f>
        <v>107274</v>
      </c>
      <c r="E177" s="2">
        <f>'Budget Detail FY 2016-23'!N387+'Budget Detail FY 2016-23'!N388+'Budget Detail FY 2016-23'!N389+'Budget Detail FY 2016-23'!N398+'Budget Detail FY 2016-23'!N399+'Budget Detail FY 2016-23'!N400+'Budget Detail FY 2016-23'!N401+'Budget Detail FY 2016-23'!N402+'Budget Detail FY 2016-23'!N403</f>
        <v>161675</v>
      </c>
      <c r="F177" s="2">
        <f>'Budget Detail FY 2016-23'!O387+'Budget Detail FY 2016-23'!O388+'Budget Detail FY 2016-23'!O389+'Budget Detail FY 2016-23'!O398+'Budget Detail FY 2016-23'!O399+'Budget Detail FY 2016-23'!O400+'Budget Detail FY 2016-23'!O401+'Budget Detail FY 2016-23'!O402+'Budget Detail FY 2016-23'!O403</f>
        <v>267144</v>
      </c>
      <c r="G177" s="2">
        <f>'Budget Detail FY 2016-23'!P387+'Budget Detail FY 2016-23'!P388+'Budget Detail FY 2016-23'!P389+'Budget Detail FY 2016-23'!P398+'Budget Detail FY 2016-23'!P399+'Budget Detail FY 2016-23'!P400+'Budget Detail FY 2016-23'!P401+'Budget Detail FY 2016-23'!P402+'Budget Detail FY 2016-23'!P403</f>
        <v>216675</v>
      </c>
      <c r="H177" s="2">
        <f>'Budget Detail FY 2016-23'!Q387+'Budget Detail FY 2016-23'!Q388+'Budget Detail FY 2016-23'!Q389+'Budget Detail FY 2016-23'!Q398+'Budget Detail FY 2016-23'!Q399+'Budget Detail FY 2016-23'!Q400+'Budget Detail FY 2016-23'!Q401+'Budget Detail FY 2016-23'!Q402+'Budget Detail FY 2016-23'!Q403</f>
        <v>151675</v>
      </c>
      <c r="I177" s="2">
        <f>'Budget Detail FY 2016-23'!R387+'Budget Detail FY 2016-23'!R388+'Budget Detail FY 2016-23'!R389+'Budget Detail FY 2016-23'!R398+'Budget Detail FY 2016-23'!R399+'Budget Detail FY 2016-23'!R400+'Budget Detail FY 2016-23'!R401+'Budget Detail FY 2016-23'!R402+'Budget Detail FY 2016-23'!R403</f>
        <v>170777</v>
      </c>
      <c r="J177" s="2">
        <f>'Budget Detail FY 2016-23'!S387+'Budget Detail FY 2016-23'!S388+'Budget Detail FY 2016-23'!S389+'Budget Detail FY 2016-23'!S398+'Budget Detail FY 2016-23'!S399+'Budget Detail FY 2016-23'!S400+'Budget Detail FY 2016-23'!S401+'Budget Detail FY 2016-23'!S402+'Budget Detail FY 2016-23'!S403</f>
        <v>177923</v>
      </c>
      <c r="K177" s="2">
        <f>'Budget Detail FY 2016-23'!T387+'Budget Detail FY 2016-23'!T388+'Budget Detail FY 2016-23'!T389+'Budget Detail FY 2016-23'!T398+'Budget Detail FY 2016-23'!T399+'Budget Detail FY 2016-23'!T400+'Budget Detail FY 2016-23'!T401+'Budget Detail FY 2016-23'!T402+'Budget Detail FY 2016-23'!T403</f>
        <v>185498</v>
      </c>
    </row>
    <row r="178" spans="2:11" ht="20.100000000000001" customHeight="1">
      <c r="B178" s="386" t="s">
        <v>694</v>
      </c>
      <c r="C178" s="2">
        <f>'Budget Detail FY 2016-23'!L392+'Budget Detail FY 2016-23'!L391+'Budget Detail FY 2016-23'!L390+'Budget Detail FY 2016-23'!L404</f>
        <v>8913</v>
      </c>
      <c r="D178" s="2">
        <f>'Budget Detail FY 2016-23'!M392+'Budget Detail FY 2016-23'!M391+'Budget Detail FY 2016-23'!M390+'Budget Detail FY 2016-23'!M404</f>
        <v>27847</v>
      </c>
      <c r="E178" s="2">
        <f>'Budget Detail FY 2016-23'!N392+'Budget Detail FY 2016-23'!N391+'Budget Detail FY 2016-23'!N390+'Budget Detail FY 2016-23'!N404</f>
        <v>35000</v>
      </c>
      <c r="F178" s="2">
        <f>'Budget Detail FY 2016-23'!O392+'Budget Detail FY 2016-23'!O391+'Budget Detail FY 2016-23'!O390+'Budget Detail FY 2016-23'!O404</f>
        <v>25000</v>
      </c>
      <c r="G178" s="2">
        <f>'Budget Detail FY 2016-23'!P392+'Budget Detail FY 2016-23'!P391+'Budget Detail FY 2016-23'!P390+'Budget Detail FY 2016-23'!P404</f>
        <v>27000</v>
      </c>
      <c r="H178" s="2">
        <f>'Budget Detail FY 2016-23'!Q392+'Budget Detail FY 2016-23'!Q391+'Budget Detail FY 2016-23'!Q390+'Budget Detail FY 2016-23'!Q404</f>
        <v>27000</v>
      </c>
      <c r="I178" s="2">
        <f>'Budget Detail FY 2016-23'!R392+'Budget Detail FY 2016-23'!R391+'Budget Detail FY 2016-23'!R390+'Budget Detail FY 2016-23'!R404</f>
        <v>42000</v>
      </c>
      <c r="J178" s="2">
        <f>'Budget Detail FY 2016-23'!S392+'Budget Detail FY 2016-23'!S391+'Budget Detail FY 2016-23'!S390+'Budget Detail FY 2016-23'!S404</f>
        <v>42000</v>
      </c>
      <c r="K178" s="2">
        <f>'Budget Detail FY 2016-23'!T392+'Budget Detail FY 2016-23'!T391+'Budget Detail FY 2016-23'!T390+'Budget Detail FY 2016-23'!T404</f>
        <v>77000</v>
      </c>
    </row>
    <row r="179" spans="2:11" ht="20.100000000000001" customHeight="1">
      <c r="B179" s="386" t="s">
        <v>695</v>
      </c>
      <c r="C179" s="2">
        <f>SUM('Budget Detail FY 2016-23'!L405:L429)+'Budget Detail FY 2016-23'!L393</f>
        <v>2711081</v>
      </c>
      <c r="D179" s="2">
        <f>SUM('Budget Detail FY 2016-23'!M405:M429)+'Budget Detail FY 2016-23'!M393</f>
        <v>2825760</v>
      </c>
      <c r="E179" s="2">
        <f>SUM('Budget Detail FY 2016-23'!N405:N429)+'Budget Detail FY 2016-23'!N393</f>
        <v>2990753</v>
      </c>
      <c r="F179" s="2">
        <f>SUM('Budget Detail FY 2016-23'!O405:O429)+'Budget Detail FY 2016-23'!O393</f>
        <v>2990926</v>
      </c>
      <c r="G179" s="2">
        <f>SUM('Budget Detail FY 2016-23'!P405:P429)+'Budget Detail FY 2016-23'!P393</f>
        <v>1888049</v>
      </c>
      <c r="H179" s="2">
        <f>SUM('Budget Detail FY 2016-23'!Q405:Q429)+'Budget Detail FY 2016-23'!Q393</f>
        <v>256521</v>
      </c>
      <c r="I179" s="2">
        <f>SUM('Budget Detail FY 2016-23'!R405:R429)+'Budget Detail FY 2016-23'!R393</f>
        <v>158108</v>
      </c>
      <c r="J179" s="2">
        <f>SUM('Budget Detail FY 2016-23'!S405:S429)+'Budget Detail FY 2016-23'!S393</f>
        <v>108810</v>
      </c>
      <c r="K179" s="2">
        <f>SUM('Budget Detail FY 2016-23'!T405:T429)+'Budget Detail FY 2016-23'!T393</f>
        <v>310003</v>
      </c>
    </row>
    <row r="180" spans="2:11" ht="20.100000000000001" customHeight="1">
      <c r="B180" s="386" t="s">
        <v>626</v>
      </c>
      <c r="C180" s="2">
        <f>SUM('Budget Detail FY 2016-23'!L431:L434)</f>
        <v>405937</v>
      </c>
      <c r="D180" s="2">
        <f>SUM('Budget Detail FY 2016-23'!M431:M434)</f>
        <v>404138</v>
      </c>
      <c r="E180" s="2">
        <f>SUM('Budget Detail FY 2016-23'!N431:N434)</f>
        <v>403588</v>
      </c>
      <c r="F180" s="2">
        <f>SUM('Budget Detail FY 2016-23'!O431:O434)</f>
        <v>403588</v>
      </c>
      <c r="G180" s="2">
        <f>SUM('Budget Detail FY 2016-23'!P431:P434)</f>
        <v>407563</v>
      </c>
      <c r="H180" s="2">
        <f>SUM('Budget Detail FY 2016-23'!Q431:Q434)</f>
        <v>322188</v>
      </c>
      <c r="I180" s="2">
        <f>SUM('Budget Detail FY 2016-23'!R431:R434)</f>
        <v>321338</v>
      </c>
      <c r="J180" s="2">
        <f>SUM('Budget Detail FY 2016-23'!S431:S434)</f>
        <v>315338</v>
      </c>
      <c r="K180" s="2">
        <f>SUM('Budget Detail FY 2016-23'!T431:T434)</f>
        <v>319338</v>
      </c>
    </row>
    <row r="181" spans="2:11" ht="20.100000000000001" customHeight="1">
      <c r="B181" s="385" t="s">
        <v>696</v>
      </c>
      <c r="C181" s="2">
        <f>'Budget Detail FY 2016-23'!L394+'Budget Detail FY 2016-23'!L437+'Budget Detail FY 2016-23'!L436</f>
        <v>12621</v>
      </c>
      <c r="D181" s="2">
        <f>'Budget Detail FY 2016-23'!M394+'Budget Detail FY 2016-23'!M437+'Budget Detail FY 2016-23'!M436</f>
        <v>9645</v>
      </c>
      <c r="E181" s="2">
        <f>'Budget Detail FY 2016-23'!N394+'Budget Detail FY 2016-23'!N437+'Budget Detail FY 2016-23'!N436</f>
        <v>78510</v>
      </c>
      <c r="F181" s="2">
        <f>'Budget Detail FY 2016-23'!O394+'Budget Detail FY 2016-23'!O437+'Budget Detail FY 2016-23'!O436</f>
        <v>95074</v>
      </c>
      <c r="G181" s="2">
        <f>'Budget Detail FY 2016-23'!P394+'Budget Detail FY 2016-23'!P437+'Budget Detail FY 2016-23'!P436</f>
        <v>82866</v>
      </c>
      <c r="H181" s="2">
        <f>'Budget Detail FY 2016-23'!Q394+'Budget Detail FY 2016-23'!Q437+'Budget Detail FY 2016-23'!Q436</f>
        <v>121141</v>
      </c>
      <c r="I181" s="2">
        <f>'Budget Detail FY 2016-23'!R394+'Budget Detail FY 2016-23'!R437+'Budget Detail FY 2016-23'!R436</f>
        <v>120132</v>
      </c>
      <c r="J181" s="2">
        <f>'Budget Detail FY 2016-23'!S394+'Budget Detail FY 2016-23'!S437+'Budget Detail FY 2016-23'!S436</f>
        <v>120793</v>
      </c>
      <c r="K181" s="2">
        <f>'Budget Detail FY 2016-23'!T394+'Budget Detail FY 2016-23'!T437+'Budget Detail FY 2016-23'!T436</f>
        <v>120445</v>
      </c>
    </row>
    <row r="182" spans="2:11" ht="20.100000000000001" customHeight="1" thickBot="1">
      <c r="B182" s="126" t="s">
        <v>697</v>
      </c>
      <c r="C182" s="123">
        <f>SUM(C177:C181)</f>
        <v>3269314</v>
      </c>
      <c r="D182" s="123">
        <f t="shared" ref="D182:K182" si="16">SUM(D177:D181)</f>
        <v>3374664</v>
      </c>
      <c r="E182" s="123">
        <f t="shared" si="16"/>
        <v>3669526</v>
      </c>
      <c r="F182" s="123">
        <f>SUM(F177:F181)</f>
        <v>3781732</v>
      </c>
      <c r="G182" s="123">
        <f t="shared" si="16"/>
        <v>2622153</v>
      </c>
      <c r="H182" s="123">
        <f t="shared" si="16"/>
        <v>878525</v>
      </c>
      <c r="I182" s="123">
        <f t="shared" si="16"/>
        <v>812355</v>
      </c>
      <c r="J182" s="123">
        <f t="shared" si="16"/>
        <v>764864</v>
      </c>
      <c r="K182" s="123">
        <f t="shared" si="16"/>
        <v>1012284</v>
      </c>
    </row>
    <row r="183" spans="2:11" ht="7.5" customHeight="1">
      <c r="B183" s="129"/>
      <c r="C183" s="3"/>
      <c r="D183" s="2"/>
      <c r="E183" s="2"/>
      <c r="F183" s="2"/>
      <c r="G183" s="2"/>
      <c r="H183" s="2"/>
      <c r="I183" s="2"/>
      <c r="J183" s="2"/>
      <c r="K183" s="2"/>
    </row>
    <row r="184" spans="2:11" ht="20.100000000000001" customHeight="1">
      <c r="B184" s="388" t="s">
        <v>698</v>
      </c>
      <c r="C184" s="3">
        <f t="shared" ref="C184:K184" si="17">+C174-C182</f>
        <v>-1680799</v>
      </c>
      <c r="D184" s="3">
        <f t="shared" si="17"/>
        <v>-1648379</v>
      </c>
      <c r="E184" s="3">
        <f t="shared" si="17"/>
        <v>-963761</v>
      </c>
      <c r="F184" s="3">
        <f t="shared" si="17"/>
        <v>-947771</v>
      </c>
      <c r="G184" s="3">
        <f t="shared" si="17"/>
        <v>-438576</v>
      </c>
      <c r="H184" s="3">
        <f t="shared" si="17"/>
        <v>-43976</v>
      </c>
      <c r="I184" s="3">
        <f t="shared" si="17"/>
        <v>22194</v>
      </c>
      <c r="J184" s="3">
        <f t="shared" si="17"/>
        <v>67136</v>
      </c>
      <c r="K184" s="3">
        <f t="shared" si="17"/>
        <v>-8684</v>
      </c>
    </row>
    <row r="185" spans="2:11" ht="7.5" customHeight="1">
      <c r="B185" s="139"/>
      <c r="C185" s="94"/>
      <c r="D185" s="94"/>
      <c r="E185" s="94"/>
      <c r="F185" s="94"/>
      <c r="G185" s="94"/>
      <c r="H185" s="94"/>
      <c r="I185" s="94"/>
      <c r="J185" s="94"/>
      <c r="K185" s="94"/>
    </row>
    <row r="186" spans="2:11" ht="20.100000000000001" customHeight="1" thickBot="1">
      <c r="B186" s="125" t="s">
        <v>699</v>
      </c>
      <c r="C186" s="80">
        <v>3003908</v>
      </c>
      <c r="D186" s="80">
        <v>1355530</v>
      </c>
      <c r="E186" s="80">
        <v>144741</v>
      </c>
      <c r="F186" s="80">
        <f>D186+F184</f>
        <v>407759</v>
      </c>
      <c r="G186" s="80">
        <f>F186+G184</f>
        <v>-30817</v>
      </c>
      <c r="H186" s="80">
        <f>G186+H184</f>
        <v>-74793</v>
      </c>
      <c r="I186" s="80">
        <f>H186+I184</f>
        <v>-52599</v>
      </c>
      <c r="J186" s="80">
        <f>I186+J184</f>
        <v>14537</v>
      </c>
      <c r="K186" s="80">
        <f>J186+K184</f>
        <v>5853</v>
      </c>
    </row>
    <row r="187" spans="2:11" ht="15.75" thickTop="1"/>
    <row r="201" spans="2:11" ht="7.5" customHeight="1"/>
    <row r="202" spans="2:11">
      <c r="B202" s="895" t="s">
        <v>869</v>
      </c>
      <c r="C202" s="895"/>
      <c r="D202" s="895"/>
      <c r="E202" s="895"/>
      <c r="F202" s="895"/>
      <c r="G202" s="895"/>
      <c r="H202" s="895"/>
      <c r="I202" s="895"/>
      <c r="J202" s="895"/>
      <c r="K202" s="895"/>
    </row>
    <row r="203" spans="2:11" ht="15" customHeight="1">
      <c r="B203" s="64"/>
      <c r="C203" s="3"/>
      <c r="D203" s="2"/>
      <c r="E203" s="2"/>
      <c r="F203" s="2"/>
      <c r="G203" s="2"/>
      <c r="H203" s="2"/>
      <c r="I203" s="2"/>
      <c r="J203" s="2"/>
      <c r="K203" s="2"/>
    </row>
    <row r="204" spans="2:11" ht="12.75" customHeight="1">
      <c r="B204" s="896" t="s">
        <v>1175</v>
      </c>
      <c r="C204" s="896"/>
      <c r="D204" s="896"/>
      <c r="E204" s="896"/>
      <c r="F204" s="896"/>
      <c r="G204" s="896"/>
      <c r="H204" s="896"/>
      <c r="I204" s="896"/>
      <c r="J204" s="896"/>
      <c r="K204" s="896"/>
    </row>
    <row r="205" spans="2:11" ht="12.75" customHeight="1">
      <c r="B205" s="896"/>
      <c r="C205" s="896"/>
      <c r="D205" s="896"/>
      <c r="E205" s="896"/>
      <c r="F205" s="896"/>
      <c r="G205" s="896"/>
      <c r="H205" s="896"/>
      <c r="I205" s="896"/>
      <c r="J205" s="896"/>
      <c r="K205" s="896"/>
    </row>
    <row r="206" spans="2:11" ht="12.75" customHeight="1">
      <c r="B206" s="896"/>
      <c r="C206" s="896"/>
      <c r="D206" s="896"/>
      <c r="E206" s="896"/>
      <c r="F206" s="896"/>
      <c r="G206" s="896"/>
      <c r="H206" s="896"/>
      <c r="I206" s="896"/>
      <c r="J206" s="896"/>
      <c r="K206" s="896"/>
    </row>
    <row r="207" spans="2:11" ht="15" customHeight="1">
      <c r="B207" s="896"/>
      <c r="C207" s="896"/>
      <c r="D207" s="896"/>
      <c r="E207" s="896"/>
      <c r="F207" s="896"/>
      <c r="G207" s="896"/>
      <c r="H207" s="896"/>
      <c r="I207" s="896"/>
      <c r="J207" s="896"/>
      <c r="K207" s="896"/>
    </row>
    <row r="208" spans="2:11" ht="12" customHeight="1">
      <c r="B208" s="418"/>
      <c r="C208" s="21"/>
      <c r="D208" s="21"/>
      <c r="E208" s="21"/>
      <c r="F208" s="21"/>
      <c r="G208" s="21"/>
      <c r="H208" s="2"/>
      <c r="I208" s="2"/>
      <c r="J208" s="2"/>
      <c r="K208" s="2"/>
    </row>
    <row r="209" spans="2:11">
      <c r="B209" s="5"/>
      <c r="C209" s="64"/>
      <c r="D209" s="65"/>
      <c r="E209" s="65" t="s">
        <v>834</v>
      </c>
      <c r="F209" s="1"/>
      <c r="G209" s="1"/>
      <c r="H209" s="1"/>
      <c r="I209" s="1"/>
      <c r="J209" s="1"/>
      <c r="K209" s="1"/>
    </row>
    <row r="210" spans="2:11">
      <c r="B210" s="65"/>
      <c r="C210" s="64" t="s">
        <v>243</v>
      </c>
      <c r="D210" s="64" t="s">
        <v>244</v>
      </c>
      <c r="E210" s="65" t="s">
        <v>679</v>
      </c>
      <c r="F210" s="65" t="s">
        <v>834</v>
      </c>
      <c r="G210" s="65" t="s">
        <v>915</v>
      </c>
      <c r="H210" s="65" t="s">
        <v>946</v>
      </c>
      <c r="I210" s="65" t="s">
        <v>947</v>
      </c>
      <c r="J210" s="65" t="s">
        <v>948</v>
      </c>
      <c r="K210" s="65" t="s">
        <v>949</v>
      </c>
    </row>
    <row r="211" spans="2:11" ht="15.75" thickBot="1">
      <c r="B211" s="135"/>
      <c r="C211" s="67" t="s">
        <v>1</v>
      </c>
      <c r="D211" s="67" t="s">
        <v>1</v>
      </c>
      <c r="E211" s="67" t="s">
        <v>638</v>
      </c>
      <c r="F211" s="67" t="s">
        <v>19</v>
      </c>
      <c r="G211" s="67" t="s">
        <v>679</v>
      </c>
      <c r="H211" s="67" t="s">
        <v>19</v>
      </c>
      <c r="I211" s="67" t="s">
        <v>19</v>
      </c>
      <c r="J211" s="67" t="s">
        <v>19</v>
      </c>
      <c r="K211" s="67" t="s">
        <v>19</v>
      </c>
    </row>
    <row r="212" spans="2:11" ht="7.5" customHeight="1">
      <c r="B212" s="63"/>
      <c r="C212" s="136"/>
      <c r="D212" s="2"/>
      <c r="E212" s="2"/>
      <c r="F212" s="2"/>
      <c r="G212" s="2"/>
      <c r="H212" s="2"/>
      <c r="I212" s="2"/>
      <c r="J212" s="2"/>
      <c r="K212" s="2"/>
    </row>
    <row r="213" spans="2:11">
      <c r="B213" s="127" t="s">
        <v>680</v>
      </c>
      <c r="C213" s="2"/>
      <c r="D213" s="2"/>
      <c r="E213" s="2"/>
      <c r="F213" s="2"/>
      <c r="G213" s="2"/>
      <c r="H213" s="2"/>
      <c r="I213" s="2"/>
      <c r="J213" s="2"/>
      <c r="K213" s="2"/>
    </row>
    <row r="214" spans="2:11" ht="20.100000000000001" customHeight="1">
      <c r="B214" s="385" t="s">
        <v>683</v>
      </c>
      <c r="C214" s="2">
        <f>SUM('Budget Detail FY 2016-23'!L448:L453)</f>
        <v>89150</v>
      </c>
      <c r="D214" s="2">
        <f>SUM('Budget Detail FY 2016-23'!M448:M453)</f>
        <v>134050</v>
      </c>
      <c r="E214" s="2">
        <f>SUM('Budget Detail FY 2016-23'!N448:N453)</f>
        <v>73500</v>
      </c>
      <c r="F214" s="2">
        <f>SUM('Budget Detail FY 2016-23'!O448:O453)</f>
        <v>122000</v>
      </c>
      <c r="G214" s="2">
        <f>SUM('Budget Detail FY 2016-23'!P448:P453)</f>
        <v>120600</v>
      </c>
      <c r="H214" s="2">
        <f>SUM('Budget Detail FY 2016-23'!Q448:Q453)</f>
        <v>110550</v>
      </c>
      <c r="I214" s="2">
        <f>SUM('Budget Detail FY 2016-23'!R448:R453)</f>
        <v>110550</v>
      </c>
      <c r="J214" s="2">
        <f>SUM('Budget Detail FY 2016-23'!S448:S453)</f>
        <v>110550</v>
      </c>
      <c r="K214" s="2">
        <f>SUM('Budget Detail FY 2016-23'!T448:T453)</f>
        <v>110550</v>
      </c>
    </row>
    <row r="215" spans="2:11" ht="20.100000000000001" customHeight="1">
      <c r="B215" s="385" t="s">
        <v>684</v>
      </c>
      <c r="C215" s="2">
        <f>SUM('Budget Detail FY 2016-23'!L454:L456)</f>
        <v>11374</v>
      </c>
      <c r="D215" s="2">
        <f>SUM('Budget Detail FY 2016-23'!M454:M456)</f>
        <v>6608</v>
      </c>
      <c r="E215" s="2">
        <f>SUM('Budget Detail FY 2016-23'!N454:N456)</f>
        <v>7700</v>
      </c>
      <c r="F215" s="2">
        <f>SUM('Budget Detail FY 2016-23'!O454:O456)</f>
        <v>6700</v>
      </c>
      <c r="G215" s="2">
        <f>SUM('Budget Detail FY 2016-23'!P454:P456)</f>
        <v>6700</v>
      </c>
      <c r="H215" s="2">
        <f>SUM('Budget Detail FY 2016-23'!Q454:Q456)</f>
        <v>6700</v>
      </c>
      <c r="I215" s="2">
        <f>SUM('Budget Detail FY 2016-23'!R454:R456)</f>
        <v>6700</v>
      </c>
      <c r="J215" s="2">
        <f>SUM('Budget Detail FY 2016-23'!S454:S456)</f>
        <v>6700</v>
      </c>
      <c r="K215" s="2">
        <f>SUM('Budget Detail FY 2016-23'!T454:T456)</f>
        <v>6700</v>
      </c>
    </row>
    <row r="216" spans="2:11" ht="20.100000000000001" customHeight="1">
      <c r="B216" s="385" t="s">
        <v>685</v>
      </c>
      <c r="C216" s="2">
        <f>SUM('Budget Detail FY 2016-23'!L457:L462)</f>
        <v>374386</v>
      </c>
      <c r="D216" s="2">
        <f>SUM('Budget Detail FY 2016-23'!M457:M462)</f>
        <v>236948</v>
      </c>
      <c r="E216" s="2">
        <f>SUM('Budget Detail FY 2016-23'!N457:N462)</f>
        <v>246565</v>
      </c>
      <c r="F216" s="2">
        <f>SUM('Budget Detail FY 2016-23'!O457:O462)</f>
        <v>260116</v>
      </c>
      <c r="G216" s="2">
        <f>SUM('Budget Detail FY 2016-23'!P457:P462)</f>
        <v>107861</v>
      </c>
      <c r="H216" s="2">
        <f>SUM('Budget Detail FY 2016-23'!Q457:Q462)</f>
        <v>47578</v>
      </c>
      <c r="I216" s="2">
        <f>SUM('Budget Detail FY 2016-23'!R457:R462)</f>
        <v>47146</v>
      </c>
      <c r="J216" s="2">
        <f>SUM('Budget Detail FY 2016-23'!S457:S462)</f>
        <v>51412</v>
      </c>
      <c r="K216" s="2">
        <f>SUM('Budget Detail FY 2016-23'!T457:T462)</f>
        <v>71723</v>
      </c>
    </row>
    <row r="217" spans="2:11" ht="20.100000000000001" customHeight="1">
      <c r="B217" s="385" t="s">
        <v>686</v>
      </c>
      <c r="C217" s="2">
        <f>SUM('Budget Detail FY 2016-23'!L463:L463)</f>
        <v>43</v>
      </c>
      <c r="D217" s="2">
        <f>SUM('Budget Detail FY 2016-23'!M463:M463)</f>
        <v>86</v>
      </c>
      <c r="E217" s="2">
        <f>SUM('Budget Detail FY 2016-23'!N463:N463)</f>
        <v>80</v>
      </c>
      <c r="F217" s="2">
        <f>SUM('Budget Detail FY 2016-23'!O463:O463)</f>
        <v>150</v>
      </c>
      <c r="G217" s="2">
        <f>SUM('Budget Detail FY 2016-23'!P463:P463)</f>
        <v>150</v>
      </c>
      <c r="H217" s="2">
        <f>SUM('Budget Detail FY 2016-23'!Q463:Q463)</f>
        <v>150</v>
      </c>
      <c r="I217" s="2">
        <f>SUM('Budget Detail FY 2016-23'!R463:R463)</f>
        <v>150</v>
      </c>
      <c r="J217" s="2">
        <f>SUM('Budget Detail FY 2016-23'!S463:S463)</f>
        <v>150</v>
      </c>
      <c r="K217" s="2">
        <f>SUM('Budget Detail FY 2016-23'!T463:T463)</f>
        <v>150</v>
      </c>
    </row>
    <row r="218" spans="2:11" ht="20.100000000000001" customHeight="1">
      <c r="B218" s="385" t="s">
        <v>688</v>
      </c>
      <c r="C218" s="2">
        <f>SUM('Budget Detail FY 2016-23'!L464:L466)</f>
        <v>4627</v>
      </c>
      <c r="D218" s="2">
        <f>SUM('Budget Detail FY 2016-23'!M464:M466)</f>
        <v>5535</v>
      </c>
      <c r="E218" s="2">
        <f>SUM('Budget Detail FY 2016-23'!N464:N466)</f>
        <v>2000</v>
      </c>
      <c r="F218" s="2">
        <f>SUM('Budget Detail FY 2016-23'!O464:O466)</f>
        <v>1583</v>
      </c>
      <c r="G218" s="2">
        <f>SUM('Budget Detail FY 2016-23'!P464:P466)</f>
        <v>2000</v>
      </c>
      <c r="H218" s="2">
        <f>SUM('Budget Detail FY 2016-23'!Q464:Q466)</f>
        <v>2000</v>
      </c>
      <c r="I218" s="2">
        <f>SUM('Budget Detail FY 2016-23'!R464:R466)</f>
        <v>2000</v>
      </c>
      <c r="J218" s="2">
        <f>SUM('Budget Detail FY 2016-23'!S464:S466)</f>
        <v>2000</v>
      </c>
      <c r="K218" s="2">
        <f>SUM('Budget Detail FY 2016-23'!T464:T466)</f>
        <v>2000</v>
      </c>
    </row>
    <row r="219" spans="2:11" ht="20.100000000000001" customHeight="1">
      <c r="B219" s="385" t="s">
        <v>689</v>
      </c>
      <c r="C219" s="2">
        <f>SUM('Budget Detail FY 2016-23'!L467:L469)</f>
        <v>48446</v>
      </c>
      <c r="D219" s="2">
        <f>SUM('Budget Detail FY 2016-23'!M467:M469)</f>
        <v>254162</v>
      </c>
      <c r="E219" s="2">
        <f>SUM('Budget Detail FY 2016-23'!N467:N469)</f>
        <v>0</v>
      </c>
      <c r="F219" s="2">
        <f>SUM('Budget Detail FY 2016-23'!O467:O469)</f>
        <v>0</v>
      </c>
      <c r="G219" s="2">
        <f>SUM('Budget Detail FY 2016-23'!P467:P469)</f>
        <v>0</v>
      </c>
      <c r="H219" s="2">
        <f>SUM('Budget Detail FY 2016-23'!Q467:Q469)</f>
        <v>0</v>
      </c>
      <c r="I219" s="2">
        <f>SUM('Budget Detail FY 2016-23'!R467:R469)</f>
        <v>0</v>
      </c>
      <c r="J219" s="2">
        <f>SUM('Budget Detail FY 2016-23'!S467:S469)</f>
        <v>0</v>
      </c>
      <c r="K219" s="2">
        <f>SUM('Budget Detail FY 2016-23'!T467:T469)</f>
        <v>0</v>
      </c>
    </row>
    <row r="220" spans="2:11" ht="20.100000000000001" customHeight="1" thickBot="1">
      <c r="B220" s="126" t="s">
        <v>690</v>
      </c>
      <c r="C220" s="123">
        <f>SUM(C214:C219)</f>
        <v>528026</v>
      </c>
      <c r="D220" s="123">
        <f t="shared" ref="D220:K220" si="18">SUM(D214:D219)</f>
        <v>637389</v>
      </c>
      <c r="E220" s="123">
        <f t="shared" si="18"/>
        <v>329845</v>
      </c>
      <c r="F220" s="123">
        <f t="shared" si="18"/>
        <v>390549</v>
      </c>
      <c r="G220" s="123">
        <f t="shared" si="18"/>
        <v>237311</v>
      </c>
      <c r="H220" s="123">
        <f t="shared" si="18"/>
        <v>166978</v>
      </c>
      <c r="I220" s="123">
        <f t="shared" si="18"/>
        <v>166546</v>
      </c>
      <c r="J220" s="123">
        <f t="shared" si="18"/>
        <v>170812</v>
      </c>
      <c r="K220" s="123">
        <f t="shared" si="18"/>
        <v>191123</v>
      </c>
    </row>
    <row r="221" spans="2:11" ht="7.5" customHeight="1">
      <c r="B221" s="1"/>
      <c r="C221" s="2"/>
      <c r="D221" s="2"/>
      <c r="E221" s="2"/>
      <c r="F221" s="2"/>
      <c r="G221" s="2"/>
      <c r="H221" s="2"/>
      <c r="I221" s="2"/>
      <c r="J221" s="2"/>
      <c r="K221" s="2"/>
    </row>
    <row r="222" spans="2:11">
      <c r="B222" s="127" t="s">
        <v>870</v>
      </c>
      <c r="C222" s="2"/>
      <c r="D222" s="2"/>
      <c r="E222" s="2"/>
      <c r="F222" s="2"/>
      <c r="G222" s="2"/>
      <c r="H222" s="2"/>
      <c r="I222" s="2"/>
      <c r="J222" s="2"/>
      <c r="K222" s="2"/>
    </row>
    <row r="223" spans="2:11" ht="20.100000000000001" customHeight="1">
      <c r="B223" s="386" t="s">
        <v>693</v>
      </c>
      <c r="C223" s="2">
        <f>SUM('Budget Detail FY 2016-23'!L474:L476)</f>
        <v>15717</v>
      </c>
      <c r="D223" s="2">
        <f>SUM('Budget Detail FY 2016-23'!M474:M476)</f>
        <v>3460</v>
      </c>
      <c r="E223" s="2">
        <f>SUM('Budget Detail FY 2016-23'!N474:N476)</f>
        <v>8000</v>
      </c>
      <c r="F223" s="2">
        <f>SUM('Budget Detail FY 2016-23'!O474:O476)</f>
        <v>8570</v>
      </c>
      <c r="G223" s="2">
        <f>SUM('Budget Detail FY 2016-23'!P474:P476)</f>
        <v>8750</v>
      </c>
      <c r="H223" s="2">
        <f>SUM('Budget Detail FY 2016-23'!Q474:Q476)</f>
        <v>8750</v>
      </c>
      <c r="I223" s="2">
        <f>SUM('Budget Detail FY 2016-23'!R474:R476)</f>
        <v>8750</v>
      </c>
      <c r="J223" s="2">
        <f>SUM('Budget Detail FY 2016-23'!S474:S476)</f>
        <v>8750</v>
      </c>
      <c r="K223" s="2">
        <f>SUM('Budget Detail FY 2016-23'!T474:T476)</f>
        <v>8750</v>
      </c>
    </row>
    <row r="224" spans="2:11" ht="20.100000000000001" customHeight="1">
      <c r="B224" s="386" t="s">
        <v>695</v>
      </c>
      <c r="C224" s="2">
        <f>SUM('Budget Detail FY 2016-23'!L477:L478)</f>
        <v>197119</v>
      </c>
      <c r="D224" s="2">
        <f>SUM('Budget Detail FY 2016-23'!M477:M478)</f>
        <v>141832</v>
      </c>
      <c r="E224" s="2">
        <f>SUM('Budget Detail FY 2016-23'!N477:N478)</f>
        <v>192300</v>
      </c>
      <c r="F224" s="2">
        <f>SUM('Budget Detail FY 2016-23'!O477:O478)</f>
        <v>181786</v>
      </c>
      <c r="G224" s="2">
        <f>SUM('Budget Detail FY 2016-23'!P477:P478)</f>
        <v>60000</v>
      </c>
      <c r="H224" s="2">
        <f>SUM('Budget Detail FY 2016-23'!Q477:Q478)</f>
        <v>60000</v>
      </c>
      <c r="I224" s="2">
        <f>SUM('Budget Detail FY 2016-23'!R477:R478)</f>
        <v>55000</v>
      </c>
      <c r="J224" s="2">
        <f>SUM('Budget Detail FY 2016-23'!S477:S478)</f>
        <v>55000</v>
      </c>
      <c r="K224" s="2">
        <f>SUM('Budget Detail FY 2016-23'!T477:T478)</f>
        <v>55000</v>
      </c>
    </row>
    <row r="225" spans="2:11" ht="20.100000000000001" customHeight="1" thickBot="1">
      <c r="B225" s="126" t="s">
        <v>875</v>
      </c>
      <c r="C225" s="140">
        <f t="shared" ref="C225:K225" si="19">SUM(C223:C224)</f>
        <v>212836</v>
      </c>
      <c r="D225" s="140">
        <f t="shared" si="19"/>
        <v>145292</v>
      </c>
      <c r="E225" s="140">
        <f t="shared" si="19"/>
        <v>200300</v>
      </c>
      <c r="F225" s="140">
        <f t="shared" si="19"/>
        <v>190356</v>
      </c>
      <c r="G225" s="140">
        <f t="shared" si="19"/>
        <v>68750</v>
      </c>
      <c r="H225" s="140">
        <f t="shared" si="19"/>
        <v>68750</v>
      </c>
      <c r="I225" s="140">
        <f t="shared" si="19"/>
        <v>63750</v>
      </c>
      <c r="J225" s="140">
        <f t="shared" si="19"/>
        <v>63750</v>
      </c>
      <c r="K225" s="140">
        <f t="shared" si="19"/>
        <v>63750</v>
      </c>
    </row>
    <row r="226" spans="2:11" ht="7.5" customHeight="1">
      <c r="B226" s="129"/>
      <c r="C226" s="4"/>
      <c r="D226" s="4"/>
      <c r="E226" s="4"/>
      <c r="F226" s="4"/>
      <c r="G226" s="4"/>
      <c r="H226" s="4"/>
      <c r="I226" s="4"/>
      <c r="J226" s="4"/>
      <c r="K226" s="4"/>
    </row>
    <row r="227" spans="2:11">
      <c r="B227" s="127" t="s">
        <v>1393</v>
      </c>
      <c r="C227" s="2"/>
      <c r="D227" s="2"/>
      <c r="E227" s="2"/>
      <c r="F227" s="2"/>
      <c r="G227" s="2"/>
      <c r="H227" s="2"/>
      <c r="I227" s="2"/>
      <c r="J227" s="2"/>
      <c r="K227" s="2"/>
    </row>
    <row r="228" spans="2:11" ht="20.100000000000001" customHeight="1">
      <c r="B228" s="386" t="s">
        <v>694</v>
      </c>
      <c r="C228" s="2">
        <f>'Budget Detail FY 2016-23'!L482</f>
        <v>0</v>
      </c>
      <c r="D228" s="2">
        <f>'Budget Detail FY 2016-23'!M482</f>
        <v>0</v>
      </c>
      <c r="E228" s="2">
        <f>'Budget Detail FY 2016-23'!N482</f>
        <v>0</v>
      </c>
      <c r="F228" s="2">
        <f>'Budget Detail FY 2016-23'!O482</f>
        <v>0</v>
      </c>
      <c r="G228" s="2">
        <f>'Budget Detail FY 2016-23'!P482</f>
        <v>34411</v>
      </c>
      <c r="H228" s="2">
        <f>'Budget Detail FY 2016-23'!Q482</f>
        <v>11578</v>
      </c>
      <c r="I228" s="2">
        <f>'Budget Detail FY 2016-23'!R482</f>
        <v>16146</v>
      </c>
      <c r="J228" s="2">
        <f>'Budget Detail FY 2016-23'!S482</f>
        <v>20412</v>
      </c>
      <c r="K228" s="2">
        <f>'Budget Detail FY 2016-23'!T482</f>
        <v>37897</v>
      </c>
    </row>
    <row r="229" spans="2:11" ht="20.100000000000001" customHeight="1">
      <c r="B229" s="386" t="s">
        <v>695</v>
      </c>
      <c r="C229" s="2">
        <f>'Budget Detail FY 2016-23'!L483</f>
        <v>0</v>
      </c>
      <c r="D229" s="2">
        <f>'Budget Detail FY 2016-23'!M483</f>
        <v>0</v>
      </c>
      <c r="E229" s="2">
        <f>'Budget Detail FY 2016-23'!N483</f>
        <v>0</v>
      </c>
      <c r="F229" s="2">
        <f>'Budget Detail FY 2016-23'!O483</f>
        <v>0</v>
      </c>
      <c r="G229" s="2">
        <f>'Budget Detail FY 2016-23'!P483</f>
        <v>40000</v>
      </c>
      <c r="H229" s="2">
        <f>'Budget Detail FY 2016-23'!Q483</f>
        <v>0</v>
      </c>
      <c r="I229" s="2">
        <f>'Budget Detail FY 2016-23'!R483</f>
        <v>0</v>
      </c>
      <c r="J229" s="2">
        <f>'Budget Detail FY 2016-23'!S483</f>
        <v>0</v>
      </c>
      <c r="K229" s="2">
        <f>'Budget Detail FY 2016-23'!T483</f>
        <v>0</v>
      </c>
    </row>
    <row r="230" spans="2:11" ht="20.100000000000001" customHeight="1" thickBot="1">
      <c r="B230" s="126" t="s">
        <v>875</v>
      </c>
      <c r="C230" s="140">
        <f>SUM(C228:C229)</f>
        <v>0</v>
      </c>
      <c r="D230" s="140">
        <f t="shared" ref="D230:K230" si="20">SUM(D228:D229)</f>
        <v>0</v>
      </c>
      <c r="E230" s="140">
        <f t="shared" si="20"/>
        <v>0</v>
      </c>
      <c r="F230" s="140">
        <f t="shared" si="20"/>
        <v>0</v>
      </c>
      <c r="G230" s="140">
        <f t="shared" si="20"/>
        <v>74411</v>
      </c>
      <c r="H230" s="140">
        <f t="shared" si="20"/>
        <v>11578</v>
      </c>
      <c r="I230" s="140">
        <f t="shared" si="20"/>
        <v>16146</v>
      </c>
      <c r="J230" s="140">
        <f t="shared" si="20"/>
        <v>20412</v>
      </c>
      <c r="K230" s="140">
        <f t="shared" si="20"/>
        <v>37897</v>
      </c>
    </row>
    <row r="231" spans="2:11" ht="7.5" customHeight="1">
      <c r="B231" s="129"/>
      <c r="C231" s="4"/>
      <c r="D231" s="4"/>
      <c r="E231" s="4"/>
      <c r="F231" s="4"/>
      <c r="G231" s="4"/>
      <c r="H231" s="4"/>
      <c r="I231" s="4"/>
      <c r="J231" s="4"/>
      <c r="K231" s="4"/>
    </row>
    <row r="232" spans="2:11">
      <c r="B232" s="127" t="s">
        <v>871</v>
      </c>
      <c r="C232" s="2"/>
      <c r="D232" s="2"/>
      <c r="E232" s="2"/>
      <c r="F232" s="2"/>
      <c r="G232" s="2"/>
      <c r="H232" s="2"/>
      <c r="I232" s="2"/>
      <c r="J232" s="2"/>
      <c r="K232" s="2"/>
    </row>
    <row r="233" spans="2:11" ht="20.100000000000001" customHeight="1">
      <c r="B233" s="386" t="s">
        <v>693</v>
      </c>
      <c r="C233" s="2">
        <f>SUM('Budget Detail FY 2016-23'!L487:L489)</f>
        <v>35611</v>
      </c>
      <c r="D233" s="2">
        <f>SUM('Budget Detail FY 2016-23'!M487:M489)</f>
        <v>26244</v>
      </c>
      <c r="E233" s="2">
        <f>SUM('Budget Detail FY 2016-23'!N487:N489)</f>
        <v>1750</v>
      </c>
      <c r="F233" s="2">
        <f>SUM('Budget Detail FY 2016-23'!O487:O489)</f>
        <v>245</v>
      </c>
      <c r="G233" s="2">
        <f>SUM('Budget Detail FY 2016-23'!P487:P489)</f>
        <v>1750</v>
      </c>
      <c r="H233" s="2">
        <f>SUM('Budget Detail FY 2016-23'!Q487:Q489)</f>
        <v>1750</v>
      </c>
      <c r="I233" s="2">
        <f>SUM('Budget Detail FY 2016-23'!R487:R489)</f>
        <v>1750</v>
      </c>
      <c r="J233" s="2">
        <f>SUM('Budget Detail FY 2016-23'!S487:S489)</f>
        <v>1750</v>
      </c>
      <c r="K233" s="2">
        <f>SUM('Budget Detail FY 2016-23'!T487:T489)</f>
        <v>1750</v>
      </c>
    </row>
    <row r="234" spans="2:11" ht="20.100000000000001" customHeight="1">
      <c r="B234" s="386" t="s">
        <v>694</v>
      </c>
      <c r="C234" s="2">
        <f>'Budget Detail FY 2016-23'!L490</f>
        <v>0</v>
      </c>
      <c r="D234" s="2">
        <f>'Budget Detail FY 2016-23'!M490</f>
        <v>0</v>
      </c>
      <c r="E234" s="2">
        <f>'Budget Detail FY 2016-23'!N490</f>
        <v>2000</v>
      </c>
      <c r="F234" s="2">
        <f>'Budget Detail FY 2016-23'!O490</f>
        <v>1583</v>
      </c>
      <c r="G234" s="2">
        <f>'Budget Detail FY 2016-23'!P490</f>
        <v>2000</v>
      </c>
      <c r="H234" s="2">
        <f>'Budget Detail FY 2016-23'!Q490</f>
        <v>2000</v>
      </c>
      <c r="I234" s="2">
        <f>'Budget Detail FY 2016-23'!R490</f>
        <v>2000</v>
      </c>
      <c r="J234" s="2">
        <f>'Budget Detail FY 2016-23'!S490</f>
        <v>2000</v>
      </c>
      <c r="K234" s="2">
        <f>'Budget Detail FY 2016-23'!T490</f>
        <v>2000</v>
      </c>
    </row>
    <row r="235" spans="2:11" ht="20.100000000000001" customHeight="1">
      <c r="B235" s="386" t="s">
        <v>695</v>
      </c>
      <c r="C235" s="2">
        <f>SUM('Budget Detail FY 2016-23'!L491:L492)</f>
        <v>184891</v>
      </c>
      <c r="D235" s="2">
        <f>SUM('Budget Detail FY 2016-23'!M491:M492)</f>
        <v>68522</v>
      </c>
      <c r="E235" s="2">
        <f>SUM('Budget Detail FY 2016-23'!N491:N492)</f>
        <v>52400</v>
      </c>
      <c r="F235" s="2">
        <f>SUM('Budget Detail FY 2016-23'!O491:O492)</f>
        <v>52400</v>
      </c>
      <c r="G235" s="2">
        <f>SUM('Budget Detail FY 2016-23'!P491:P492)</f>
        <v>7000</v>
      </c>
      <c r="H235" s="2">
        <f>SUM('Budget Detail FY 2016-23'!Q491:Q492)</f>
        <v>7000</v>
      </c>
      <c r="I235" s="2">
        <f>SUM('Budget Detail FY 2016-23'!R491:R492)</f>
        <v>7000</v>
      </c>
      <c r="J235" s="2">
        <f>SUM('Budget Detail FY 2016-23'!S491:S492)</f>
        <v>7000</v>
      </c>
      <c r="K235" s="2">
        <f>SUM('Budget Detail FY 2016-23'!T491:T492)</f>
        <v>14000</v>
      </c>
    </row>
    <row r="236" spans="2:11" ht="20.100000000000001" customHeight="1">
      <c r="B236" s="386" t="s">
        <v>626</v>
      </c>
      <c r="C236" s="2">
        <f>SUM('Budget Detail FY 2016-23'!L494:L495)</f>
        <v>70815</v>
      </c>
      <c r="D236" s="2">
        <f>SUM('Budget Detail FY 2016-23'!M494:M495)</f>
        <v>70815</v>
      </c>
      <c r="E236" s="2">
        <f>SUM('Budget Detail FY 2016-23'!N494:N495)</f>
        <v>70815</v>
      </c>
      <c r="F236" s="2">
        <f>SUM('Budget Detail FY 2016-23'!O494:O495)</f>
        <v>70815</v>
      </c>
      <c r="G236" s="2">
        <f>SUM('Budget Detail FY 2016-23'!P494:P495)</f>
        <v>70815</v>
      </c>
      <c r="H236" s="2">
        <f>SUM('Budget Detail FY 2016-23'!Q494:Q495)</f>
        <v>70815</v>
      </c>
      <c r="I236" s="2">
        <f>SUM('Budget Detail FY 2016-23'!R494:R495)</f>
        <v>70815</v>
      </c>
      <c r="J236" s="2">
        <f>SUM('Budget Detail FY 2016-23'!S494:S495)</f>
        <v>70816</v>
      </c>
      <c r="K236" s="2">
        <f>SUM('Budget Detail FY 2016-23'!T494:T495)</f>
        <v>70815</v>
      </c>
    </row>
    <row r="237" spans="2:11" ht="20.100000000000001" customHeight="1" thickBot="1">
      <c r="B237" s="126" t="s">
        <v>875</v>
      </c>
      <c r="C237" s="140">
        <f>SUM(C233:C236)</f>
        <v>291317</v>
      </c>
      <c r="D237" s="140">
        <f t="shared" ref="D237:K237" si="21">SUM(D233:D236)</f>
        <v>165581</v>
      </c>
      <c r="E237" s="140">
        <f t="shared" si="21"/>
        <v>126965</v>
      </c>
      <c r="F237" s="140">
        <f t="shared" si="21"/>
        <v>125043</v>
      </c>
      <c r="G237" s="140">
        <f t="shared" si="21"/>
        <v>81565</v>
      </c>
      <c r="H237" s="140">
        <f t="shared" si="21"/>
        <v>81565</v>
      </c>
      <c r="I237" s="140">
        <f t="shared" si="21"/>
        <v>81565</v>
      </c>
      <c r="J237" s="140">
        <f t="shared" si="21"/>
        <v>81566</v>
      </c>
      <c r="K237" s="140">
        <f t="shared" si="21"/>
        <v>88565</v>
      </c>
    </row>
    <row r="238" spans="2:11" ht="7.5" customHeight="1">
      <c r="B238" s="129"/>
      <c r="C238" s="4"/>
      <c r="D238" s="4"/>
      <c r="E238" s="4"/>
      <c r="F238" s="4"/>
      <c r="G238" s="4"/>
      <c r="H238" s="4"/>
      <c r="I238" s="4"/>
      <c r="J238" s="4"/>
      <c r="K238" s="4"/>
    </row>
    <row r="239" spans="2:11">
      <c r="B239" s="127" t="s">
        <v>1010</v>
      </c>
      <c r="C239" s="2"/>
      <c r="D239" s="2"/>
      <c r="E239" s="2"/>
      <c r="F239" s="2"/>
      <c r="G239" s="2"/>
      <c r="H239" s="2"/>
      <c r="I239" s="2"/>
      <c r="J239" s="2"/>
      <c r="K239" s="2"/>
    </row>
    <row r="240" spans="2:11" ht="20.100000000000001" customHeight="1">
      <c r="B240" s="386" t="s">
        <v>693</v>
      </c>
      <c r="C240" s="2">
        <f>'Budget Detail FY 2016-23'!L499+'Budget Detail FY 2016-23'!L500+'Budget Detail FY 2016-23'!L501</f>
        <v>1225</v>
      </c>
      <c r="D240" s="2">
        <f>'Budget Detail FY 2016-23'!M499+'Budget Detail FY 2016-23'!M500+'Budget Detail FY 2016-23'!M501</f>
        <v>1822</v>
      </c>
      <c r="E240" s="2">
        <f>'Budget Detail FY 2016-23'!N499+'Budget Detail FY 2016-23'!N500+'Budget Detail FY 2016-23'!N501</f>
        <v>0</v>
      </c>
      <c r="F240" s="2">
        <f>'Budget Detail FY 2016-23'!O499+'Budget Detail FY 2016-23'!O500+'Budget Detail FY 2016-23'!O501</f>
        <v>0</v>
      </c>
      <c r="G240" s="2">
        <f>'Budget Detail FY 2016-23'!P499+'Budget Detail FY 2016-23'!P500+'Budget Detail FY 2016-23'!P501</f>
        <v>0</v>
      </c>
      <c r="H240" s="2">
        <f>'Budget Detail FY 2016-23'!Q499+'Budget Detail FY 2016-23'!Q500+'Budget Detail FY 2016-23'!Q501</f>
        <v>0</v>
      </c>
      <c r="I240" s="2">
        <f>'Budget Detail FY 2016-23'!R499+'Budget Detail FY 2016-23'!R500+'Budget Detail FY 2016-23'!R501</f>
        <v>0</v>
      </c>
      <c r="J240" s="2">
        <f>'Budget Detail FY 2016-23'!S499+'Budget Detail FY 2016-23'!S500+'Budget Detail FY 2016-23'!S501</f>
        <v>0</v>
      </c>
      <c r="K240" s="2">
        <f>'Budget Detail FY 2016-23'!T499+'Budget Detail FY 2016-23'!T500+'Budget Detail FY 2016-23'!T501</f>
        <v>0</v>
      </c>
    </row>
    <row r="241" spans="2:11" ht="20.100000000000001" customHeight="1">
      <c r="B241" s="386" t="s">
        <v>695</v>
      </c>
      <c r="C241" s="2">
        <f>SUM('Budget Detail FY 2016-23'!L502:L505)</f>
        <v>124165</v>
      </c>
      <c r="D241" s="2">
        <f>SUM('Budget Detail FY 2016-23'!M502:M505)</f>
        <v>53908</v>
      </c>
      <c r="E241" s="2">
        <f>SUM('Budget Detail FY 2016-23'!N502:N505)</f>
        <v>270441</v>
      </c>
      <c r="F241" s="2">
        <f>SUM('Budget Detail FY 2016-23'!O502:O505)</f>
        <v>39903</v>
      </c>
      <c r="G241" s="2">
        <f>SUM('Budget Detail FY 2016-23'!P502:P505)</f>
        <v>50000</v>
      </c>
      <c r="H241" s="2">
        <f>SUM('Budget Detail FY 2016-23'!Q502:Q505)</f>
        <v>0</v>
      </c>
      <c r="I241" s="2">
        <f>SUM('Budget Detail FY 2016-23'!R502:R505)</f>
        <v>0</v>
      </c>
      <c r="J241" s="2">
        <f>SUM('Budget Detail FY 2016-23'!S502:S505)</f>
        <v>0</v>
      </c>
      <c r="K241" s="2">
        <f>SUM('Budget Detail FY 2016-23'!T502:T505)</f>
        <v>0</v>
      </c>
    </row>
    <row r="242" spans="2:11" ht="20.100000000000001" customHeight="1">
      <c r="B242" s="386" t="s">
        <v>626</v>
      </c>
      <c r="C242" s="2">
        <f>SUM('Budget Detail FY 2016-23'!L507:L508)</f>
        <v>2219</v>
      </c>
      <c r="D242" s="2">
        <f>SUM('Budget Detail FY 2016-23'!M507:M508)</f>
        <v>2219</v>
      </c>
      <c r="E242" s="2">
        <f>SUM('Budget Detail FY 2016-23'!N507:N508)</f>
        <v>2219</v>
      </c>
      <c r="F242" s="2">
        <f>SUM('Budget Detail FY 2016-23'!O507:O508)</f>
        <v>2219</v>
      </c>
      <c r="G242" s="2">
        <f>SUM('Budget Detail FY 2016-23'!P507:P508)</f>
        <v>2219</v>
      </c>
      <c r="H242" s="2">
        <f>SUM('Budget Detail FY 2016-23'!Q507:Q508)</f>
        <v>2219</v>
      </c>
      <c r="I242" s="2">
        <f>SUM('Budget Detail FY 2016-23'!R507:R508)</f>
        <v>2219</v>
      </c>
      <c r="J242" s="2">
        <f>SUM('Budget Detail FY 2016-23'!S507:S508)</f>
        <v>2218</v>
      </c>
      <c r="K242" s="2">
        <f>SUM('Budget Detail FY 2016-23'!T507:T508)</f>
        <v>2218</v>
      </c>
    </row>
    <row r="243" spans="2:11" ht="20.100000000000001" customHeight="1" thickBot="1">
      <c r="B243" s="126" t="s">
        <v>875</v>
      </c>
      <c r="C243" s="140">
        <f t="shared" ref="C243:K243" si="22">SUM(C240:C242)</f>
        <v>127609</v>
      </c>
      <c r="D243" s="140">
        <f t="shared" si="22"/>
        <v>57949</v>
      </c>
      <c r="E243" s="140">
        <f t="shared" si="22"/>
        <v>272660</v>
      </c>
      <c r="F243" s="140">
        <f t="shared" si="22"/>
        <v>42122</v>
      </c>
      <c r="G243" s="140">
        <f t="shared" si="22"/>
        <v>52219</v>
      </c>
      <c r="H243" s="140">
        <f t="shared" si="22"/>
        <v>2219</v>
      </c>
      <c r="I243" s="140">
        <f t="shared" si="22"/>
        <v>2219</v>
      </c>
      <c r="J243" s="140">
        <f t="shared" si="22"/>
        <v>2218</v>
      </c>
      <c r="K243" s="140">
        <f t="shared" si="22"/>
        <v>2218</v>
      </c>
    </row>
    <row r="244" spans="2:11" ht="7.5" customHeight="1">
      <c r="B244" s="129"/>
      <c r="C244" s="4"/>
      <c r="D244" s="4"/>
      <c r="E244" s="4"/>
      <c r="F244" s="4"/>
      <c r="G244" s="4"/>
      <c r="H244" s="4"/>
      <c r="I244" s="4"/>
      <c r="J244" s="4"/>
      <c r="K244" s="4"/>
    </row>
    <row r="245" spans="2:11" ht="20.100000000000001" customHeight="1" thickBot="1">
      <c r="B245" s="126" t="s">
        <v>697</v>
      </c>
      <c r="C245" s="123">
        <f t="shared" ref="C245:K245" si="23">C225+C237+C243+C230</f>
        <v>631762</v>
      </c>
      <c r="D245" s="123">
        <f t="shared" si="23"/>
        <v>368822</v>
      </c>
      <c r="E245" s="123">
        <f t="shared" si="23"/>
        <v>599925</v>
      </c>
      <c r="F245" s="123">
        <f t="shared" si="23"/>
        <v>357521</v>
      </c>
      <c r="G245" s="123">
        <f t="shared" si="23"/>
        <v>276945</v>
      </c>
      <c r="H245" s="123">
        <f t="shared" si="23"/>
        <v>164112</v>
      </c>
      <c r="I245" s="123">
        <f t="shared" si="23"/>
        <v>163680</v>
      </c>
      <c r="J245" s="123">
        <f t="shared" si="23"/>
        <v>167946</v>
      </c>
      <c r="K245" s="123">
        <f t="shared" si="23"/>
        <v>192430</v>
      </c>
    </row>
    <row r="246" spans="2:11" ht="7.5" customHeight="1">
      <c r="B246" s="129"/>
      <c r="C246" s="4"/>
      <c r="D246" s="4"/>
      <c r="E246" s="4"/>
      <c r="F246" s="4"/>
      <c r="G246" s="4"/>
      <c r="H246" s="4"/>
      <c r="I246" s="4"/>
      <c r="J246" s="4"/>
      <c r="K246" s="4"/>
    </row>
    <row r="247" spans="2:11" ht="20.100000000000001" customHeight="1">
      <c r="B247" s="388" t="s">
        <v>698</v>
      </c>
      <c r="C247" s="3">
        <f t="shared" ref="C247:K247" si="24">C220-C245</f>
        <v>-103736</v>
      </c>
      <c r="D247" s="3">
        <f t="shared" si="24"/>
        <v>268567</v>
      </c>
      <c r="E247" s="3">
        <f t="shared" si="24"/>
        <v>-270080</v>
      </c>
      <c r="F247" s="3">
        <f t="shared" si="24"/>
        <v>33028</v>
      </c>
      <c r="G247" s="3">
        <f t="shared" si="24"/>
        <v>-39634</v>
      </c>
      <c r="H247" s="3">
        <f t="shared" si="24"/>
        <v>2866</v>
      </c>
      <c r="I247" s="3">
        <f t="shared" si="24"/>
        <v>2866</v>
      </c>
      <c r="J247" s="3">
        <f t="shared" si="24"/>
        <v>2866</v>
      </c>
      <c r="K247" s="3">
        <f t="shared" si="24"/>
        <v>-1307</v>
      </c>
    </row>
    <row r="248" spans="2:11" ht="7.5" customHeight="1">
      <c r="B248" s="138"/>
      <c r="C248" s="107"/>
      <c r="D248" s="107"/>
      <c r="E248" s="107"/>
      <c r="F248" s="107"/>
      <c r="G248" s="107"/>
      <c r="H248" s="107"/>
      <c r="I248" s="107"/>
      <c r="J248" s="107"/>
      <c r="K248" s="107"/>
    </row>
    <row r="249" spans="2:11">
      <c r="B249" s="139" t="s">
        <v>872</v>
      </c>
      <c r="C249" s="94">
        <v>0</v>
      </c>
      <c r="D249" s="94">
        <v>0</v>
      </c>
      <c r="E249" s="94">
        <v>0</v>
      </c>
      <c r="F249" s="94">
        <f>'Budget Detail FY 2016-23'!O515</f>
        <v>0</v>
      </c>
      <c r="G249" s="94">
        <f>'Budget Detail FY 2016-23'!P515</f>
        <v>0</v>
      </c>
      <c r="H249" s="94">
        <f>'Budget Detail FY 2016-23'!Q515</f>
        <v>0</v>
      </c>
      <c r="I249" s="94">
        <f>'Budget Detail FY 2016-23'!R515</f>
        <v>0</v>
      </c>
      <c r="J249" s="94">
        <f>'Budget Detail FY 2016-23'!S515</f>
        <v>0</v>
      </c>
      <c r="K249" s="94">
        <f>'Budget Detail FY 2016-23'!T515</f>
        <v>0</v>
      </c>
    </row>
    <row r="250" spans="2:11" ht="7.5" customHeight="1">
      <c r="B250" s="139"/>
      <c r="C250" s="94"/>
      <c r="D250" s="94"/>
      <c r="E250" s="94"/>
      <c r="F250" s="94"/>
      <c r="G250" s="94"/>
      <c r="H250" s="94"/>
      <c r="I250" s="94"/>
      <c r="J250" s="94"/>
      <c r="K250" s="94"/>
    </row>
    <row r="251" spans="2:11">
      <c r="B251" s="139" t="s">
        <v>1392</v>
      </c>
      <c r="C251" s="94">
        <f>'Budget Detail FY 2016-23'!L517</f>
        <v>0</v>
      </c>
      <c r="D251" s="94">
        <f>'Budget Detail FY 2016-23'!M517</f>
        <v>0</v>
      </c>
      <c r="E251" s="94">
        <f>'Budget Detail FY 2016-23'!N517</f>
        <v>0</v>
      </c>
      <c r="F251" s="94">
        <f>'Budget Detail FY 2016-23'!O517</f>
        <v>0</v>
      </c>
      <c r="G251" s="94">
        <f>'Budget Detail FY 2016-23'!P517</f>
        <v>0</v>
      </c>
      <c r="H251" s="94">
        <f>'Budget Detail FY 2016-23'!Q517</f>
        <v>0</v>
      </c>
      <c r="I251" s="94">
        <f>'Budget Detail FY 2016-23'!R517</f>
        <v>0</v>
      </c>
      <c r="J251" s="94">
        <f>'Budget Detail FY 2016-23'!S517</f>
        <v>0</v>
      </c>
      <c r="K251" s="94">
        <f>'Budget Detail FY 2016-23'!T517</f>
        <v>0</v>
      </c>
    </row>
    <row r="252" spans="2:11">
      <c r="B252" s="139" t="s">
        <v>873</v>
      </c>
      <c r="C252" s="94">
        <v>0</v>
      </c>
      <c r="D252" s="94">
        <v>0</v>
      </c>
      <c r="E252" s="94">
        <v>0</v>
      </c>
      <c r="F252" s="94">
        <f>'Budget Detail FY 2016-23'!O519</f>
        <v>0</v>
      </c>
      <c r="G252" s="94">
        <f>'Budget Detail FY 2016-23'!P519</f>
        <v>6435</v>
      </c>
      <c r="H252" s="94">
        <f>'Budget Detail FY 2016-23'!Q519</f>
        <v>5870</v>
      </c>
      <c r="I252" s="94">
        <f>'Budget Detail FY 2016-23'!R519</f>
        <v>5305</v>
      </c>
      <c r="J252" s="94">
        <f>'Budget Detail FY 2016-23'!S519</f>
        <v>4739</v>
      </c>
      <c r="K252" s="94">
        <f>'Budget Detail FY 2016-23'!T519</f>
        <v>0</v>
      </c>
    </row>
    <row r="253" spans="2:11" ht="7.5" customHeight="1">
      <c r="B253" s="139"/>
      <c r="C253" s="94"/>
      <c r="D253" s="94"/>
      <c r="E253" s="94"/>
      <c r="F253" s="94"/>
      <c r="G253" s="94"/>
      <c r="H253" s="94"/>
      <c r="I253" s="94"/>
      <c r="J253" s="94"/>
      <c r="K253" s="94"/>
    </row>
    <row r="254" spans="2:11">
      <c r="B254" s="139" t="s">
        <v>1011</v>
      </c>
      <c r="C254" s="94">
        <v>1841</v>
      </c>
      <c r="D254" s="94">
        <v>270407</v>
      </c>
      <c r="E254" s="94">
        <v>0</v>
      </c>
      <c r="F254" s="94">
        <f>'Budget Detail FY 2016-23'!O521</f>
        <v>303435</v>
      </c>
      <c r="G254" s="94">
        <f>'Budget Detail FY 2016-23'!P521</f>
        <v>257366</v>
      </c>
      <c r="H254" s="94">
        <f>'Budget Detail FY 2016-23'!Q521</f>
        <v>260797</v>
      </c>
      <c r="I254" s="94">
        <f>'Budget Detail FY 2016-23'!R521</f>
        <v>264228</v>
      </c>
      <c r="J254" s="94">
        <f>'Budget Detail FY 2016-23'!S521</f>
        <v>267660</v>
      </c>
      <c r="K254" s="94">
        <f>'Budget Detail FY 2016-23'!T521</f>
        <v>271092</v>
      </c>
    </row>
    <row r="255" spans="2:11" ht="7.5" customHeight="1">
      <c r="B255" s="139"/>
      <c r="C255" s="94"/>
      <c r="D255" s="94"/>
      <c r="E255" s="94"/>
      <c r="F255" s="94"/>
      <c r="G255" s="94"/>
      <c r="H255" s="94"/>
      <c r="I255" s="94"/>
      <c r="J255" s="94"/>
      <c r="K255" s="94"/>
    </row>
    <row r="256" spans="2:11" ht="15.75" customHeight="1" thickBot="1">
      <c r="B256" s="125" t="s">
        <v>699</v>
      </c>
      <c r="C256" s="80">
        <v>1841</v>
      </c>
      <c r="D256" s="80">
        <v>270407</v>
      </c>
      <c r="E256" s="80">
        <v>0</v>
      </c>
      <c r="F256" s="80">
        <f>D256+F247</f>
        <v>303435</v>
      </c>
      <c r="G256" s="80">
        <f>F256+G247</f>
        <v>263801</v>
      </c>
      <c r="H256" s="80">
        <f>G256+H247</f>
        <v>266667</v>
      </c>
      <c r="I256" s="80">
        <f>H256+I247</f>
        <v>269533</v>
      </c>
      <c r="J256" s="80">
        <f>I256+J247</f>
        <v>272399</v>
      </c>
      <c r="K256" s="80">
        <f>J256+K247</f>
        <v>271092</v>
      </c>
    </row>
    <row r="257" spans="2:11" ht="7.5" customHeight="1" thickTop="1">
      <c r="B257" s="131"/>
      <c r="C257" s="3"/>
      <c r="D257" s="3"/>
      <c r="E257" s="3"/>
      <c r="F257" s="2"/>
      <c r="G257" s="2"/>
      <c r="H257" s="2"/>
      <c r="I257" s="2"/>
      <c r="J257" s="2"/>
      <c r="K257" s="2"/>
    </row>
    <row r="258" spans="2:11">
      <c r="B258" s="131"/>
      <c r="C258" s="2"/>
      <c r="D258" s="2"/>
      <c r="E258" s="2"/>
      <c r="F258" s="2"/>
      <c r="G258" s="2"/>
      <c r="H258" s="2"/>
      <c r="I258" s="2"/>
      <c r="J258" s="2"/>
      <c r="K258" s="2"/>
    </row>
    <row r="259" spans="2:11">
      <c r="B259" s="1"/>
      <c r="C259" s="2"/>
      <c r="D259" s="2"/>
      <c r="E259" s="2"/>
      <c r="F259" s="2"/>
      <c r="G259" s="2"/>
      <c r="H259" s="2"/>
      <c r="I259" s="2"/>
      <c r="J259" s="2"/>
      <c r="K259" s="2"/>
    </row>
    <row r="260" spans="2:11">
      <c r="B260" s="1"/>
      <c r="C260" s="2"/>
      <c r="D260" s="2"/>
      <c r="E260" s="2"/>
      <c r="F260" s="2"/>
      <c r="G260" s="2"/>
      <c r="H260" s="2"/>
      <c r="I260" s="2"/>
      <c r="J260" s="2"/>
      <c r="K260" s="2"/>
    </row>
    <row r="261" spans="2:11">
      <c r="B261" s="1"/>
      <c r="C261" s="2"/>
      <c r="D261" s="2"/>
      <c r="E261" s="2"/>
      <c r="F261" s="2"/>
      <c r="G261" s="2"/>
      <c r="H261" s="2"/>
      <c r="I261" s="2"/>
      <c r="J261" s="2"/>
      <c r="K261" s="2"/>
    </row>
    <row r="262" spans="2:11">
      <c r="B262" s="1"/>
      <c r="C262" s="2"/>
      <c r="D262" s="2"/>
      <c r="E262" s="2"/>
      <c r="F262" s="2"/>
      <c r="G262" s="2"/>
      <c r="H262" s="2"/>
      <c r="I262" s="2"/>
      <c r="J262" s="2"/>
      <c r="K262" s="2"/>
    </row>
    <row r="263" spans="2:11">
      <c r="B263" s="1"/>
      <c r="C263" s="2"/>
      <c r="D263" s="2"/>
      <c r="E263" s="2"/>
      <c r="F263" s="2"/>
      <c r="G263" s="2"/>
      <c r="H263" s="2"/>
      <c r="I263" s="2"/>
      <c r="J263" s="2"/>
      <c r="K263" s="2"/>
    </row>
    <row r="264" spans="2:11">
      <c r="B264" s="1"/>
      <c r="C264" s="2"/>
      <c r="D264" s="2"/>
      <c r="E264" s="2"/>
      <c r="F264" s="2"/>
      <c r="G264" s="2"/>
      <c r="H264" s="2"/>
      <c r="I264" s="2"/>
      <c r="J264" s="2"/>
      <c r="K264" s="2"/>
    </row>
    <row r="265" spans="2:11">
      <c r="B265" s="1"/>
      <c r="C265" s="2"/>
      <c r="D265" s="2"/>
      <c r="E265" s="2"/>
      <c r="F265" s="2"/>
      <c r="G265" s="2"/>
      <c r="H265" s="2"/>
      <c r="I265" s="2"/>
      <c r="J265" s="2"/>
      <c r="K265" s="2"/>
    </row>
    <row r="266" spans="2:11">
      <c r="B266" s="1"/>
      <c r="C266" s="2"/>
      <c r="D266" s="2"/>
      <c r="E266" s="2"/>
      <c r="F266" s="2"/>
      <c r="G266" s="2"/>
      <c r="H266" s="2"/>
      <c r="I266" s="2"/>
      <c r="J266" s="2"/>
      <c r="K266" s="2"/>
    </row>
    <row r="267" spans="2:11">
      <c r="B267" s="1"/>
      <c r="C267" s="2"/>
      <c r="D267" s="2"/>
      <c r="E267" s="2"/>
      <c r="F267" s="2"/>
      <c r="G267" s="2"/>
      <c r="H267" s="2"/>
      <c r="I267" s="2"/>
      <c r="J267" s="2"/>
      <c r="K267" s="2"/>
    </row>
    <row r="268" spans="2:11">
      <c r="B268" s="1"/>
      <c r="C268" s="2"/>
      <c r="D268" s="2"/>
      <c r="E268" s="2"/>
      <c r="F268" s="2"/>
      <c r="G268" s="2"/>
      <c r="H268" s="2"/>
      <c r="I268" s="2"/>
      <c r="J268" s="2"/>
      <c r="K268" s="2"/>
    </row>
    <row r="270" spans="2:11">
      <c r="B270" s="895" t="s">
        <v>706</v>
      </c>
      <c r="C270" s="895"/>
      <c r="D270" s="895"/>
      <c r="E270" s="895"/>
      <c r="F270" s="895"/>
      <c r="G270" s="895"/>
      <c r="H270" s="895"/>
      <c r="I270" s="895"/>
      <c r="J270" s="895"/>
      <c r="K270" s="895"/>
    </row>
    <row r="271" spans="2:11">
      <c r="B271" s="64"/>
      <c r="C271" s="3"/>
      <c r="D271" s="2"/>
      <c r="E271" s="2"/>
      <c r="F271" s="2"/>
      <c r="G271" s="2"/>
      <c r="H271" s="2"/>
      <c r="I271" s="2"/>
      <c r="J271" s="2"/>
      <c r="K271" s="2"/>
    </row>
    <row r="272" spans="2:11" ht="12.75" customHeight="1">
      <c r="B272" s="886" t="s">
        <v>1115</v>
      </c>
      <c r="C272" s="886"/>
      <c r="D272" s="886"/>
      <c r="E272" s="886"/>
      <c r="F272" s="886"/>
      <c r="G272" s="886"/>
      <c r="H272" s="886"/>
      <c r="I272" s="886"/>
      <c r="J272" s="886"/>
      <c r="K272" s="886"/>
    </row>
    <row r="273" spans="2:11" ht="20.25" customHeight="1">
      <c r="B273" s="886"/>
      <c r="C273" s="886"/>
      <c r="D273" s="886"/>
      <c r="E273" s="886"/>
      <c r="F273" s="886"/>
      <c r="G273" s="886"/>
      <c r="H273" s="886"/>
      <c r="I273" s="886"/>
      <c r="J273" s="886"/>
      <c r="K273" s="886"/>
    </row>
    <row r="274" spans="2:11">
      <c r="B274" s="418"/>
      <c r="C274" s="21"/>
      <c r="D274" s="21"/>
      <c r="E274" s="21"/>
      <c r="F274" s="21"/>
      <c r="G274" s="21"/>
      <c r="H274" s="21"/>
      <c r="I274" s="21"/>
      <c r="J274" s="21"/>
      <c r="K274" s="21"/>
    </row>
    <row r="275" spans="2:11">
      <c r="B275" s="5"/>
      <c r="C275" s="64"/>
      <c r="D275" s="65"/>
      <c r="E275" s="65" t="s">
        <v>834</v>
      </c>
      <c r="F275" s="1"/>
      <c r="G275" s="1"/>
      <c r="H275" s="1"/>
      <c r="I275" s="1"/>
      <c r="J275" s="1"/>
      <c r="K275" s="1"/>
    </row>
    <row r="276" spans="2:11">
      <c r="B276" s="65"/>
      <c r="C276" s="64" t="s">
        <v>243</v>
      </c>
      <c r="D276" s="64" t="s">
        <v>244</v>
      </c>
      <c r="E276" s="65" t="s">
        <v>679</v>
      </c>
      <c r="F276" s="65" t="s">
        <v>834</v>
      </c>
      <c r="G276" s="65" t="s">
        <v>915</v>
      </c>
      <c r="H276" s="65" t="s">
        <v>946</v>
      </c>
      <c r="I276" s="65" t="s">
        <v>947</v>
      </c>
      <c r="J276" s="65" t="s">
        <v>948</v>
      </c>
      <c r="K276" s="65" t="s">
        <v>949</v>
      </c>
    </row>
    <row r="277" spans="2:11" ht="15.75" thickBot="1">
      <c r="B277" s="135"/>
      <c r="C277" s="67" t="s">
        <v>1</v>
      </c>
      <c r="D277" s="67" t="s">
        <v>1</v>
      </c>
      <c r="E277" s="67" t="s">
        <v>638</v>
      </c>
      <c r="F277" s="67" t="s">
        <v>19</v>
      </c>
      <c r="G277" s="67" t="s">
        <v>679</v>
      </c>
      <c r="H277" s="67" t="s">
        <v>19</v>
      </c>
      <c r="I277" s="67" t="s">
        <v>19</v>
      </c>
      <c r="J277" s="67" t="s">
        <v>19</v>
      </c>
      <c r="K277" s="67" t="s">
        <v>19</v>
      </c>
    </row>
    <row r="278" spans="2:11">
      <c r="B278" s="63"/>
      <c r="C278" s="136"/>
      <c r="D278" s="2"/>
      <c r="E278" s="2"/>
      <c r="F278" s="2"/>
      <c r="G278" s="2"/>
      <c r="H278" s="2"/>
      <c r="I278" s="2"/>
      <c r="J278" s="2"/>
      <c r="K278" s="2"/>
    </row>
    <row r="279" spans="2:11">
      <c r="B279" s="127" t="s">
        <v>680</v>
      </c>
      <c r="C279" s="2"/>
      <c r="D279" s="2"/>
      <c r="E279" s="2"/>
      <c r="F279" s="2"/>
      <c r="G279" s="2"/>
      <c r="H279" s="2"/>
      <c r="I279" s="2"/>
      <c r="J279" s="2"/>
      <c r="K279" s="2"/>
    </row>
    <row r="280" spans="2:11" ht="20.100000000000001" customHeight="1">
      <c r="B280" s="384" t="s">
        <v>681</v>
      </c>
      <c r="C280" s="2">
        <f>'Budget Detail FY 2016-23'!L528</f>
        <v>164852</v>
      </c>
      <c r="D280" s="2">
        <f>'Budget Detail FY 2016-23'!M528</f>
        <v>47070</v>
      </c>
      <c r="E280" s="2">
        <f>'Budget Detail FY 2016-23'!N528</f>
        <v>0</v>
      </c>
      <c r="F280" s="2">
        <f>'Budget Detail FY 2016-23'!O528</f>
        <v>0</v>
      </c>
      <c r="G280" s="2">
        <f>'Budget Detail FY 2016-23'!P528</f>
        <v>0</v>
      </c>
      <c r="H280" s="2">
        <f>'Budget Detail FY 2016-23'!Q528</f>
        <v>0</v>
      </c>
      <c r="I280" s="2">
        <f>'Budget Detail FY 2016-23'!R528</f>
        <v>0</v>
      </c>
      <c r="J280" s="2">
        <f>'Budget Detail FY 2016-23'!S528</f>
        <v>0</v>
      </c>
      <c r="K280" s="2">
        <f>'Budget Detail FY 2016-23'!T528</f>
        <v>0</v>
      </c>
    </row>
    <row r="281" spans="2:11" ht="20.100000000000001" customHeight="1">
      <c r="B281" s="384" t="s">
        <v>683</v>
      </c>
      <c r="C281" s="2">
        <f>'Budget Detail FY 2016-23'!L529+'Budget Detail FY 2016-23'!L530+'Budget Detail FY 2016-23'!L531</f>
        <v>14281</v>
      </c>
      <c r="D281" s="2">
        <f>'Budget Detail FY 2016-23'!M529+'Budget Detail FY 2016-23'!M530+'Budget Detail FY 2016-23'!M531</f>
        <v>7015</v>
      </c>
      <c r="E281" s="2">
        <f>'Budget Detail FY 2016-23'!N529+'Budget Detail FY 2016-23'!N530+'Budget Detail FY 2016-23'!N531</f>
        <v>5000</v>
      </c>
      <c r="F281" s="2">
        <f>'Budget Detail FY 2016-23'!O529+'Budget Detail FY 2016-23'!O530+'Budget Detail FY 2016-23'!O531</f>
        <v>6500</v>
      </c>
      <c r="G281" s="2">
        <f>'Budget Detail FY 2016-23'!P529+'Budget Detail FY 2016-23'!P530+'Budget Detail FY 2016-23'!P531</f>
        <v>6000</v>
      </c>
      <c r="H281" s="2">
        <f>'Budget Detail FY 2016-23'!Q529+'Budget Detail FY 2016-23'!Q530+'Budget Detail FY 2016-23'!Q531</f>
        <v>6000</v>
      </c>
      <c r="I281" s="2">
        <f>'Budget Detail FY 2016-23'!R529+'Budget Detail FY 2016-23'!R530+'Budget Detail FY 2016-23'!R531</f>
        <v>6000</v>
      </c>
      <c r="J281" s="2">
        <f>'Budget Detail FY 2016-23'!S529+'Budget Detail FY 2016-23'!S530+'Budget Detail FY 2016-23'!S531</f>
        <v>6000</v>
      </c>
      <c r="K281" s="2">
        <f>'Budget Detail FY 2016-23'!T529+'Budget Detail FY 2016-23'!T530+'Budget Detail FY 2016-23'!T531</f>
        <v>6000</v>
      </c>
    </row>
    <row r="282" spans="2:11" ht="20.100000000000001" customHeight="1">
      <c r="B282" s="385" t="s">
        <v>686</v>
      </c>
      <c r="C282" s="2">
        <f>'Budget Detail FY 2016-23'!L532</f>
        <v>11</v>
      </c>
      <c r="D282" s="2">
        <f>'Budget Detail FY 2016-23'!M532</f>
        <v>0</v>
      </c>
      <c r="E282" s="2">
        <f>'Budget Detail FY 2016-23'!N532</f>
        <v>0</v>
      </c>
      <c r="F282" s="2">
        <f>'Budget Detail FY 2016-23'!O532</f>
        <v>0</v>
      </c>
      <c r="G282" s="2">
        <f>'Budget Detail FY 2016-23'!P532</f>
        <v>0</v>
      </c>
      <c r="H282" s="2">
        <f>'Budget Detail FY 2016-23'!Q532</f>
        <v>0</v>
      </c>
      <c r="I282" s="2">
        <f>'Budget Detail FY 2016-23'!R532</f>
        <v>0</v>
      </c>
      <c r="J282" s="2">
        <f>'Budget Detail FY 2016-23'!S532</f>
        <v>0</v>
      </c>
      <c r="K282" s="2">
        <f>'Budget Detail FY 2016-23'!T532</f>
        <v>0</v>
      </c>
    </row>
    <row r="283" spans="2:11" ht="20.100000000000001" customHeight="1">
      <c r="B283" s="385" t="s">
        <v>689</v>
      </c>
      <c r="C283" s="2">
        <f>SUM('Budget Detail FY 2016-23'!L533:L533)</f>
        <v>127243</v>
      </c>
      <c r="D283" s="2">
        <f>SUM('Budget Detail FY 2016-23'!M533:M533)</f>
        <v>266979</v>
      </c>
      <c r="E283" s="2">
        <f>SUM('Budget Detail FY 2016-23'!N533:N533)</f>
        <v>315225</v>
      </c>
      <c r="F283" s="2">
        <f>SUM('Budget Detail FY 2016-23'!O533:O533)</f>
        <v>313725</v>
      </c>
      <c r="G283" s="2">
        <f>SUM('Budget Detail FY 2016-23'!P533:P533)</f>
        <v>318725</v>
      </c>
      <c r="H283" s="2">
        <f>SUM('Budget Detail FY 2016-23'!Q533:Q533)</f>
        <v>318025</v>
      </c>
      <c r="I283" s="2">
        <f>SUM('Budget Detail FY 2016-23'!R533:R533)</f>
        <v>317225</v>
      </c>
      <c r="J283" s="2">
        <f>SUM('Budget Detail FY 2016-23'!S533:S533)</f>
        <v>323375</v>
      </c>
      <c r="K283" s="2">
        <f>SUM('Budget Detail FY 2016-23'!T533:T533)</f>
        <v>324075</v>
      </c>
    </row>
    <row r="284" spans="2:11" ht="20.100000000000001" customHeight="1" thickBot="1">
      <c r="B284" s="126" t="s">
        <v>690</v>
      </c>
      <c r="C284" s="123">
        <f t="shared" ref="C284:H284" si="25">SUM(C280:C283)</f>
        <v>306387</v>
      </c>
      <c r="D284" s="123">
        <f>SUM(D280:D283)</f>
        <v>321064</v>
      </c>
      <c r="E284" s="123">
        <f t="shared" si="25"/>
        <v>320225</v>
      </c>
      <c r="F284" s="123">
        <f t="shared" si="25"/>
        <v>320225</v>
      </c>
      <c r="G284" s="123">
        <f t="shared" si="25"/>
        <v>324725</v>
      </c>
      <c r="H284" s="123">
        <f t="shared" si="25"/>
        <v>324025</v>
      </c>
      <c r="I284" s="123">
        <f>SUM(I280:I283)</f>
        <v>323225</v>
      </c>
      <c r="J284" s="123">
        <f>SUM(J280:J283)</f>
        <v>329375</v>
      </c>
      <c r="K284" s="123">
        <f>SUM(K280:K283)</f>
        <v>330075</v>
      </c>
    </row>
    <row r="285" spans="2:11">
      <c r="B285" s="1"/>
      <c r="C285" s="2"/>
      <c r="D285" s="2"/>
      <c r="E285" s="2"/>
      <c r="F285" s="2"/>
      <c r="G285" s="2"/>
      <c r="H285" s="2"/>
      <c r="I285" s="2"/>
      <c r="J285" s="2"/>
      <c r="K285" s="2"/>
    </row>
    <row r="286" spans="2:11">
      <c r="B286" s="127" t="s">
        <v>484</v>
      </c>
      <c r="C286" s="2"/>
      <c r="D286" s="2"/>
      <c r="E286" s="2"/>
      <c r="F286" s="2"/>
      <c r="G286" s="2"/>
      <c r="H286" s="2"/>
      <c r="I286" s="2"/>
      <c r="J286" s="2"/>
      <c r="K286" s="2"/>
    </row>
    <row r="287" spans="2:11" ht="20.100000000000001" customHeight="1">
      <c r="B287" s="386" t="s">
        <v>693</v>
      </c>
      <c r="C287" s="2">
        <f>'Budget Detail FY 2016-23'!L539+'Budget Detail FY 2016-23'!L537+'Budget Detail FY 2016-23'!L538</f>
        <v>3979</v>
      </c>
      <c r="D287" s="2">
        <f>'Budget Detail FY 2016-23'!M539+'Budget Detail FY 2016-23'!M537+'Budget Detail FY 2016-23'!M538</f>
        <v>914</v>
      </c>
      <c r="E287" s="2">
        <f>'Budget Detail FY 2016-23'!N539+'Budget Detail FY 2016-23'!N537+'Budget Detail FY 2016-23'!N538</f>
        <v>475</v>
      </c>
      <c r="F287" s="2">
        <f>'Budget Detail FY 2016-23'!O539+'Budget Detail FY 2016-23'!O537+'Budget Detail FY 2016-23'!O538</f>
        <v>475</v>
      </c>
      <c r="G287" s="2">
        <f>'Budget Detail FY 2016-23'!P539+'Budget Detail FY 2016-23'!P537+'Budget Detail FY 2016-23'!P538</f>
        <v>475</v>
      </c>
      <c r="H287" s="2">
        <f>'Budget Detail FY 2016-23'!Q539+'Budget Detail FY 2016-23'!Q537+'Budget Detail FY 2016-23'!Q538</f>
        <v>475</v>
      </c>
      <c r="I287" s="2">
        <f>'Budget Detail FY 2016-23'!R539+'Budget Detail FY 2016-23'!R537+'Budget Detail FY 2016-23'!R538</f>
        <v>475</v>
      </c>
      <c r="J287" s="2">
        <f>'Budget Detail FY 2016-23'!S539+'Budget Detail FY 2016-23'!S537+'Budget Detail FY 2016-23'!S538</f>
        <v>475</v>
      </c>
      <c r="K287" s="2">
        <f>'Budget Detail FY 2016-23'!T539+'Budget Detail FY 2016-23'!T537+'Budget Detail FY 2016-23'!T538</f>
        <v>475</v>
      </c>
    </row>
    <row r="288" spans="2:11" ht="20.100000000000001" customHeight="1">
      <c r="B288" s="386" t="s">
        <v>626</v>
      </c>
      <c r="C288" s="2">
        <f>SUM('Budget Detail FY 2016-23'!L541:L542)</f>
        <v>310250</v>
      </c>
      <c r="D288" s="2">
        <f>SUM('Budget Detail FY 2016-23'!M541:M542)</f>
        <v>320150</v>
      </c>
      <c r="E288" s="2">
        <f>SUM('Budget Detail FY 2016-23'!N541:N542)</f>
        <v>319750</v>
      </c>
      <c r="F288" s="2">
        <f>SUM('Budget Detail FY 2016-23'!O541:O542)</f>
        <v>319750</v>
      </c>
      <c r="G288" s="2">
        <f>SUM('Budget Detail FY 2016-23'!P541:P542)</f>
        <v>324250</v>
      </c>
      <c r="H288" s="2">
        <f>SUM('Budget Detail FY 2016-23'!Q541:Q542)</f>
        <v>323550</v>
      </c>
      <c r="I288" s="2">
        <f>SUM('Budget Detail FY 2016-23'!R541:R542)</f>
        <v>322750</v>
      </c>
      <c r="J288" s="2">
        <f>SUM('Budget Detail FY 2016-23'!S541:S542)</f>
        <v>328900</v>
      </c>
      <c r="K288" s="2">
        <f>SUM('Budget Detail FY 2016-23'!T541:T542)</f>
        <v>329600</v>
      </c>
    </row>
    <row r="289" spans="2:11" ht="20.100000000000001" customHeight="1" thickBot="1">
      <c r="B289" s="126" t="s">
        <v>697</v>
      </c>
      <c r="C289" s="123">
        <f t="shared" ref="C289:K289" si="26">SUM(C287:C288)</f>
        <v>314229</v>
      </c>
      <c r="D289" s="123">
        <f t="shared" si="26"/>
        <v>321064</v>
      </c>
      <c r="E289" s="123">
        <f t="shared" si="26"/>
        <v>320225</v>
      </c>
      <c r="F289" s="123">
        <f t="shared" si="26"/>
        <v>320225</v>
      </c>
      <c r="G289" s="123">
        <f t="shared" si="26"/>
        <v>324725</v>
      </c>
      <c r="H289" s="123">
        <f t="shared" si="26"/>
        <v>324025</v>
      </c>
      <c r="I289" s="123">
        <f t="shared" si="26"/>
        <v>323225</v>
      </c>
      <c r="J289" s="123">
        <f t="shared" si="26"/>
        <v>329375</v>
      </c>
      <c r="K289" s="123">
        <f t="shared" si="26"/>
        <v>330075</v>
      </c>
    </row>
    <row r="290" spans="2:11">
      <c r="B290" s="129"/>
      <c r="C290" s="3"/>
      <c r="D290" s="2"/>
      <c r="E290" s="2"/>
      <c r="F290" s="2"/>
      <c r="G290" s="2"/>
      <c r="H290" s="2"/>
      <c r="I290" s="2"/>
      <c r="J290" s="2"/>
      <c r="K290" s="2"/>
    </row>
    <row r="291" spans="2:11" ht="20.100000000000001" customHeight="1">
      <c r="B291" s="388" t="s">
        <v>698</v>
      </c>
      <c r="C291" s="3">
        <f t="shared" ref="C291:K291" si="27">+C284-C289</f>
        <v>-7842</v>
      </c>
      <c r="D291" s="3">
        <f t="shared" si="27"/>
        <v>0</v>
      </c>
      <c r="E291" s="3">
        <f t="shared" si="27"/>
        <v>0</v>
      </c>
      <c r="F291" s="3">
        <f t="shared" si="27"/>
        <v>0</v>
      </c>
      <c r="G291" s="3">
        <f t="shared" si="27"/>
        <v>0</v>
      </c>
      <c r="H291" s="3">
        <f t="shared" si="27"/>
        <v>0</v>
      </c>
      <c r="I291" s="3">
        <f t="shared" si="27"/>
        <v>0</v>
      </c>
      <c r="J291" s="3">
        <f t="shared" si="27"/>
        <v>0</v>
      </c>
      <c r="K291" s="3">
        <f t="shared" si="27"/>
        <v>0</v>
      </c>
    </row>
    <row r="292" spans="2:11">
      <c r="B292" s="130"/>
      <c r="C292" s="3"/>
      <c r="D292" s="2"/>
      <c r="E292" s="2"/>
      <c r="F292" s="2"/>
      <c r="G292" s="2"/>
      <c r="H292" s="2"/>
      <c r="I292" s="2"/>
      <c r="J292" s="2"/>
      <c r="K292" s="2"/>
    </row>
    <row r="293" spans="2:11" ht="20.100000000000001" customHeight="1" thickBot="1">
      <c r="B293" s="125" t="s">
        <v>699</v>
      </c>
      <c r="C293" s="80">
        <v>0</v>
      </c>
      <c r="D293" s="80">
        <v>0</v>
      </c>
      <c r="E293" s="80">
        <v>0</v>
      </c>
      <c r="F293" s="80">
        <f>D293+F291</f>
        <v>0</v>
      </c>
      <c r="G293" s="80">
        <f>F293+G291</f>
        <v>0</v>
      </c>
      <c r="H293" s="80">
        <f>G293+H291</f>
        <v>0</v>
      </c>
      <c r="I293" s="80">
        <f>H293+I291</f>
        <v>0</v>
      </c>
      <c r="J293" s="80">
        <f>I293+J291</f>
        <v>0</v>
      </c>
      <c r="K293" s="80">
        <f>J293+K291</f>
        <v>0</v>
      </c>
    </row>
    <row r="294" spans="2:11" ht="15.75" thickTop="1">
      <c r="B294" s="131"/>
      <c r="C294" s="3"/>
      <c r="D294" s="3"/>
      <c r="E294" s="3"/>
      <c r="F294" s="2"/>
      <c r="G294" s="2"/>
      <c r="H294" s="2"/>
      <c r="I294" s="2"/>
      <c r="J294" s="2"/>
      <c r="K294" s="2"/>
    </row>
    <row r="295" spans="2:11">
      <c r="B295" s="131"/>
      <c r="C295" s="2"/>
      <c r="D295" s="2"/>
      <c r="E295" s="2"/>
      <c r="F295" s="2"/>
      <c r="G295" s="2"/>
      <c r="H295" s="2"/>
      <c r="I295" s="2"/>
      <c r="J295" s="2"/>
      <c r="K295" s="2"/>
    </row>
    <row r="296" spans="2:11">
      <c r="B296" s="1"/>
      <c r="C296" s="2"/>
      <c r="D296" s="2"/>
      <c r="E296" s="2"/>
      <c r="F296" s="2"/>
      <c r="G296" s="2"/>
      <c r="H296" s="2"/>
      <c r="I296" s="2"/>
      <c r="J296" s="2"/>
      <c r="K296" s="2"/>
    </row>
    <row r="297" spans="2:11">
      <c r="B297" s="1"/>
      <c r="C297" s="2"/>
      <c r="D297" s="2"/>
      <c r="E297" s="2"/>
      <c r="F297" s="2"/>
      <c r="G297" s="2"/>
      <c r="H297" s="2"/>
      <c r="I297" s="2"/>
      <c r="J297" s="2"/>
      <c r="K297" s="2"/>
    </row>
    <row r="298" spans="2:11">
      <c r="B298" s="1"/>
      <c r="C298" s="2"/>
      <c r="D298" s="2"/>
      <c r="E298" s="2"/>
      <c r="F298" s="2"/>
      <c r="G298" s="2"/>
      <c r="H298" s="2"/>
      <c r="I298" s="2"/>
      <c r="J298" s="2"/>
      <c r="K298" s="2"/>
    </row>
    <row r="299" spans="2:11">
      <c r="B299" s="1"/>
      <c r="C299" s="2"/>
      <c r="D299" s="2"/>
      <c r="E299" s="2"/>
      <c r="F299" s="2"/>
      <c r="G299" s="2"/>
      <c r="H299" s="2"/>
      <c r="I299" s="2"/>
      <c r="J299" s="2"/>
      <c r="K299" s="2"/>
    </row>
    <row r="300" spans="2:11">
      <c r="B300" s="1"/>
      <c r="C300" s="2"/>
      <c r="D300" s="2"/>
      <c r="E300" s="2"/>
      <c r="F300" s="2"/>
      <c r="G300" s="2"/>
      <c r="H300" s="2"/>
      <c r="I300" s="2"/>
      <c r="J300" s="2"/>
      <c r="K300" s="2"/>
    </row>
    <row r="301" spans="2:11">
      <c r="B301" s="1"/>
      <c r="C301" s="2"/>
      <c r="D301" s="2"/>
      <c r="E301" s="2"/>
      <c r="F301" s="2"/>
      <c r="G301" s="2"/>
      <c r="H301" s="2"/>
      <c r="I301" s="2"/>
      <c r="J301" s="2"/>
      <c r="K301" s="2"/>
    </row>
    <row r="302" spans="2:11">
      <c r="B302" s="1"/>
      <c r="C302" s="2"/>
      <c r="D302" s="2"/>
      <c r="E302" s="2"/>
      <c r="F302" s="2"/>
      <c r="G302" s="2"/>
      <c r="H302" s="2"/>
      <c r="I302" s="2"/>
      <c r="J302" s="2"/>
      <c r="K302" s="2"/>
    </row>
    <row r="303" spans="2:11">
      <c r="B303" s="1"/>
      <c r="C303" s="2"/>
      <c r="D303" s="2"/>
      <c r="E303" s="2"/>
      <c r="F303" s="2"/>
      <c r="G303" s="2"/>
      <c r="H303" s="2"/>
      <c r="I303" s="2"/>
      <c r="J303" s="2"/>
      <c r="K303" s="2"/>
    </row>
    <row r="304" spans="2:11">
      <c r="B304" s="1"/>
      <c r="C304" s="2"/>
      <c r="D304" s="2"/>
      <c r="E304" s="2"/>
      <c r="F304" s="2"/>
      <c r="G304" s="2"/>
      <c r="H304" s="2"/>
      <c r="I304" s="2"/>
      <c r="J304" s="2"/>
      <c r="K304" s="2"/>
    </row>
    <row r="305" spans="2:11">
      <c r="B305" s="1"/>
      <c r="C305" s="2"/>
      <c r="D305" s="2"/>
      <c r="E305" s="2"/>
      <c r="F305" s="2"/>
      <c r="G305" s="2"/>
      <c r="H305" s="2"/>
      <c r="I305" s="2"/>
      <c r="J305" s="2"/>
      <c r="K305" s="2"/>
    </row>
    <row r="307" spans="2:11">
      <c r="B307" s="895" t="s">
        <v>707</v>
      </c>
      <c r="C307" s="895"/>
      <c r="D307" s="895"/>
      <c r="E307" s="895"/>
      <c r="F307" s="895"/>
      <c r="G307" s="895"/>
      <c r="H307" s="895"/>
      <c r="I307" s="895"/>
      <c r="J307" s="895"/>
      <c r="K307" s="895"/>
    </row>
    <row r="308" spans="2:11">
      <c r="B308" s="64"/>
      <c r="C308" s="3"/>
      <c r="D308" s="2"/>
      <c r="E308" s="2"/>
      <c r="F308" s="2"/>
      <c r="G308" s="2"/>
      <c r="H308" s="2"/>
      <c r="I308" s="2"/>
      <c r="J308" s="2"/>
      <c r="K308" s="2"/>
    </row>
    <row r="309" spans="2:11" ht="12.75" customHeight="1">
      <c r="B309" s="886" t="s">
        <v>708</v>
      </c>
      <c r="C309" s="886"/>
      <c r="D309" s="886"/>
      <c r="E309" s="886"/>
      <c r="F309" s="886"/>
      <c r="G309" s="886"/>
      <c r="H309" s="886"/>
      <c r="I309" s="886"/>
      <c r="J309" s="886"/>
      <c r="K309" s="886"/>
    </row>
    <row r="310" spans="2:11" ht="18" customHeight="1">
      <c r="B310" s="886"/>
      <c r="C310" s="886"/>
      <c r="D310" s="886"/>
      <c r="E310" s="886"/>
      <c r="F310" s="886"/>
      <c r="G310" s="886"/>
      <c r="H310" s="886"/>
      <c r="I310" s="886"/>
      <c r="J310" s="886"/>
      <c r="K310" s="886"/>
    </row>
    <row r="311" spans="2:11" ht="7.5" customHeight="1">
      <c r="B311" s="418"/>
      <c r="C311" s="21"/>
      <c r="D311" s="21"/>
      <c r="E311" s="21"/>
      <c r="F311" s="2"/>
      <c r="G311" s="2"/>
      <c r="H311" s="2"/>
      <c r="I311" s="2"/>
      <c r="J311" s="2"/>
      <c r="K311" s="2"/>
    </row>
    <row r="312" spans="2:11">
      <c r="B312" s="5"/>
      <c r="C312" s="64"/>
      <c r="D312" s="65"/>
      <c r="E312" s="65" t="s">
        <v>834</v>
      </c>
      <c r="F312" s="1"/>
      <c r="G312" s="1"/>
      <c r="H312" s="1"/>
      <c r="I312" s="1"/>
      <c r="J312" s="1"/>
      <c r="K312" s="1"/>
    </row>
    <row r="313" spans="2:11">
      <c r="B313" s="65"/>
      <c r="C313" s="64" t="s">
        <v>243</v>
      </c>
      <c r="D313" s="64" t="s">
        <v>244</v>
      </c>
      <c r="E313" s="65" t="s">
        <v>679</v>
      </c>
      <c r="F313" s="65" t="s">
        <v>834</v>
      </c>
      <c r="G313" s="65" t="s">
        <v>915</v>
      </c>
      <c r="H313" s="65" t="s">
        <v>946</v>
      </c>
      <c r="I313" s="65" t="s">
        <v>947</v>
      </c>
      <c r="J313" s="65" t="s">
        <v>948</v>
      </c>
      <c r="K313" s="65" t="s">
        <v>949</v>
      </c>
    </row>
    <row r="314" spans="2:11" ht="15.75" thickBot="1">
      <c r="B314" s="135"/>
      <c r="C314" s="67" t="s">
        <v>1</v>
      </c>
      <c r="D314" s="67" t="s">
        <v>1</v>
      </c>
      <c r="E314" s="67" t="s">
        <v>638</v>
      </c>
      <c r="F314" s="67" t="s">
        <v>19</v>
      </c>
      <c r="G314" s="67" t="s">
        <v>679</v>
      </c>
      <c r="H314" s="67" t="s">
        <v>19</v>
      </c>
      <c r="I314" s="67" t="s">
        <v>19</v>
      </c>
      <c r="J314" s="67" t="s">
        <v>19</v>
      </c>
      <c r="K314" s="67" t="s">
        <v>19</v>
      </c>
    </row>
    <row r="315" spans="2:11">
      <c r="B315" s="63"/>
      <c r="C315" s="136"/>
      <c r="D315" s="2"/>
      <c r="E315" s="2"/>
      <c r="F315" s="2"/>
      <c r="G315" s="2"/>
      <c r="H315" s="2"/>
      <c r="I315" s="2"/>
      <c r="J315" s="2"/>
      <c r="K315" s="2"/>
    </row>
    <row r="316" spans="2:11">
      <c r="B316" s="127" t="s">
        <v>680</v>
      </c>
      <c r="C316" s="2"/>
      <c r="D316" s="2"/>
      <c r="E316" s="2"/>
      <c r="F316" s="2"/>
      <c r="G316" s="2"/>
      <c r="H316" s="2"/>
      <c r="I316" s="2"/>
      <c r="J316" s="2"/>
      <c r="K316" s="2"/>
    </row>
    <row r="317" spans="2:11" ht="20.100000000000001" customHeight="1">
      <c r="B317" s="384" t="s">
        <v>683</v>
      </c>
      <c r="C317" s="2">
        <f>'Budget Detail FY 2016-23'!L552</f>
        <v>162468</v>
      </c>
      <c r="D317" s="2">
        <f>'Budget Detail FY 2016-23'!M552</f>
        <v>171840</v>
      </c>
      <c r="E317" s="2">
        <f>'Budget Detail FY 2016-23'!N552</f>
        <v>0</v>
      </c>
      <c r="F317" s="2">
        <f>'Budget Detail FY 2016-23'!O552</f>
        <v>0</v>
      </c>
      <c r="G317" s="2">
        <f>'Budget Detail FY 2016-23'!P552</f>
        <v>0</v>
      </c>
      <c r="H317" s="2">
        <f>'Budget Detail FY 2016-23'!Q552</f>
        <v>0</v>
      </c>
      <c r="I317" s="2">
        <f>'Budget Detail FY 2016-23'!R552</f>
        <v>0</v>
      </c>
      <c r="J317" s="2">
        <f>'Budget Detail FY 2016-23'!S552</f>
        <v>0</v>
      </c>
      <c r="K317" s="2">
        <f>'Budget Detail FY 2016-23'!T552</f>
        <v>0</v>
      </c>
    </row>
    <row r="318" spans="2:11" ht="20.100000000000001" customHeight="1">
      <c r="B318" s="385" t="s">
        <v>685</v>
      </c>
      <c r="C318" s="2">
        <f>SUM('Budget Detail FY 2016-23'!L553:L558)</f>
        <v>3461906</v>
      </c>
      <c r="D318" s="2">
        <f>SUM('Budget Detail FY 2016-23'!M553:M558)</f>
        <v>3955944</v>
      </c>
      <c r="E318" s="2">
        <f>SUM('Budget Detail FY 2016-23'!N553:N558)</f>
        <v>4088800</v>
      </c>
      <c r="F318" s="2">
        <f>SUM('Budget Detail FY 2016-23'!O553:O558)</f>
        <v>4356416</v>
      </c>
      <c r="G318" s="2">
        <f>SUM('Budget Detail FY 2016-23'!P553:P558)</f>
        <v>4326486</v>
      </c>
      <c r="H318" s="2">
        <f>SUM('Budget Detail FY 2016-23'!Q553:Q558)</f>
        <v>4458446</v>
      </c>
      <c r="I318" s="2">
        <f>SUM('Budget Detail FY 2016-23'!R553:R558)</f>
        <v>4627759</v>
      </c>
      <c r="J318" s="2">
        <f>SUM('Budget Detail FY 2016-23'!S553:S558)</f>
        <v>4805536</v>
      </c>
      <c r="K318" s="2">
        <f>SUM('Budget Detail FY 2016-23'!T553:T558)</f>
        <v>4992202</v>
      </c>
    </row>
    <row r="319" spans="2:11" ht="20.100000000000001" customHeight="1">
      <c r="B319" s="385" t="s">
        <v>686</v>
      </c>
      <c r="C319" s="2">
        <f>'Budget Detail FY 2016-23'!L559</f>
        <v>5492</v>
      </c>
      <c r="D319" s="2">
        <f>'Budget Detail FY 2016-23'!M559</f>
        <v>9729</v>
      </c>
      <c r="E319" s="2">
        <f>'Budget Detail FY 2016-23'!N559</f>
        <v>5000</v>
      </c>
      <c r="F319" s="2">
        <f>'Budget Detail FY 2016-23'!O559</f>
        <v>10500</v>
      </c>
      <c r="G319" s="2">
        <f>'Budget Detail FY 2016-23'!P559</f>
        <v>7000</v>
      </c>
      <c r="H319" s="2">
        <f>'Budget Detail FY 2016-23'!Q559</f>
        <v>3000</v>
      </c>
      <c r="I319" s="2">
        <f>'Budget Detail FY 2016-23'!R559</f>
        <v>3000</v>
      </c>
      <c r="J319" s="2">
        <f>'Budget Detail FY 2016-23'!S559</f>
        <v>5000</v>
      </c>
      <c r="K319" s="2">
        <f>'Budget Detail FY 2016-23'!T559</f>
        <v>10000</v>
      </c>
    </row>
    <row r="320" spans="2:11" ht="20.100000000000001" customHeight="1">
      <c r="B320" s="385" t="s">
        <v>687</v>
      </c>
      <c r="C320" s="2">
        <f>SUM('Budget Detail FY 2016-23'!L560:L560)</f>
        <v>4605</v>
      </c>
      <c r="D320" s="2">
        <f>SUM('Budget Detail FY 2016-23'!M560:M560)</f>
        <v>27256</v>
      </c>
      <c r="E320" s="2">
        <f>SUM('Budget Detail FY 2016-23'!N560:N560)</f>
        <v>0</v>
      </c>
      <c r="F320" s="2">
        <f>SUM('Budget Detail FY 2016-23'!O560:O560)</f>
        <v>200</v>
      </c>
      <c r="G320" s="2">
        <f>SUM('Budget Detail FY 2016-23'!P560:P560)</f>
        <v>0</v>
      </c>
      <c r="H320" s="2">
        <f>SUM('Budget Detail FY 2016-23'!Q560:Q560)</f>
        <v>0</v>
      </c>
      <c r="I320" s="2">
        <f>SUM('Budget Detail FY 2016-23'!R560:R560)</f>
        <v>0</v>
      </c>
      <c r="J320" s="2">
        <f>SUM('Budget Detail FY 2016-23'!S560:S560)</f>
        <v>0</v>
      </c>
      <c r="K320" s="2">
        <f>SUM('Budget Detail FY 2016-23'!T560:T560)</f>
        <v>0</v>
      </c>
    </row>
    <row r="321" spans="2:11" ht="20.100000000000001" customHeight="1">
      <c r="B321" s="385" t="s">
        <v>688</v>
      </c>
      <c r="C321" s="2">
        <f>SUM('Budget Detail FY 2016-23'!L561:L562)</f>
        <v>57261</v>
      </c>
      <c r="D321" s="2">
        <f>SUM('Budget Detail FY 2016-23'!M561:M562)</f>
        <v>60865</v>
      </c>
      <c r="E321" s="2">
        <f>SUM('Budget Detail FY 2016-23'!N561:N562)</f>
        <v>58582</v>
      </c>
      <c r="F321" s="2">
        <f>SUM('Budget Detail FY 2016-23'!O561:O562)</f>
        <v>61051</v>
      </c>
      <c r="G321" s="2">
        <f>SUM('Budget Detail FY 2016-23'!P561:P562)</f>
        <v>62491</v>
      </c>
      <c r="H321" s="2">
        <f>SUM('Budget Detail FY 2016-23'!Q561:Q562)</f>
        <v>63741</v>
      </c>
      <c r="I321" s="2">
        <f>SUM('Budget Detail FY 2016-23'!R561:R562)</f>
        <v>65016</v>
      </c>
      <c r="J321" s="2">
        <f>SUM('Budget Detail FY 2016-23'!S561:S562)</f>
        <v>66316</v>
      </c>
      <c r="K321" s="2">
        <f>SUM('Budget Detail FY 2016-23'!T561:T562)</f>
        <v>67642</v>
      </c>
    </row>
    <row r="322" spans="2:11" ht="20.100000000000001" customHeight="1">
      <c r="B322" s="385" t="s">
        <v>689</v>
      </c>
      <c r="C322" s="2">
        <f>SUM('Budget Detail FY 2016-23'!L563:L568)</f>
        <v>4369998</v>
      </c>
      <c r="D322" s="2">
        <f>SUM('Budget Detail FY 2016-23'!M563:M568)</f>
        <v>6325992</v>
      </c>
      <c r="E322" s="2">
        <f>SUM('Budget Detail FY 2016-23'!N563:N568)</f>
        <v>145385</v>
      </c>
      <c r="F322" s="2">
        <f>SUM('Budget Detail FY 2016-23'!O563:O568)</f>
        <v>138949</v>
      </c>
      <c r="G322" s="2">
        <f>SUM('Budget Detail FY 2016-23'!P563:P568)</f>
        <v>142541</v>
      </c>
      <c r="H322" s="2">
        <f>SUM('Budget Detail FY 2016-23'!Q563:Q568)</f>
        <v>178516</v>
      </c>
      <c r="I322" s="2">
        <f>SUM('Budget Detail FY 2016-23'!R563:R568)</f>
        <v>178757</v>
      </c>
      <c r="J322" s="2">
        <f>SUM('Budget Detail FY 2016-23'!S563:S568)</f>
        <v>179968</v>
      </c>
      <c r="K322" s="2">
        <f>SUM('Budget Detail FY 2016-23'!T563:T568)</f>
        <v>177595</v>
      </c>
    </row>
    <row r="323" spans="2:11" ht="20.100000000000001" customHeight="1" thickBot="1">
      <c r="B323" s="126" t="s">
        <v>690</v>
      </c>
      <c r="C323" s="123">
        <f t="shared" ref="C323:K323" si="28">SUM(C317:C322)</f>
        <v>8061730</v>
      </c>
      <c r="D323" s="123">
        <f t="shared" si="28"/>
        <v>10551626</v>
      </c>
      <c r="E323" s="123">
        <f t="shared" si="28"/>
        <v>4297767</v>
      </c>
      <c r="F323" s="123">
        <f t="shared" si="28"/>
        <v>4567116</v>
      </c>
      <c r="G323" s="123">
        <f t="shared" si="28"/>
        <v>4538518</v>
      </c>
      <c r="H323" s="123">
        <f t="shared" si="28"/>
        <v>4703703</v>
      </c>
      <c r="I323" s="123">
        <f t="shared" si="28"/>
        <v>4874532</v>
      </c>
      <c r="J323" s="123">
        <f t="shared" si="28"/>
        <v>5056820</v>
      </c>
      <c r="K323" s="123">
        <f t="shared" si="28"/>
        <v>5247439</v>
      </c>
    </row>
    <row r="324" spans="2:11" ht="7.5" customHeight="1">
      <c r="B324" s="1"/>
      <c r="C324" s="2"/>
      <c r="D324" s="2"/>
      <c r="E324" s="2"/>
      <c r="F324" s="2"/>
      <c r="G324" s="2"/>
      <c r="H324" s="2"/>
      <c r="I324" s="2"/>
      <c r="J324" s="2"/>
      <c r="K324" s="2"/>
    </row>
    <row r="325" spans="2:11">
      <c r="B325" s="127" t="s">
        <v>486</v>
      </c>
      <c r="C325" s="2"/>
      <c r="D325" s="2"/>
      <c r="E325" s="2"/>
      <c r="F325" s="2"/>
      <c r="G325" s="2"/>
      <c r="H325" s="2"/>
      <c r="I325" s="2"/>
      <c r="J325" s="2"/>
      <c r="K325" s="2"/>
    </row>
    <row r="326" spans="2:11" ht="20.100000000000001" customHeight="1">
      <c r="B326" s="386" t="s">
        <v>691</v>
      </c>
      <c r="C326" s="2">
        <f>SUM('Budget Detail FY 2016-23'!L573:L575)</f>
        <v>376019</v>
      </c>
      <c r="D326" s="2">
        <f>SUM('Budget Detail FY 2016-23'!M573:M575)</f>
        <v>390595</v>
      </c>
      <c r="E326" s="2">
        <f>SUM('Budget Detail FY 2016-23'!N573:N575)</f>
        <v>430549</v>
      </c>
      <c r="F326" s="2">
        <f>SUM('Budget Detail FY 2016-23'!O573:O575)</f>
        <v>421000</v>
      </c>
      <c r="G326" s="2">
        <f>SUM('Budget Detail FY 2016-23'!P573:P575)</f>
        <v>441121</v>
      </c>
      <c r="H326" s="2">
        <f>SUM('Budget Detail FY 2016-23'!Q573:Q575)</f>
        <v>453545</v>
      </c>
      <c r="I326" s="2">
        <f>SUM('Budget Detail FY 2016-23'!R573:R575)</f>
        <v>466341</v>
      </c>
      <c r="J326" s="2">
        <f>SUM('Budget Detail FY 2016-23'!S573:S575)</f>
        <v>479521</v>
      </c>
      <c r="K326" s="2">
        <f>SUM('Budget Detail FY 2016-23'!T573:T575)</f>
        <v>493097</v>
      </c>
    </row>
    <row r="327" spans="2:11" ht="20.100000000000001" customHeight="1">
      <c r="B327" s="386" t="s">
        <v>692</v>
      </c>
      <c r="C327" s="2">
        <f>SUM('Budget Detail FY 2016-23'!L576:L583)</f>
        <v>218947</v>
      </c>
      <c r="D327" s="2">
        <f>SUM('Budget Detail FY 2016-23'!M576:M583)</f>
        <v>235050</v>
      </c>
      <c r="E327" s="2">
        <f>SUM('Budget Detail FY 2016-23'!N576:N583)</f>
        <v>266965</v>
      </c>
      <c r="F327" s="2">
        <f>SUM('Budget Detail FY 2016-23'!O576:O583)</f>
        <v>249501</v>
      </c>
      <c r="G327" s="2">
        <f>SUM('Budget Detail FY 2016-23'!P576:P583)</f>
        <v>257466</v>
      </c>
      <c r="H327" s="2">
        <f>SUM('Budget Detail FY 2016-23'!Q576:Q583)</f>
        <v>274320</v>
      </c>
      <c r="I327" s="2">
        <f>SUM('Budget Detail FY 2016-23'!R576:R583)</f>
        <v>292441</v>
      </c>
      <c r="J327" s="2">
        <f>SUM('Budget Detail FY 2016-23'!S576:S583)</f>
        <v>311939</v>
      </c>
      <c r="K327" s="2">
        <f>SUM('Budget Detail FY 2016-23'!T576:T583)</f>
        <v>332832</v>
      </c>
    </row>
    <row r="328" spans="2:11" ht="20.100000000000001" customHeight="1">
      <c r="B328" s="386" t="s">
        <v>693</v>
      </c>
      <c r="C328" s="2">
        <f>SUM('Budget Detail FY 2016-23'!L584:L608)</f>
        <v>887201</v>
      </c>
      <c r="D328" s="2">
        <f>SUM('Budget Detail FY 2016-23'!M584:M608)</f>
        <v>827278</v>
      </c>
      <c r="E328" s="2">
        <f>SUM('Budget Detail FY 2016-23'!N584:N608)</f>
        <v>886366</v>
      </c>
      <c r="F328" s="2">
        <f>SUM('Budget Detail FY 2016-23'!O584:O608)</f>
        <v>717206</v>
      </c>
      <c r="G328" s="2">
        <f>SUM('Budget Detail FY 2016-23'!P584:P608)</f>
        <v>734523</v>
      </c>
      <c r="H328" s="2">
        <f>SUM('Budget Detail FY 2016-23'!Q584:Q608)</f>
        <v>764700</v>
      </c>
      <c r="I328" s="2">
        <f>SUM('Budget Detail FY 2016-23'!R584:R608)</f>
        <v>769390</v>
      </c>
      <c r="J328" s="2">
        <f>SUM('Budget Detail FY 2016-23'!S584:S608)</f>
        <v>786973</v>
      </c>
      <c r="K328" s="2">
        <f>SUM('Budget Detail FY 2016-23'!T584:T608)</f>
        <v>795191</v>
      </c>
    </row>
    <row r="329" spans="2:11" ht="20.100000000000001" customHeight="1">
      <c r="B329" s="386" t="s">
        <v>694</v>
      </c>
      <c r="C329" s="2">
        <f>SUM('Budget Detail FY 2016-23'!L609:L618)</f>
        <v>266102</v>
      </c>
      <c r="D329" s="2">
        <f>SUM('Budget Detail FY 2016-23'!M609:M618)</f>
        <v>326045</v>
      </c>
      <c r="E329" s="2">
        <f>SUM('Budget Detail FY 2016-23'!N609:N618)</f>
        <v>323013</v>
      </c>
      <c r="F329" s="2">
        <f>SUM('Budget Detail FY 2016-23'!O609:O618)</f>
        <v>334570</v>
      </c>
      <c r="G329" s="2">
        <f>SUM('Budget Detail FY 2016-23'!P609:P618)</f>
        <v>354448</v>
      </c>
      <c r="H329" s="2">
        <f>SUM('Budget Detail FY 2016-23'!Q609:Q618)</f>
        <v>364781</v>
      </c>
      <c r="I329" s="2">
        <f>SUM('Budget Detail FY 2016-23'!R609:R618)</f>
        <v>375630</v>
      </c>
      <c r="J329" s="2">
        <f>SUM('Budget Detail FY 2016-23'!S609:S618)</f>
        <v>387021</v>
      </c>
      <c r="K329" s="2">
        <f>SUM('Budget Detail FY 2016-23'!T609:T618)</f>
        <v>398982</v>
      </c>
    </row>
    <row r="330" spans="2:11" ht="20.100000000000001" customHeight="1">
      <c r="B330" s="386" t="s">
        <v>695</v>
      </c>
      <c r="C330" s="2">
        <f>SUM('Budget Detail FY 2016-23'!L619:L629)</f>
        <v>1069736</v>
      </c>
      <c r="D330" s="2">
        <f>SUM('Budget Detail FY 2016-23'!M619:M629)</f>
        <v>3499902</v>
      </c>
      <c r="E330" s="2">
        <f>SUM('Budget Detail FY 2016-23'!N619:N629)</f>
        <v>807937</v>
      </c>
      <c r="F330" s="2">
        <f>SUM('Budget Detail FY 2016-23'!O619:O629)</f>
        <v>1020244</v>
      </c>
      <c r="G330" s="2">
        <f>SUM('Budget Detail FY 2016-23'!P619:P629)</f>
        <v>1555976</v>
      </c>
      <c r="H330" s="2">
        <f>SUM('Budget Detail FY 2016-23'!Q619:Q629)</f>
        <v>1156756</v>
      </c>
      <c r="I330" s="2">
        <f>SUM('Budget Detail FY 2016-23'!R619:R629)</f>
        <v>827544</v>
      </c>
      <c r="J330" s="2">
        <f>SUM('Budget Detail FY 2016-23'!S619:S629)</f>
        <v>613544</v>
      </c>
      <c r="K330" s="2">
        <f>SUM('Budget Detail FY 2016-23'!T619:T629)</f>
        <v>420848</v>
      </c>
    </row>
    <row r="331" spans="2:11" ht="20.100000000000001" customHeight="1">
      <c r="B331" s="387" t="s">
        <v>626</v>
      </c>
      <c r="C331" s="2">
        <f>SUM('Budget Detail FY 2016-23'!L631:L650)</f>
        <v>1147429</v>
      </c>
      <c r="D331" s="2">
        <f>SUM('Budget Detail FY 2016-23'!M631:M650)</f>
        <v>1449609</v>
      </c>
      <c r="E331" s="2">
        <f>SUM('Budget Detail FY 2016-23'!N631:N650)</f>
        <v>1344749</v>
      </c>
      <c r="F331" s="2">
        <f>SUM('Budget Detail FY 2016-23'!O631:O650)</f>
        <v>1344749</v>
      </c>
      <c r="G331" s="2">
        <f>SUM('Budget Detail FY 2016-23'!P631:P650)</f>
        <v>1532837</v>
      </c>
      <c r="H331" s="2">
        <f>SUM('Budget Detail FY 2016-23'!Q631:Q650)</f>
        <v>2361500</v>
      </c>
      <c r="I331" s="2">
        <f>SUM('Budget Detail FY 2016-23'!R631:R650)</f>
        <v>2305935</v>
      </c>
      <c r="J331" s="2">
        <f>SUM('Budget Detail FY 2016-23'!S631:S650)</f>
        <v>1815830</v>
      </c>
      <c r="K331" s="2">
        <f>SUM('Budget Detail FY 2016-23'!T631:T650)</f>
        <v>1654108</v>
      </c>
    </row>
    <row r="332" spans="2:11" ht="20.100000000000001" customHeight="1">
      <c r="B332" s="385" t="s">
        <v>696</v>
      </c>
      <c r="C332" s="2">
        <f>'Budget Detail FY 2016-23'!L653+'Budget Detail FY 2016-23'!L652</f>
        <v>0</v>
      </c>
      <c r="D332" s="2">
        <f>'Budget Detail FY 2016-23'!M653+'Budget Detail FY 2016-23'!M652</f>
        <v>6193291</v>
      </c>
      <c r="E332" s="2">
        <f>'Budget Detail FY 2016-23'!N653+'Budget Detail FY 2016-23'!N652</f>
        <v>1098924</v>
      </c>
      <c r="F332" s="2">
        <f>'Budget Detail FY 2016-23'!O653+'Budget Detail FY 2016-23'!O652</f>
        <v>1015982</v>
      </c>
      <c r="G332" s="2">
        <f>'Budget Detail FY 2016-23'!P653+'Budget Detail FY 2016-23'!P652</f>
        <v>0</v>
      </c>
      <c r="H332" s="2">
        <f>'Budget Detail FY 2016-23'!Q653+'Budget Detail FY 2016-23'!Q652</f>
        <v>0</v>
      </c>
      <c r="I332" s="2">
        <f>'Budget Detail FY 2016-23'!R653+'Budget Detail FY 2016-23'!R652</f>
        <v>0</v>
      </c>
      <c r="J332" s="2">
        <f>'Budget Detail FY 2016-23'!S653+'Budget Detail FY 2016-23'!S652</f>
        <v>0</v>
      </c>
      <c r="K332" s="2">
        <f>'Budget Detail FY 2016-23'!T653+'Budget Detail FY 2016-23'!T652</f>
        <v>0</v>
      </c>
    </row>
    <row r="333" spans="2:11" ht="20.100000000000001" customHeight="1" thickBot="1">
      <c r="B333" s="126" t="s">
        <v>710</v>
      </c>
      <c r="C333" s="123">
        <f>SUM(C326:C332)</f>
        <v>3965434</v>
      </c>
      <c r="D333" s="123">
        <f t="shared" ref="D333:K333" si="29">SUM(D326:D332)</f>
        <v>12921770</v>
      </c>
      <c r="E333" s="123">
        <f t="shared" si="29"/>
        <v>5158503</v>
      </c>
      <c r="F333" s="123">
        <f t="shared" si="29"/>
        <v>5103252</v>
      </c>
      <c r="G333" s="123">
        <f t="shared" si="29"/>
        <v>4876371</v>
      </c>
      <c r="H333" s="123">
        <f t="shared" si="29"/>
        <v>5375602</v>
      </c>
      <c r="I333" s="123">
        <f t="shared" si="29"/>
        <v>5037281</v>
      </c>
      <c r="J333" s="123">
        <f t="shared" si="29"/>
        <v>4394828</v>
      </c>
      <c r="K333" s="123">
        <f t="shared" si="29"/>
        <v>4095058</v>
      </c>
    </row>
    <row r="334" spans="2:11" ht="7.5" customHeight="1">
      <c r="B334" s="129"/>
      <c r="C334" s="3"/>
      <c r="D334" s="2"/>
      <c r="E334" s="2"/>
      <c r="F334" s="2"/>
      <c r="G334" s="2"/>
      <c r="H334" s="2"/>
      <c r="I334" s="2"/>
      <c r="J334" s="2"/>
      <c r="K334" s="2"/>
    </row>
    <row r="335" spans="2:11" ht="20.100000000000001" customHeight="1">
      <c r="B335" s="388" t="s">
        <v>698</v>
      </c>
      <c r="C335" s="3">
        <f t="shared" ref="C335:K335" si="30">+C323-C333</f>
        <v>4096296</v>
      </c>
      <c r="D335" s="3">
        <f t="shared" si="30"/>
        <v>-2370144</v>
      </c>
      <c r="E335" s="3">
        <f t="shared" si="30"/>
        <v>-860736</v>
      </c>
      <c r="F335" s="3">
        <f t="shared" si="30"/>
        <v>-536136</v>
      </c>
      <c r="G335" s="3">
        <f t="shared" si="30"/>
        <v>-337853</v>
      </c>
      <c r="H335" s="3">
        <f t="shared" si="30"/>
        <v>-671899</v>
      </c>
      <c r="I335" s="3">
        <f t="shared" si="30"/>
        <v>-162749</v>
      </c>
      <c r="J335" s="3">
        <f t="shared" si="30"/>
        <v>661992</v>
      </c>
      <c r="K335" s="3">
        <f t="shared" si="30"/>
        <v>1152381</v>
      </c>
    </row>
    <row r="336" spans="2:11" ht="7.5" customHeight="1">
      <c r="B336" s="130"/>
      <c r="C336" s="3"/>
      <c r="D336" s="2"/>
      <c r="E336" s="2"/>
      <c r="F336" s="2"/>
      <c r="G336" s="2"/>
      <c r="H336" s="2"/>
      <c r="I336" s="2"/>
      <c r="J336" s="2"/>
      <c r="K336" s="2"/>
    </row>
    <row r="337" spans="2:11" ht="20.100000000000001" customHeight="1" thickBot="1">
      <c r="B337" s="125" t="s">
        <v>711</v>
      </c>
      <c r="C337" s="80">
        <v>5196289</v>
      </c>
      <c r="D337" s="80">
        <v>2826144</v>
      </c>
      <c r="E337" s="80">
        <v>2285570</v>
      </c>
      <c r="F337" s="80">
        <f>D337+F335</f>
        <v>2290008</v>
      </c>
      <c r="G337" s="80">
        <f>F337+G335</f>
        <v>1952155</v>
      </c>
      <c r="H337" s="80">
        <f>G337+H335</f>
        <v>1280256</v>
      </c>
      <c r="I337" s="80">
        <f>H337+I335</f>
        <v>1117507</v>
      </c>
      <c r="J337" s="80">
        <f>I337+J335</f>
        <v>1779499</v>
      </c>
      <c r="K337" s="80">
        <f>J337+K335</f>
        <v>2931880</v>
      </c>
    </row>
    <row r="338" spans="2:11" ht="15.75" thickTop="1">
      <c r="B338" s="131"/>
      <c r="C338" s="132">
        <f t="shared" ref="C338:K338" si="31">+C337/C333</f>
        <v>1.3103960373568189</v>
      </c>
      <c r="D338" s="132">
        <f t="shared" si="31"/>
        <v>0.21871183282166454</v>
      </c>
      <c r="E338" s="132">
        <f t="shared" si="31"/>
        <v>0.44306846385472687</v>
      </c>
      <c r="F338" s="132">
        <f t="shared" si="31"/>
        <v>0.44873504189093544</v>
      </c>
      <c r="G338" s="132">
        <f t="shared" si="31"/>
        <v>0.40032946631829286</v>
      </c>
      <c r="H338" s="132">
        <f t="shared" si="31"/>
        <v>0.23816048881595028</v>
      </c>
      <c r="I338" s="132">
        <f t="shared" si="31"/>
        <v>0.2218472624417816</v>
      </c>
      <c r="J338" s="132">
        <f t="shared" si="31"/>
        <v>0.40490754131902318</v>
      </c>
      <c r="K338" s="132">
        <f t="shared" si="31"/>
        <v>0.71595567144592331</v>
      </c>
    </row>
    <row r="339" spans="2:11">
      <c r="B339" s="131"/>
      <c r="C339" s="132"/>
      <c r="D339" s="132"/>
      <c r="E339" s="132"/>
      <c r="F339" s="132"/>
      <c r="G339" s="132"/>
      <c r="H339" s="132"/>
      <c r="I339" s="132"/>
      <c r="J339" s="132"/>
      <c r="K339" s="132"/>
    </row>
    <row r="340" spans="2:11" ht="7.5" customHeight="1">
      <c r="B340" s="131"/>
      <c r="C340" s="2"/>
      <c r="D340" s="2"/>
      <c r="E340" s="2"/>
      <c r="F340" s="2"/>
      <c r="G340" s="2"/>
      <c r="H340" s="2"/>
      <c r="I340" s="2"/>
      <c r="J340" s="2"/>
      <c r="K340" s="2"/>
    </row>
    <row r="341" spans="2:11">
      <c r="B341" s="1"/>
      <c r="C341" s="2"/>
      <c r="D341" s="2"/>
      <c r="E341" s="2"/>
      <c r="F341" s="2"/>
      <c r="G341" s="2"/>
      <c r="H341" s="2"/>
      <c r="I341" s="2"/>
      <c r="J341" s="2"/>
      <c r="K341" s="2"/>
    </row>
    <row r="342" spans="2:11">
      <c r="B342" s="1"/>
      <c r="C342" s="2"/>
      <c r="D342" s="2"/>
      <c r="E342" s="2"/>
      <c r="F342" s="2"/>
      <c r="G342" s="2"/>
      <c r="H342" s="2"/>
      <c r="I342" s="2"/>
      <c r="J342" s="2"/>
      <c r="K342" s="2"/>
    </row>
    <row r="343" spans="2:11">
      <c r="B343" s="1"/>
      <c r="C343" s="2"/>
      <c r="D343" s="2"/>
      <c r="E343" s="2"/>
      <c r="F343" s="2"/>
      <c r="G343" s="2"/>
      <c r="H343" s="2"/>
      <c r="I343" s="2"/>
      <c r="J343" s="2"/>
      <c r="K343" s="2"/>
    </row>
    <row r="344" spans="2:11">
      <c r="B344" s="1"/>
      <c r="C344" s="2"/>
      <c r="D344" s="2"/>
      <c r="E344" s="2"/>
      <c r="F344" s="2"/>
      <c r="G344" s="2"/>
      <c r="H344" s="2"/>
      <c r="I344" s="2"/>
      <c r="J344" s="2"/>
      <c r="K344" s="2"/>
    </row>
    <row r="345" spans="2:11">
      <c r="B345" s="1"/>
      <c r="C345" s="2"/>
      <c r="D345" s="2"/>
      <c r="E345" s="2"/>
      <c r="F345" s="2"/>
      <c r="G345" s="2"/>
      <c r="H345" s="2"/>
      <c r="I345" s="2"/>
      <c r="J345" s="2"/>
      <c r="K345" s="2"/>
    </row>
    <row r="346" spans="2:11">
      <c r="B346" s="1"/>
      <c r="C346" s="2"/>
      <c r="D346" s="2"/>
      <c r="E346" s="2"/>
      <c r="F346" s="2"/>
      <c r="G346" s="2"/>
      <c r="H346" s="2"/>
      <c r="I346" s="2"/>
      <c r="J346" s="2"/>
      <c r="K346" s="2"/>
    </row>
    <row r="347" spans="2:11">
      <c r="B347" s="1"/>
      <c r="C347" s="2"/>
      <c r="D347" s="2"/>
      <c r="E347" s="2"/>
      <c r="F347" s="2"/>
      <c r="G347" s="2"/>
      <c r="H347" s="2"/>
      <c r="I347" s="2"/>
      <c r="J347" s="2"/>
      <c r="K347" s="2"/>
    </row>
    <row r="348" spans="2:11">
      <c r="B348" s="1"/>
      <c r="C348" s="2"/>
      <c r="D348" s="2"/>
      <c r="E348" s="2"/>
      <c r="F348" s="2"/>
      <c r="G348" s="2"/>
      <c r="H348" s="2"/>
      <c r="I348" s="2"/>
      <c r="J348" s="2"/>
      <c r="K348" s="2"/>
    </row>
    <row r="349" spans="2:11">
      <c r="B349" s="1"/>
      <c r="C349" s="2"/>
      <c r="D349" s="2"/>
      <c r="E349" s="2"/>
      <c r="F349" s="2"/>
      <c r="G349" s="2"/>
      <c r="H349" s="2"/>
      <c r="I349" s="2"/>
      <c r="J349" s="2"/>
      <c r="K349" s="2"/>
    </row>
    <row r="350" spans="2:11">
      <c r="B350" s="1"/>
      <c r="C350" s="2"/>
      <c r="D350" s="2"/>
      <c r="E350" s="2"/>
      <c r="F350" s="2"/>
      <c r="G350" s="2"/>
      <c r="H350" s="2"/>
      <c r="I350" s="2"/>
      <c r="J350" s="2"/>
      <c r="K350" s="2"/>
    </row>
    <row r="351" spans="2:11">
      <c r="B351" s="1"/>
      <c r="C351" s="2"/>
      <c r="D351" s="2"/>
      <c r="E351" s="2"/>
      <c r="F351" s="2"/>
      <c r="G351" s="2"/>
      <c r="H351" s="2"/>
      <c r="I351" s="2"/>
      <c r="J351" s="2"/>
      <c r="K351" s="2"/>
    </row>
    <row r="353" spans="2:11">
      <c r="B353" s="895" t="s">
        <v>712</v>
      </c>
      <c r="C353" s="895"/>
      <c r="D353" s="895"/>
      <c r="E353" s="895"/>
      <c r="F353" s="895"/>
      <c r="G353" s="895"/>
      <c r="H353" s="895"/>
      <c r="I353" s="895"/>
      <c r="J353" s="895"/>
      <c r="K353" s="895"/>
    </row>
    <row r="354" spans="2:11">
      <c r="B354" s="64"/>
      <c r="C354" s="3"/>
      <c r="D354" s="2"/>
      <c r="E354" s="2"/>
      <c r="F354" s="2"/>
      <c r="G354" s="2"/>
      <c r="H354" s="2"/>
      <c r="I354" s="2"/>
      <c r="J354" s="2"/>
      <c r="K354" s="2"/>
    </row>
    <row r="355" spans="2:11" ht="12.75" customHeight="1">
      <c r="B355" s="886" t="s">
        <v>713</v>
      </c>
      <c r="C355" s="886"/>
      <c r="D355" s="886"/>
      <c r="E355" s="886"/>
      <c r="F355" s="886"/>
      <c r="G355" s="886"/>
      <c r="H355" s="886"/>
      <c r="I355" s="886"/>
      <c r="J355" s="886"/>
      <c r="K355" s="886"/>
    </row>
    <row r="356" spans="2:11" ht="18" customHeight="1">
      <c r="B356" s="886"/>
      <c r="C356" s="886"/>
      <c r="D356" s="886"/>
      <c r="E356" s="886"/>
      <c r="F356" s="886"/>
      <c r="G356" s="886"/>
      <c r="H356" s="886"/>
      <c r="I356" s="886"/>
      <c r="J356" s="886"/>
      <c r="K356" s="886"/>
    </row>
    <row r="357" spans="2:11" ht="7.5" customHeight="1">
      <c r="B357" s="418"/>
      <c r="C357" s="21"/>
      <c r="D357" s="21"/>
      <c r="E357" s="21"/>
      <c r="F357" s="2"/>
      <c r="G357" s="2"/>
      <c r="H357" s="2"/>
      <c r="I357" s="2"/>
      <c r="J357" s="2"/>
      <c r="K357" s="2"/>
    </row>
    <row r="358" spans="2:11">
      <c r="B358" s="5"/>
      <c r="C358" s="64"/>
      <c r="D358" s="65"/>
      <c r="E358" s="65" t="s">
        <v>834</v>
      </c>
      <c r="F358" s="1"/>
      <c r="G358" s="1"/>
      <c r="H358" s="1"/>
      <c r="I358" s="1"/>
      <c r="J358" s="1"/>
      <c r="K358" s="1"/>
    </row>
    <row r="359" spans="2:11">
      <c r="B359" s="65"/>
      <c r="C359" s="64" t="s">
        <v>243</v>
      </c>
      <c r="D359" s="64" t="s">
        <v>244</v>
      </c>
      <c r="E359" s="65" t="s">
        <v>679</v>
      </c>
      <c r="F359" s="65" t="s">
        <v>834</v>
      </c>
      <c r="G359" s="65" t="s">
        <v>915</v>
      </c>
      <c r="H359" s="65" t="s">
        <v>946</v>
      </c>
      <c r="I359" s="65" t="s">
        <v>947</v>
      </c>
      <c r="J359" s="65" t="s">
        <v>948</v>
      </c>
      <c r="K359" s="65" t="s">
        <v>949</v>
      </c>
    </row>
    <row r="360" spans="2:11" ht="15.75" thickBot="1">
      <c r="B360" s="135"/>
      <c r="C360" s="67" t="s">
        <v>1</v>
      </c>
      <c r="D360" s="67" t="s">
        <v>1</v>
      </c>
      <c r="E360" s="67" t="s">
        <v>638</v>
      </c>
      <c r="F360" s="67" t="s">
        <v>19</v>
      </c>
      <c r="G360" s="67" t="s">
        <v>679</v>
      </c>
      <c r="H360" s="67" t="s">
        <v>19</v>
      </c>
      <c r="I360" s="67" t="s">
        <v>19</v>
      </c>
      <c r="J360" s="67" t="s">
        <v>19</v>
      </c>
      <c r="K360" s="67" t="s">
        <v>19</v>
      </c>
    </row>
    <row r="361" spans="2:11" ht="7.5" customHeight="1">
      <c r="B361" s="63"/>
      <c r="C361" s="136"/>
      <c r="D361" s="2"/>
      <c r="E361" s="2"/>
      <c r="F361" s="2"/>
      <c r="G361" s="2"/>
      <c r="H361" s="2"/>
      <c r="I361" s="2"/>
      <c r="J361" s="2"/>
      <c r="K361" s="2"/>
    </row>
    <row r="362" spans="2:11">
      <c r="B362" s="127" t="s">
        <v>680</v>
      </c>
      <c r="C362" s="2"/>
      <c r="D362" s="2"/>
      <c r="E362" s="2"/>
      <c r="F362" s="2"/>
      <c r="G362" s="2"/>
      <c r="H362" s="2"/>
      <c r="I362" s="2"/>
      <c r="J362" s="2"/>
      <c r="K362" s="2"/>
    </row>
    <row r="363" spans="2:11" ht="20.100000000000001" customHeight="1">
      <c r="B363" s="384" t="s">
        <v>683</v>
      </c>
      <c r="C363" s="2">
        <f>'Budget Detail FY 2016-23'!L664+'Budget Detail FY 2016-23'!L665</f>
        <v>77350</v>
      </c>
      <c r="D363" s="2">
        <f>'Budget Detail FY 2016-23'!M664+'Budget Detail FY 2016-23'!M665</f>
        <v>105392</v>
      </c>
      <c r="E363" s="2">
        <f>'Budget Detail FY 2016-23'!N664+'Budget Detail FY 2016-23'!N665</f>
        <v>0</v>
      </c>
      <c r="F363" s="2">
        <f>'Budget Detail FY 2016-23'!O664+'Budget Detail FY 2016-23'!O665</f>
        <v>0</v>
      </c>
      <c r="G363" s="2">
        <f>'Budget Detail FY 2016-23'!P664+'Budget Detail FY 2016-23'!P665</f>
        <v>0</v>
      </c>
      <c r="H363" s="2">
        <f>'Budget Detail FY 2016-23'!Q664+'Budget Detail FY 2016-23'!Q665</f>
        <v>0</v>
      </c>
      <c r="I363" s="2">
        <f>'Budget Detail FY 2016-23'!R664+'Budget Detail FY 2016-23'!R665</f>
        <v>0</v>
      </c>
      <c r="J363" s="2">
        <f>'Budget Detail FY 2016-23'!S664+'Budget Detail FY 2016-23'!S665</f>
        <v>0</v>
      </c>
      <c r="K363" s="2">
        <f>'Budget Detail FY 2016-23'!T664+'Budget Detail FY 2016-23'!T665</f>
        <v>0</v>
      </c>
    </row>
    <row r="364" spans="2:11" ht="20.100000000000001" customHeight="1">
      <c r="B364" s="385" t="s">
        <v>685</v>
      </c>
      <c r="C364" s="2">
        <f>SUM('Budget Detail FY 2016-23'!L666:L671)</f>
        <v>1312456</v>
      </c>
      <c r="D364" s="2">
        <f>SUM('Budget Detail FY 2016-23'!M666:M671)</f>
        <v>1286891</v>
      </c>
      <c r="E364" s="2">
        <f>SUM('Budget Detail FY 2016-23'!N666:N671)</f>
        <v>1266026</v>
      </c>
      <c r="F364" s="2">
        <f>SUM('Budget Detail FY 2016-23'!O666:O671)</f>
        <v>1546883</v>
      </c>
      <c r="G364" s="2">
        <f>SUM('Budget Detail FY 2016-23'!P666:P671)</f>
        <v>1558658</v>
      </c>
      <c r="H364" s="2">
        <f>SUM('Budget Detail FY 2016-23'!Q666:Q671)</f>
        <v>1565336</v>
      </c>
      <c r="I364" s="2">
        <f>SUM('Budget Detail FY 2016-23'!R666:R671)</f>
        <v>1594050</v>
      </c>
      <c r="J364" s="2">
        <f>SUM('Budget Detail FY 2016-23'!S666:S671)</f>
        <v>1623626</v>
      </c>
      <c r="K364" s="2">
        <f>SUM('Budget Detail FY 2016-23'!T666:T671)</f>
        <v>1654089</v>
      </c>
    </row>
    <row r="365" spans="2:11" ht="20.100000000000001" customHeight="1">
      <c r="B365" s="385" t="s">
        <v>686</v>
      </c>
      <c r="C365" s="2">
        <f>'Budget Detail FY 2016-23'!L672</f>
        <v>1193</v>
      </c>
      <c r="D365" s="2">
        <f>'Budget Detail FY 2016-23'!M672</f>
        <v>3899</v>
      </c>
      <c r="E365" s="2">
        <f>'Budget Detail FY 2016-23'!N672</f>
        <v>1250</v>
      </c>
      <c r="F365" s="2">
        <f>'Budget Detail FY 2016-23'!O672</f>
        <v>14500</v>
      </c>
      <c r="G365" s="2">
        <f>'Budget Detail FY 2016-23'!P672</f>
        <v>1250</v>
      </c>
      <c r="H365" s="2">
        <f>'Budget Detail FY 2016-23'!Q672</f>
        <v>1250</v>
      </c>
      <c r="I365" s="2">
        <f>'Budget Detail FY 2016-23'!R672</f>
        <v>1250</v>
      </c>
      <c r="J365" s="2">
        <f>'Budget Detail FY 2016-23'!S672</f>
        <v>1250</v>
      </c>
      <c r="K365" s="2">
        <f>'Budget Detail FY 2016-23'!T672</f>
        <v>0</v>
      </c>
    </row>
    <row r="366" spans="2:11" ht="20.100000000000001" customHeight="1">
      <c r="B366" s="385" t="s">
        <v>687</v>
      </c>
      <c r="C366" s="2">
        <f>SUM('Budget Detail FY 2016-23'!L673:L673)</f>
        <v>1264</v>
      </c>
      <c r="D366" s="2">
        <f>SUM('Budget Detail FY 2016-23'!M673:M673)</f>
        <v>8149</v>
      </c>
      <c r="E366" s="2">
        <f>SUM('Budget Detail FY 2016-23'!N673:N673)</f>
        <v>0</v>
      </c>
      <c r="F366" s="2">
        <f>SUM('Budget Detail FY 2016-23'!O673:O673)</f>
        <v>0</v>
      </c>
      <c r="G366" s="2">
        <f>SUM('Budget Detail FY 2016-23'!P673:P673)</f>
        <v>0</v>
      </c>
      <c r="H366" s="2">
        <f>SUM('Budget Detail FY 2016-23'!Q673:Q673)</f>
        <v>0</v>
      </c>
      <c r="I366" s="2">
        <f>SUM('Budget Detail FY 2016-23'!R673:R673)</f>
        <v>0</v>
      </c>
      <c r="J366" s="2">
        <f>SUM('Budget Detail FY 2016-23'!S673:S673)</f>
        <v>0</v>
      </c>
      <c r="K366" s="2">
        <f>SUM('Budget Detail FY 2016-23'!T673:T673)</f>
        <v>0</v>
      </c>
    </row>
    <row r="367" spans="2:11" ht="20.100000000000001" customHeight="1">
      <c r="B367" s="385" t="s">
        <v>689</v>
      </c>
      <c r="C367" s="2">
        <f>'Budget Detail FY 2016-23'!L674</f>
        <v>1134654</v>
      </c>
      <c r="D367" s="2">
        <f>'Budget Detail FY 2016-23'!M674</f>
        <v>1134052</v>
      </c>
      <c r="E367" s="2">
        <f>'Budget Detail FY 2016-23'!N674</f>
        <v>1137166</v>
      </c>
      <c r="F367" s="2">
        <f>'Budget Detail FY 2016-23'!O674</f>
        <v>1137166</v>
      </c>
      <c r="G367" s="2">
        <f>'Budget Detail FY 2016-23'!P674</f>
        <v>856583</v>
      </c>
      <c r="H367" s="2">
        <f>'Budget Detail FY 2016-23'!Q674</f>
        <v>609088</v>
      </c>
      <c r="I367" s="2">
        <f>'Budget Detail FY 2016-23'!R674</f>
        <v>586749</v>
      </c>
      <c r="J367" s="2">
        <f>'Budget Detail FY 2016-23'!S674</f>
        <v>994479</v>
      </c>
      <c r="K367" s="2">
        <f>'Budget Detail FY 2016-23'!T674</f>
        <v>1135964</v>
      </c>
    </row>
    <row r="368" spans="2:11" ht="20.100000000000001" customHeight="1" thickBot="1">
      <c r="B368" s="126" t="s">
        <v>690</v>
      </c>
      <c r="C368" s="123">
        <f t="shared" ref="C368:K368" si="32">SUM(C363:C367)</f>
        <v>2526917</v>
      </c>
      <c r="D368" s="123">
        <f t="shared" si="32"/>
        <v>2538383</v>
      </c>
      <c r="E368" s="123">
        <f t="shared" si="32"/>
        <v>2404442</v>
      </c>
      <c r="F368" s="123">
        <f t="shared" si="32"/>
        <v>2698549</v>
      </c>
      <c r="G368" s="123">
        <f t="shared" si="32"/>
        <v>2416491</v>
      </c>
      <c r="H368" s="123">
        <f t="shared" si="32"/>
        <v>2175674</v>
      </c>
      <c r="I368" s="123">
        <f t="shared" si="32"/>
        <v>2182049</v>
      </c>
      <c r="J368" s="123">
        <f t="shared" si="32"/>
        <v>2619355</v>
      </c>
      <c r="K368" s="123">
        <f t="shared" si="32"/>
        <v>2790053</v>
      </c>
    </row>
    <row r="369" spans="2:11" ht="7.5" customHeight="1">
      <c r="B369" s="1"/>
      <c r="C369" s="2"/>
      <c r="D369" s="2"/>
      <c r="E369" s="2"/>
      <c r="F369" s="2"/>
      <c r="G369" s="2"/>
      <c r="H369" s="2"/>
      <c r="I369" s="2"/>
      <c r="J369" s="2"/>
      <c r="K369" s="2"/>
    </row>
    <row r="370" spans="2:11">
      <c r="B370" s="127" t="s">
        <v>486</v>
      </c>
      <c r="C370" s="2"/>
      <c r="D370" s="2"/>
      <c r="E370" s="2"/>
      <c r="F370" s="2"/>
      <c r="G370" s="2"/>
      <c r="H370" s="2"/>
      <c r="I370" s="2"/>
      <c r="J370" s="2"/>
      <c r="K370" s="2"/>
    </row>
    <row r="371" spans="2:11" ht="20.100000000000001" customHeight="1">
      <c r="B371" s="386" t="s">
        <v>691</v>
      </c>
      <c r="C371" s="2">
        <f>SUM('Budget Detail FY 2016-23'!L679:L680)</f>
        <v>205371</v>
      </c>
      <c r="D371" s="2">
        <f>SUM('Budget Detail FY 2016-23'!M679:M680)</f>
        <v>212574</v>
      </c>
      <c r="E371" s="2">
        <f>SUM('Budget Detail FY 2016-23'!N679:N680)</f>
        <v>223555</v>
      </c>
      <c r="F371" s="2">
        <f>SUM('Budget Detail FY 2016-23'!O679:O680)</f>
        <v>222305</v>
      </c>
      <c r="G371" s="2">
        <f>SUM('Budget Detail FY 2016-23'!P679:P680)</f>
        <v>234507</v>
      </c>
      <c r="H371" s="2">
        <f>SUM('Budget Detail FY 2016-23'!Q679:Q680)</f>
        <v>241512</v>
      </c>
      <c r="I371" s="2">
        <f>SUM('Budget Detail FY 2016-23'!R679:R680)</f>
        <v>248727</v>
      </c>
      <c r="J371" s="2">
        <f>SUM('Budget Detail FY 2016-23'!S679:S680)</f>
        <v>256159</v>
      </c>
      <c r="K371" s="2">
        <f>SUM('Budget Detail FY 2016-23'!T679:T680)</f>
        <v>263814</v>
      </c>
    </row>
    <row r="372" spans="2:11" ht="20.100000000000001" customHeight="1">
      <c r="B372" s="386" t="s">
        <v>692</v>
      </c>
      <c r="C372" s="2">
        <f>SUM('Budget Detail FY 2016-23'!L681:L688)</f>
        <v>104560</v>
      </c>
      <c r="D372" s="2">
        <f>SUM('Budget Detail FY 2016-23'!M681:M688)</f>
        <v>105974</v>
      </c>
      <c r="E372" s="2">
        <f>SUM('Budget Detail FY 2016-23'!N681:N688)</f>
        <v>115847</v>
      </c>
      <c r="F372" s="2">
        <f>SUM('Budget Detail FY 2016-23'!O681:O688)</f>
        <v>115319</v>
      </c>
      <c r="G372" s="2">
        <f>SUM('Budget Detail FY 2016-23'!P681:P688)</f>
        <v>113682</v>
      </c>
      <c r="H372" s="2">
        <f>SUM('Budget Detail FY 2016-23'!Q681:Q688)</f>
        <v>120712</v>
      </c>
      <c r="I372" s="2">
        <f>SUM('Budget Detail FY 2016-23'!R681:R688)</f>
        <v>127585</v>
      </c>
      <c r="J372" s="2">
        <f>SUM('Budget Detail FY 2016-23'!S681:S688)</f>
        <v>134936</v>
      </c>
      <c r="K372" s="2">
        <f>SUM('Budget Detail FY 2016-23'!T681:T688)</f>
        <v>142778</v>
      </c>
    </row>
    <row r="373" spans="2:11" ht="20.100000000000001" customHeight="1">
      <c r="B373" s="386" t="s">
        <v>693</v>
      </c>
      <c r="C373" s="2">
        <f>SUM('Budget Detail FY 2016-23'!L689:L706)</f>
        <v>177716</v>
      </c>
      <c r="D373" s="2">
        <f>SUM('Budget Detail FY 2016-23'!M689:M706)</f>
        <v>170831</v>
      </c>
      <c r="E373" s="2">
        <f>SUM('Budget Detail FY 2016-23'!N689:N706)</f>
        <v>152882</v>
      </c>
      <c r="F373" s="2">
        <f>SUM('Budget Detail FY 2016-23'!O689:O706)</f>
        <v>153781</v>
      </c>
      <c r="G373" s="2">
        <f>SUM('Budget Detail FY 2016-23'!P689:P706)</f>
        <v>139140</v>
      </c>
      <c r="H373" s="2">
        <f>SUM('Budget Detail FY 2016-23'!Q689:Q706)</f>
        <v>139422</v>
      </c>
      <c r="I373" s="2">
        <f>SUM('Budget Detail FY 2016-23'!R689:R706)</f>
        <v>143050</v>
      </c>
      <c r="J373" s="2">
        <f>SUM('Budget Detail FY 2016-23'!S689:S706)</f>
        <v>144190</v>
      </c>
      <c r="K373" s="2">
        <f>SUM('Budget Detail FY 2016-23'!T689:T706)</f>
        <v>144105</v>
      </c>
    </row>
    <row r="374" spans="2:11" ht="20.100000000000001" customHeight="1">
      <c r="B374" s="386" t="s">
        <v>694</v>
      </c>
      <c r="C374" s="2">
        <f>SUM('Budget Detail FY 2016-23'!L707:L716)</f>
        <v>38924</v>
      </c>
      <c r="D374" s="2">
        <f>SUM('Budget Detail FY 2016-23'!M707:M716)</f>
        <v>38912</v>
      </c>
      <c r="E374" s="2">
        <f>SUM('Budget Detail FY 2016-23'!N707:N716)</f>
        <v>54908</v>
      </c>
      <c r="F374" s="2">
        <f>SUM('Budget Detail FY 2016-23'!O707:O716)</f>
        <v>45808</v>
      </c>
      <c r="G374" s="2">
        <f>SUM('Budget Detail FY 2016-23'!P707:P716)</f>
        <v>51080</v>
      </c>
      <c r="H374" s="2">
        <f>SUM('Budget Detail FY 2016-23'!Q707:Q716)</f>
        <v>51650</v>
      </c>
      <c r="I374" s="2">
        <f>SUM('Budget Detail FY 2016-23'!R707:R716)</f>
        <v>52774</v>
      </c>
      <c r="J374" s="2">
        <f>SUM('Budget Detail FY 2016-23'!S707:S716)</f>
        <v>53954</v>
      </c>
      <c r="K374" s="2">
        <f>SUM('Budget Detail FY 2016-23'!T707:T716)</f>
        <v>55193</v>
      </c>
    </row>
    <row r="375" spans="2:11" ht="20.100000000000001" customHeight="1">
      <c r="B375" s="386" t="s">
        <v>695</v>
      </c>
      <c r="C375" s="2">
        <f>SUM('Budget Detail FY 2016-23'!L717:L724)</f>
        <v>284509</v>
      </c>
      <c r="D375" s="2">
        <f>SUM('Budget Detail FY 2016-23'!M717:M724)</f>
        <v>228131</v>
      </c>
      <c r="E375" s="2">
        <f>SUM('Budget Detail FY 2016-23'!N717:N724)</f>
        <v>272435</v>
      </c>
      <c r="F375" s="2">
        <f>SUM('Budget Detail FY 2016-23'!O717:O724)</f>
        <v>218765</v>
      </c>
      <c r="G375" s="2">
        <f>SUM('Budget Detail FY 2016-23'!P717:P724)</f>
        <v>513167</v>
      </c>
      <c r="H375" s="2">
        <f>SUM('Budget Detail FY 2016-23'!Q717:Q724)</f>
        <v>326017</v>
      </c>
      <c r="I375" s="2">
        <f>SUM('Budget Detail FY 2016-23'!R717:R724)</f>
        <v>259015</v>
      </c>
      <c r="J375" s="2">
        <f>SUM('Budget Detail FY 2016-23'!S717:S724)</f>
        <v>514015</v>
      </c>
      <c r="K375" s="2">
        <f>SUM('Budget Detail FY 2016-23'!T717:T724)</f>
        <v>219672</v>
      </c>
    </row>
    <row r="376" spans="2:11" ht="20.100000000000001" customHeight="1">
      <c r="B376" s="387" t="s">
        <v>709</v>
      </c>
      <c r="C376" s="2">
        <f>SUM('Budget Detail FY 2016-23'!L725:L725)</f>
        <v>32890</v>
      </c>
      <c r="D376" s="2">
        <f>SUM('Budget Detail FY 2016-23'!M725:M725)</f>
        <v>33872</v>
      </c>
      <c r="E376" s="2">
        <f>SUM('Budget Detail FY 2016-23'!N725:N725)</f>
        <v>34888</v>
      </c>
      <c r="F376" s="2">
        <f>SUM('Budget Detail FY 2016-23'!O725:O725)</f>
        <v>34888</v>
      </c>
      <c r="G376" s="2">
        <f>SUM('Budget Detail FY 2016-23'!P725:P725)</f>
        <v>35938</v>
      </c>
      <c r="H376" s="2">
        <f>SUM('Budget Detail FY 2016-23'!Q725:Q725)</f>
        <v>30076</v>
      </c>
      <c r="I376" s="2">
        <f>SUM('Budget Detail FY 2016-23'!R725:R725)</f>
        <v>0</v>
      </c>
      <c r="J376" s="2">
        <f>SUM('Budget Detail FY 2016-23'!S725:S725)</f>
        <v>0</v>
      </c>
      <c r="K376" s="2">
        <f>SUM('Budget Detail FY 2016-23'!T725:T725)</f>
        <v>0</v>
      </c>
    </row>
    <row r="377" spans="2:11" ht="20.100000000000001" customHeight="1">
      <c r="B377" s="387" t="s">
        <v>626</v>
      </c>
      <c r="C377" s="2">
        <f>SUM('Budget Detail FY 2016-23'!L726:L737)</f>
        <v>1865399</v>
      </c>
      <c r="D377" s="2">
        <f>SUM('Budget Detail FY 2016-23'!M726:M737)</f>
        <v>1865857</v>
      </c>
      <c r="E377" s="2">
        <f>SUM('Budget Detail FY 2016-23'!N726:N737)</f>
        <v>1877110</v>
      </c>
      <c r="F377" s="2">
        <f>SUM('Budget Detail FY 2016-23'!O726:O737)</f>
        <v>1877110</v>
      </c>
      <c r="G377" s="2">
        <f>SUM('Budget Detail FY 2016-23'!P726:P737)</f>
        <v>1880265</v>
      </c>
      <c r="H377" s="2">
        <f>SUM('Budget Detail FY 2016-23'!Q726:Q737)</f>
        <v>1352307</v>
      </c>
      <c r="I377" s="2">
        <f>SUM('Budget Detail FY 2016-23'!R726:R737)</f>
        <v>1300798</v>
      </c>
      <c r="J377" s="2">
        <f>SUM('Budget Detail FY 2016-23'!S726:S737)</f>
        <v>1300780</v>
      </c>
      <c r="K377" s="2">
        <f>SUM('Budget Detail FY 2016-23'!T726:T737)</f>
        <v>1299024</v>
      </c>
    </row>
    <row r="378" spans="2:11" ht="20.100000000000001" customHeight="1">
      <c r="B378" s="387" t="s">
        <v>696</v>
      </c>
      <c r="C378" s="2">
        <f>SUM('Budget Detail FY 2016-23'!L738:L738)</f>
        <v>76275</v>
      </c>
      <c r="D378" s="2">
        <f>SUM('Budget Detail FY 2016-23'!M738:M738)</f>
        <v>75075</v>
      </c>
      <c r="E378" s="2">
        <f>SUM('Budget Detail FY 2016-23'!N738:N738)</f>
        <v>73875</v>
      </c>
      <c r="F378" s="2">
        <f>SUM('Budget Detail FY 2016-23'!O738:O738)</f>
        <v>73875</v>
      </c>
      <c r="G378" s="2">
        <f>SUM('Budget Detail FY 2016-23'!P738:P738)</f>
        <v>77675</v>
      </c>
      <c r="H378" s="2">
        <f>SUM('Budget Detail FY 2016-23'!Q738:Q738)</f>
        <v>73875</v>
      </c>
      <c r="I378" s="2">
        <f>SUM('Budget Detail FY 2016-23'!R738:R738)</f>
        <v>75125</v>
      </c>
      <c r="J378" s="2">
        <f>SUM('Budget Detail FY 2016-23'!S738:S738)</f>
        <v>75675</v>
      </c>
      <c r="K378" s="2">
        <f>SUM('Budget Detail FY 2016-23'!T738:T738)</f>
        <v>73650</v>
      </c>
    </row>
    <row r="379" spans="2:11" ht="20.100000000000001" customHeight="1" thickBot="1">
      <c r="B379" s="126" t="s">
        <v>710</v>
      </c>
      <c r="C379" s="123">
        <f t="shared" ref="C379:J379" si="33">SUM(C371:C378)</f>
        <v>2785644</v>
      </c>
      <c r="D379" s="123">
        <f>SUM(D371:D378)</f>
        <v>2731226</v>
      </c>
      <c r="E379" s="123">
        <f t="shared" si="33"/>
        <v>2805500</v>
      </c>
      <c r="F379" s="123">
        <f>SUM(F371:F378)</f>
        <v>2741851</v>
      </c>
      <c r="G379" s="123">
        <f t="shared" si="33"/>
        <v>3045454</v>
      </c>
      <c r="H379" s="123">
        <f t="shared" si="33"/>
        <v>2335571</v>
      </c>
      <c r="I379" s="123">
        <f t="shared" si="33"/>
        <v>2207074</v>
      </c>
      <c r="J379" s="123">
        <f t="shared" si="33"/>
        <v>2479709</v>
      </c>
      <c r="K379" s="123">
        <f>SUM(K371:K378)</f>
        <v>2198236</v>
      </c>
    </row>
    <row r="380" spans="2:11" ht="7.5" customHeight="1">
      <c r="B380" s="129"/>
      <c r="C380" s="3"/>
      <c r="D380" s="2"/>
      <c r="E380" s="2"/>
      <c r="F380" s="2"/>
      <c r="G380" s="2"/>
      <c r="H380" s="2"/>
      <c r="I380" s="2"/>
      <c r="J380" s="2"/>
      <c r="K380" s="2"/>
    </row>
    <row r="381" spans="2:11" ht="20.100000000000001" customHeight="1">
      <c r="B381" s="388" t="s">
        <v>698</v>
      </c>
      <c r="C381" s="3">
        <f t="shared" ref="C381:K381" si="34">+C368-C379</f>
        <v>-258727</v>
      </c>
      <c r="D381" s="3">
        <f t="shared" si="34"/>
        <v>-192843</v>
      </c>
      <c r="E381" s="3">
        <f t="shared" si="34"/>
        <v>-401058</v>
      </c>
      <c r="F381" s="3">
        <f t="shared" si="34"/>
        <v>-43302</v>
      </c>
      <c r="G381" s="3">
        <f t="shared" si="34"/>
        <v>-628963</v>
      </c>
      <c r="H381" s="3">
        <f t="shared" si="34"/>
        <v>-159897</v>
      </c>
      <c r="I381" s="3">
        <f t="shared" si="34"/>
        <v>-25025</v>
      </c>
      <c r="J381" s="3">
        <f t="shared" si="34"/>
        <v>139646</v>
      </c>
      <c r="K381" s="3">
        <f t="shared" si="34"/>
        <v>591817</v>
      </c>
    </row>
    <row r="382" spans="2:11" ht="7.5" customHeight="1">
      <c r="B382" s="130"/>
      <c r="C382" s="3"/>
      <c r="D382" s="2"/>
      <c r="E382" s="2"/>
      <c r="F382" s="2"/>
      <c r="G382" s="2"/>
      <c r="H382" s="2"/>
      <c r="I382" s="2"/>
      <c r="J382" s="2"/>
      <c r="K382" s="2"/>
    </row>
    <row r="383" spans="2:11" ht="20.100000000000001" customHeight="1" thickBot="1">
      <c r="B383" s="125" t="s">
        <v>711</v>
      </c>
      <c r="C383" s="80">
        <v>1570874</v>
      </c>
      <c r="D383" s="80">
        <v>1378030</v>
      </c>
      <c r="E383" s="80">
        <v>913772</v>
      </c>
      <c r="F383" s="80">
        <f>D383+F381</f>
        <v>1334728</v>
      </c>
      <c r="G383" s="80">
        <f>F383+G381</f>
        <v>705765</v>
      </c>
      <c r="H383" s="80">
        <f>G383+H381</f>
        <v>545868</v>
      </c>
      <c r="I383" s="80">
        <f>H383+I381</f>
        <v>520843</v>
      </c>
      <c r="J383" s="80">
        <f>I383+J381</f>
        <v>660489</v>
      </c>
      <c r="K383" s="80">
        <f>J383+K381</f>
        <v>1252306</v>
      </c>
    </row>
    <row r="384" spans="2:11" ht="15.75" thickTop="1">
      <c r="B384" s="131"/>
      <c r="C384" s="132">
        <f t="shared" ref="C384:K384" si="35">+C383/C379</f>
        <v>0.563917715257226</v>
      </c>
      <c r="D384" s="132">
        <f t="shared" si="35"/>
        <v>0.50454630997215166</v>
      </c>
      <c r="E384" s="132">
        <f t="shared" si="35"/>
        <v>0.32570736054179289</v>
      </c>
      <c r="F384" s="132">
        <f t="shared" si="35"/>
        <v>0.48679815205129673</v>
      </c>
      <c r="G384" s="132">
        <f t="shared" si="35"/>
        <v>0.23174377284963096</v>
      </c>
      <c r="H384" s="132">
        <f t="shared" si="35"/>
        <v>0.23371929177062054</v>
      </c>
      <c r="I384" s="132">
        <f t="shared" si="35"/>
        <v>0.23598800946411402</v>
      </c>
      <c r="J384" s="132">
        <f t="shared" si="35"/>
        <v>0.26635746371852503</v>
      </c>
      <c r="K384" s="132">
        <f t="shared" si="35"/>
        <v>0.56968678522233285</v>
      </c>
    </row>
    <row r="385" spans="2:11">
      <c r="B385" s="131"/>
      <c r="C385" s="132"/>
      <c r="D385" s="132"/>
      <c r="E385" s="132"/>
      <c r="F385" s="132"/>
      <c r="G385" s="132"/>
      <c r="H385" s="132"/>
      <c r="I385" s="132"/>
      <c r="J385" s="132"/>
      <c r="K385" s="132"/>
    </row>
    <row r="386" spans="2:11" ht="7.5" customHeight="1">
      <c r="B386" s="131"/>
      <c r="C386" s="2"/>
      <c r="D386" s="2"/>
      <c r="E386" s="2"/>
      <c r="F386" s="2"/>
      <c r="G386" s="2"/>
      <c r="H386" s="2"/>
      <c r="I386" s="2"/>
      <c r="J386" s="2"/>
      <c r="K386" s="2"/>
    </row>
    <row r="387" spans="2:11">
      <c r="B387" s="1"/>
      <c r="C387" s="2"/>
      <c r="D387" s="2"/>
      <c r="E387" s="2"/>
      <c r="F387" s="2"/>
      <c r="G387" s="2"/>
      <c r="H387" s="2"/>
      <c r="I387" s="2"/>
      <c r="J387" s="2"/>
      <c r="K387" s="2"/>
    </row>
    <row r="388" spans="2:11">
      <c r="B388" s="1"/>
      <c r="C388" s="2"/>
      <c r="D388" s="2"/>
      <c r="E388" s="2"/>
      <c r="F388" s="2"/>
      <c r="G388" s="2"/>
      <c r="H388" s="2"/>
      <c r="I388" s="2"/>
      <c r="J388" s="2"/>
      <c r="K388" s="2"/>
    </row>
    <row r="389" spans="2:11">
      <c r="B389" s="1"/>
      <c r="C389" s="2"/>
      <c r="D389" s="2"/>
      <c r="E389" s="2"/>
      <c r="F389" s="2"/>
      <c r="G389" s="2"/>
      <c r="H389" s="2"/>
      <c r="I389" s="2"/>
      <c r="J389" s="2"/>
      <c r="K389" s="2"/>
    </row>
    <row r="390" spans="2:11">
      <c r="B390" s="1"/>
      <c r="C390" s="2"/>
      <c r="D390" s="2"/>
      <c r="E390" s="2"/>
      <c r="F390" s="2"/>
      <c r="G390" s="2"/>
      <c r="H390" s="2"/>
      <c r="I390" s="2"/>
      <c r="J390" s="2"/>
      <c r="K390" s="2"/>
    </row>
    <row r="391" spans="2:11">
      <c r="B391" s="1"/>
      <c r="C391" s="2"/>
      <c r="D391" s="2"/>
      <c r="E391" s="2"/>
      <c r="F391" s="2"/>
      <c r="G391" s="2"/>
      <c r="H391" s="2"/>
      <c r="I391" s="2"/>
      <c r="J391" s="2"/>
      <c r="K391" s="2"/>
    </row>
    <row r="392" spans="2:11">
      <c r="B392" s="1"/>
      <c r="C392" s="2"/>
      <c r="D392" s="2"/>
      <c r="E392" s="2"/>
      <c r="F392" s="2"/>
      <c r="G392" s="2"/>
      <c r="H392" s="2"/>
      <c r="I392" s="2"/>
      <c r="J392" s="2"/>
      <c r="K392" s="2"/>
    </row>
    <row r="393" spans="2:11">
      <c r="B393" s="1"/>
      <c r="C393" s="2"/>
      <c r="D393" s="2"/>
      <c r="E393" s="2"/>
      <c r="F393" s="2"/>
      <c r="G393" s="2"/>
      <c r="H393" s="2"/>
      <c r="I393" s="2"/>
      <c r="J393" s="2"/>
      <c r="K393" s="2"/>
    </row>
    <row r="394" spans="2:11">
      <c r="B394" s="1"/>
      <c r="C394" s="2"/>
      <c r="D394" s="2"/>
      <c r="E394" s="2"/>
      <c r="F394" s="2"/>
      <c r="G394" s="2"/>
      <c r="H394" s="2"/>
      <c r="I394" s="2"/>
      <c r="J394" s="2"/>
      <c r="K394" s="2"/>
    </row>
    <row r="395" spans="2:11">
      <c r="B395" s="1"/>
      <c r="C395" s="2"/>
      <c r="D395" s="2"/>
      <c r="E395" s="2"/>
      <c r="F395" s="2"/>
      <c r="G395" s="2"/>
      <c r="H395" s="2"/>
      <c r="I395" s="2"/>
      <c r="J395" s="2"/>
      <c r="K395" s="2"/>
    </row>
    <row r="396" spans="2:11">
      <c r="B396" s="1"/>
      <c r="C396" s="2"/>
      <c r="D396" s="2"/>
      <c r="E396" s="2"/>
      <c r="F396" s="2"/>
      <c r="G396" s="2"/>
      <c r="H396" s="2"/>
      <c r="I396" s="2"/>
      <c r="J396" s="2"/>
      <c r="K396" s="2"/>
    </row>
    <row r="397" spans="2:11">
      <c r="B397" s="1"/>
      <c r="C397" s="2"/>
      <c r="D397" s="2"/>
      <c r="E397" s="2"/>
      <c r="F397" s="2"/>
      <c r="G397" s="2"/>
      <c r="H397" s="2"/>
      <c r="I397" s="2"/>
      <c r="J397" s="2"/>
      <c r="K397" s="2"/>
    </row>
    <row r="398" spans="2:11">
      <c r="B398" s="1"/>
      <c r="C398" s="2"/>
      <c r="D398" s="2"/>
      <c r="E398" s="2"/>
      <c r="F398" s="2"/>
      <c r="G398" s="2"/>
      <c r="H398" s="2"/>
      <c r="I398" s="2"/>
      <c r="J398" s="2"/>
      <c r="K398" s="2"/>
    </row>
    <row r="401" spans="2:11">
      <c r="B401" s="895" t="s">
        <v>714</v>
      </c>
      <c r="C401" s="895"/>
      <c r="D401" s="895"/>
      <c r="E401" s="895"/>
      <c r="F401" s="895"/>
      <c r="G401" s="895"/>
      <c r="H401" s="895"/>
      <c r="I401" s="895"/>
      <c r="J401" s="895"/>
      <c r="K401" s="895"/>
    </row>
    <row r="402" spans="2:11">
      <c r="B402" s="64"/>
      <c r="C402" s="3"/>
      <c r="D402" s="2"/>
      <c r="E402" s="2"/>
      <c r="F402" s="2"/>
      <c r="G402" s="2"/>
      <c r="H402" s="2"/>
      <c r="I402" s="2"/>
      <c r="J402" s="2"/>
      <c r="K402" s="2"/>
    </row>
    <row r="403" spans="2:11" ht="12.75" customHeight="1">
      <c r="B403" s="897" t="s">
        <v>715</v>
      </c>
      <c r="C403" s="897"/>
      <c r="D403" s="897"/>
      <c r="E403" s="897"/>
      <c r="F403" s="897"/>
      <c r="G403" s="897"/>
      <c r="H403" s="897"/>
      <c r="I403" s="897"/>
      <c r="J403" s="897"/>
      <c r="K403" s="897"/>
    </row>
    <row r="404" spans="2:11" ht="12.75" customHeight="1">
      <c r="B404" s="897"/>
      <c r="C404" s="897"/>
      <c r="D404" s="897"/>
      <c r="E404" s="897"/>
      <c r="F404" s="897"/>
      <c r="G404" s="897"/>
      <c r="H404" s="897"/>
      <c r="I404" s="897"/>
      <c r="J404" s="897"/>
      <c r="K404" s="897"/>
    </row>
    <row r="405" spans="2:11" ht="18.75" customHeight="1">
      <c r="B405" s="897"/>
      <c r="C405" s="897"/>
      <c r="D405" s="897"/>
      <c r="E405" s="897"/>
      <c r="F405" s="897"/>
      <c r="G405" s="897"/>
      <c r="H405" s="897"/>
      <c r="I405" s="897"/>
      <c r="J405" s="897"/>
      <c r="K405" s="897"/>
    </row>
    <row r="406" spans="2:11">
      <c r="B406" s="5"/>
      <c r="C406" s="64"/>
      <c r="D406" s="65"/>
      <c r="E406" s="65" t="s">
        <v>834</v>
      </c>
      <c r="F406" s="1"/>
      <c r="G406" s="1"/>
      <c r="H406" s="1"/>
      <c r="I406" s="1"/>
      <c r="J406" s="1"/>
      <c r="K406" s="1"/>
    </row>
    <row r="407" spans="2:11">
      <c r="B407" s="65"/>
      <c r="C407" s="64" t="s">
        <v>243</v>
      </c>
      <c r="D407" s="64" t="s">
        <v>244</v>
      </c>
      <c r="E407" s="65" t="s">
        <v>679</v>
      </c>
      <c r="F407" s="65" t="s">
        <v>834</v>
      </c>
      <c r="G407" s="65" t="s">
        <v>915</v>
      </c>
      <c r="H407" s="65" t="s">
        <v>946</v>
      </c>
      <c r="I407" s="65" t="s">
        <v>947</v>
      </c>
      <c r="J407" s="65" t="s">
        <v>948</v>
      </c>
      <c r="K407" s="65" t="s">
        <v>949</v>
      </c>
    </row>
    <row r="408" spans="2:11" ht="15.75" thickBot="1">
      <c r="B408" s="135"/>
      <c r="C408" s="67" t="s">
        <v>1</v>
      </c>
      <c r="D408" s="67" t="s">
        <v>1</v>
      </c>
      <c r="E408" s="67" t="s">
        <v>638</v>
      </c>
      <c r="F408" s="67" t="s">
        <v>19</v>
      </c>
      <c r="G408" s="67" t="s">
        <v>679</v>
      </c>
      <c r="H408" s="67" t="s">
        <v>19</v>
      </c>
      <c r="I408" s="67" t="s">
        <v>19</v>
      </c>
      <c r="J408" s="67" t="s">
        <v>19</v>
      </c>
      <c r="K408" s="67" t="s">
        <v>19</v>
      </c>
    </row>
    <row r="409" spans="2:11">
      <c r="B409" s="63"/>
      <c r="C409" s="136"/>
      <c r="D409" s="2"/>
      <c r="E409" s="2"/>
      <c r="F409" s="2"/>
      <c r="G409" s="2"/>
      <c r="H409" s="2"/>
      <c r="I409" s="2"/>
      <c r="J409" s="2"/>
      <c r="K409" s="2"/>
    </row>
    <row r="410" spans="2:11">
      <c r="B410" s="127" t="s">
        <v>680</v>
      </c>
      <c r="C410" s="2"/>
      <c r="D410" s="2"/>
      <c r="E410" s="2"/>
      <c r="F410" s="2"/>
      <c r="G410" s="2"/>
      <c r="H410" s="2"/>
      <c r="I410" s="2"/>
      <c r="J410" s="2"/>
      <c r="K410" s="2"/>
    </row>
    <row r="411" spans="2:11" ht="20.100000000000001" customHeight="1">
      <c r="B411" s="385" t="s">
        <v>682</v>
      </c>
      <c r="C411" s="2">
        <f>SUM('Budget Detail FY 2016-23'!L750:L751)</f>
        <v>0</v>
      </c>
      <c r="D411" s="2">
        <f>SUM('Budget Detail FY 2016-23'!M750:M751)</f>
        <v>15711</v>
      </c>
      <c r="E411" s="2">
        <f>SUM('Budget Detail FY 2016-23'!N750:N751)</f>
        <v>0</v>
      </c>
      <c r="F411" s="2">
        <f>SUM('Budget Detail FY 2016-23'!O750:O751)</f>
        <v>0</v>
      </c>
      <c r="G411" s="2">
        <f>SUM('Budget Detail FY 2016-23'!P750:P751)</f>
        <v>702474</v>
      </c>
      <c r="H411" s="2">
        <f>SUM('Budget Detail FY 2016-23'!Q750:Q751)</f>
        <v>0</v>
      </c>
      <c r="I411" s="2">
        <f>SUM('Budget Detail FY 2016-23'!R750:R751)</f>
        <v>0</v>
      </c>
      <c r="J411" s="2">
        <f>SUM('Budget Detail FY 2016-23'!S750:S751)</f>
        <v>0</v>
      </c>
      <c r="K411" s="2">
        <f>SUM('Budget Detail FY 2016-23'!T750:T751)</f>
        <v>0</v>
      </c>
    </row>
    <row r="412" spans="2:11" ht="20.100000000000001" customHeight="1">
      <c r="B412" s="384" t="s">
        <v>683</v>
      </c>
      <c r="C412" s="2">
        <f>'Budget Detail FY 2016-23'!L752+'Budget Detail FY 2016-23'!L753</f>
        <v>3570</v>
      </c>
      <c r="D412" s="2">
        <f>'Budget Detail FY 2016-23'!M752+'Budget Detail FY 2016-23'!M753</f>
        <v>1103</v>
      </c>
      <c r="E412" s="2">
        <f>'Budget Detail FY 2016-23'!N752+'Budget Detail FY 2016-23'!N753</f>
        <v>0</v>
      </c>
      <c r="F412" s="2">
        <f>'Budget Detail FY 2016-23'!O752+'Budget Detail FY 2016-23'!O753</f>
        <v>0</v>
      </c>
      <c r="G412" s="2">
        <f>'Budget Detail FY 2016-23'!P752+'Budget Detail FY 2016-23'!P753</f>
        <v>0</v>
      </c>
      <c r="H412" s="2">
        <f>'Budget Detail FY 2016-23'!Q752+'Budget Detail FY 2016-23'!Q753</f>
        <v>0</v>
      </c>
      <c r="I412" s="2">
        <f>'Budget Detail FY 2016-23'!R752+'Budget Detail FY 2016-23'!R753</f>
        <v>0</v>
      </c>
      <c r="J412" s="2">
        <f>'Budget Detail FY 2016-23'!S752+'Budget Detail FY 2016-23'!S753</f>
        <v>0</v>
      </c>
      <c r="K412" s="2">
        <f>'Budget Detail FY 2016-23'!T752+'Budget Detail FY 2016-23'!T753</f>
        <v>0</v>
      </c>
    </row>
    <row r="413" spans="2:11" ht="20.100000000000001" customHeight="1">
      <c r="B413" s="385" t="s">
        <v>716</v>
      </c>
      <c r="C413" s="2">
        <f>SUM('Budget Detail FY 2016-23'!L755:L766)</f>
        <v>121962</v>
      </c>
      <c r="D413" s="2">
        <f>SUM('Budget Detail FY 2016-23'!M755:M766)</f>
        <v>47753</v>
      </c>
      <c r="E413" s="2">
        <f>SUM('Budget Detail FY 2016-23'!N755:N766)</f>
        <v>88000</v>
      </c>
      <c r="F413" s="2">
        <f>SUM('Budget Detail FY 2016-23'!O755:O766)</f>
        <v>205796</v>
      </c>
      <c r="G413" s="2">
        <f>SUM('Budget Detail FY 2016-23'!P755:P766)</f>
        <v>11639</v>
      </c>
      <c r="H413" s="2">
        <f>SUM('Budget Detail FY 2016-23'!Q755:Q766)</f>
        <v>11638</v>
      </c>
      <c r="I413" s="2">
        <f>SUM('Budget Detail FY 2016-23'!R755:R766)</f>
        <v>0</v>
      </c>
      <c r="J413" s="2">
        <f>SUM('Budget Detail FY 2016-23'!S755:S766)</f>
        <v>0</v>
      </c>
      <c r="K413" s="2">
        <f>SUM('Budget Detail FY 2016-23'!T755:T766)</f>
        <v>0</v>
      </c>
    </row>
    <row r="414" spans="2:11" ht="20.100000000000001" customHeight="1">
      <c r="B414" s="385" t="s">
        <v>687</v>
      </c>
      <c r="C414" s="2">
        <f>'Budget Detail FY 2016-23'!L754</f>
        <v>0</v>
      </c>
      <c r="D414" s="2">
        <f>'Budget Detail FY 2016-23'!M754</f>
        <v>63796</v>
      </c>
      <c r="E414" s="2">
        <f>'Budget Detail FY 2016-23'!N754</f>
        <v>0</v>
      </c>
      <c r="F414" s="2">
        <f>'Budget Detail FY 2016-23'!O754</f>
        <v>5466</v>
      </c>
      <c r="G414" s="2">
        <f>'Budget Detail FY 2016-23'!P754</f>
        <v>0</v>
      </c>
      <c r="H414" s="2">
        <f>'Budget Detail FY 2016-23'!Q754</f>
        <v>0</v>
      </c>
      <c r="I414" s="2">
        <f>'Budget Detail FY 2016-23'!R754</f>
        <v>0</v>
      </c>
      <c r="J414" s="2">
        <f>'Budget Detail FY 2016-23'!S754</f>
        <v>0</v>
      </c>
      <c r="K414" s="2">
        <f>'Budget Detail FY 2016-23'!T754</f>
        <v>0</v>
      </c>
    </row>
    <row r="415" spans="2:11" ht="20.100000000000001" customHeight="1">
      <c r="B415" s="385" t="s">
        <v>689</v>
      </c>
      <c r="C415" s="2">
        <f>'Budget Detail FY 2016-23'!L767</f>
        <v>0</v>
      </c>
      <c r="D415" s="2">
        <f>'Budget Detail FY 2016-23'!M767</f>
        <v>2500</v>
      </c>
      <c r="E415" s="2">
        <f>'Budget Detail FY 2016-23'!N767</f>
        <v>2500</v>
      </c>
      <c r="F415" s="2">
        <f>'Budget Detail FY 2016-23'!O767</f>
        <v>2500</v>
      </c>
      <c r="G415" s="2">
        <f>'Budget Detail FY 2016-23'!P767</f>
        <v>0</v>
      </c>
      <c r="H415" s="2">
        <f>'Budget Detail FY 2016-23'!Q767</f>
        <v>0</v>
      </c>
      <c r="I415" s="2">
        <f>'Budget Detail FY 2016-23'!R767</f>
        <v>0</v>
      </c>
      <c r="J415" s="2">
        <f>'Budget Detail FY 2016-23'!S767</f>
        <v>0</v>
      </c>
      <c r="K415" s="2">
        <f>'Budget Detail FY 2016-23'!T767</f>
        <v>0</v>
      </c>
    </row>
    <row r="416" spans="2:11" ht="20.100000000000001" customHeight="1" thickBot="1">
      <c r="B416" s="126" t="s">
        <v>690</v>
      </c>
      <c r="C416" s="123">
        <f t="shared" ref="C416:K416" si="36">SUM(C411:C415)</f>
        <v>125532</v>
      </c>
      <c r="D416" s="123">
        <f t="shared" si="36"/>
        <v>130863</v>
      </c>
      <c r="E416" s="123">
        <f t="shared" si="36"/>
        <v>90500</v>
      </c>
      <c r="F416" s="123">
        <f t="shared" si="36"/>
        <v>213762</v>
      </c>
      <c r="G416" s="123">
        <f t="shared" si="36"/>
        <v>714113</v>
      </c>
      <c r="H416" s="123">
        <f t="shared" si="36"/>
        <v>11638</v>
      </c>
      <c r="I416" s="123">
        <f t="shared" si="36"/>
        <v>0</v>
      </c>
      <c r="J416" s="123">
        <f t="shared" si="36"/>
        <v>0</v>
      </c>
      <c r="K416" s="123">
        <f t="shared" si="36"/>
        <v>0</v>
      </c>
    </row>
    <row r="417" spans="2:11">
      <c r="B417" s="1"/>
      <c r="C417" s="2"/>
      <c r="D417" s="2"/>
      <c r="E417" s="2"/>
      <c r="F417" s="2"/>
      <c r="G417" s="2"/>
      <c r="H417" s="2"/>
      <c r="I417" s="2"/>
      <c r="J417" s="2"/>
      <c r="K417" s="2"/>
    </row>
    <row r="418" spans="2:11">
      <c r="B418" s="127" t="s">
        <v>484</v>
      </c>
      <c r="C418" s="2"/>
      <c r="D418" s="2"/>
      <c r="E418" s="2"/>
      <c r="F418" s="2"/>
      <c r="G418" s="2"/>
      <c r="H418" s="2"/>
      <c r="I418" s="2"/>
      <c r="J418" s="2"/>
      <c r="K418" s="2"/>
    </row>
    <row r="419" spans="2:11" ht="20.100000000000001" customHeight="1">
      <c r="B419" s="386" t="s">
        <v>693</v>
      </c>
      <c r="C419" s="2">
        <f>'Budget Detail FY 2016-23'!L771</f>
        <v>3570</v>
      </c>
      <c r="D419" s="2">
        <f>'Budget Detail FY 2016-23'!M771</f>
        <v>1103</v>
      </c>
      <c r="E419" s="2">
        <f>'Budget Detail FY 2016-23'!N771</f>
        <v>0</v>
      </c>
      <c r="F419" s="2">
        <f>'Budget Detail FY 2016-23'!O771</f>
        <v>0</v>
      </c>
      <c r="G419" s="2">
        <f>'Budget Detail FY 2016-23'!P771</f>
        <v>0</v>
      </c>
      <c r="H419" s="2">
        <f>'Budget Detail FY 2016-23'!Q771</f>
        <v>0</v>
      </c>
      <c r="I419" s="2">
        <f>'Budget Detail FY 2016-23'!R771</f>
        <v>0</v>
      </c>
      <c r="J419" s="2">
        <f>'Budget Detail FY 2016-23'!S771</f>
        <v>0</v>
      </c>
      <c r="K419" s="2">
        <f>'Budget Detail FY 2016-23'!T771</f>
        <v>0</v>
      </c>
    </row>
    <row r="420" spans="2:11" ht="20.100000000000001" customHeight="1">
      <c r="B420" s="386" t="s">
        <v>695</v>
      </c>
      <c r="C420" s="2">
        <f>SUM('Budget Detail FY 2016-23'!L772:L781)</f>
        <v>27074</v>
      </c>
      <c r="D420" s="2">
        <f>SUM('Budget Detail FY 2016-23'!M772:M781)</f>
        <v>91762</v>
      </c>
      <c r="E420" s="2">
        <f>SUM('Budget Detail FY 2016-23'!N772:N781)</f>
        <v>362355</v>
      </c>
      <c r="F420" s="2">
        <f>SUM('Budget Detail FY 2016-23'!O772:O781)</f>
        <v>650831</v>
      </c>
      <c r="G420" s="2">
        <f>SUM('Budget Detail FY 2016-23'!P772:P781)</f>
        <v>465000</v>
      </c>
      <c r="H420" s="2">
        <f>SUM('Budget Detail FY 2016-23'!Q772:Q781)</f>
        <v>50000</v>
      </c>
      <c r="I420" s="2">
        <f>SUM('Budget Detail FY 2016-23'!R772:R781)</f>
        <v>0</v>
      </c>
      <c r="J420" s="2">
        <f>SUM('Budget Detail FY 2016-23'!S772:S781)</f>
        <v>0</v>
      </c>
      <c r="K420" s="2">
        <f>SUM('Budget Detail FY 2016-23'!T772:T781)</f>
        <v>24000</v>
      </c>
    </row>
    <row r="421" spans="2:11" ht="20.100000000000001" customHeight="1" thickBot="1">
      <c r="B421" s="126" t="s">
        <v>697</v>
      </c>
      <c r="C421" s="123">
        <f>SUM(C419:C420)</f>
        <v>30644</v>
      </c>
      <c r="D421" s="123">
        <f t="shared" ref="D421:K421" si="37">SUM(D419:D420)</f>
        <v>92865</v>
      </c>
      <c r="E421" s="123">
        <f t="shared" si="37"/>
        <v>362355</v>
      </c>
      <c r="F421" s="123">
        <f t="shared" si="37"/>
        <v>650831</v>
      </c>
      <c r="G421" s="123">
        <f t="shared" si="37"/>
        <v>465000</v>
      </c>
      <c r="H421" s="123">
        <f t="shared" si="37"/>
        <v>50000</v>
      </c>
      <c r="I421" s="123">
        <f t="shared" si="37"/>
        <v>0</v>
      </c>
      <c r="J421" s="123">
        <f t="shared" si="37"/>
        <v>0</v>
      </c>
      <c r="K421" s="123">
        <f t="shared" si="37"/>
        <v>24000</v>
      </c>
    </row>
    <row r="422" spans="2:11">
      <c r="B422" s="129"/>
      <c r="C422" s="3"/>
      <c r="D422" s="2"/>
      <c r="E422" s="2"/>
      <c r="F422" s="2"/>
      <c r="G422" s="2"/>
      <c r="H422" s="2"/>
      <c r="I422" s="2"/>
      <c r="J422" s="2"/>
      <c r="K422" s="2"/>
    </row>
    <row r="423" spans="2:11" ht="20.100000000000001" customHeight="1">
      <c r="B423" s="388" t="s">
        <v>698</v>
      </c>
      <c r="C423" s="3">
        <f t="shared" ref="C423:K423" si="38">+C416-C421</f>
        <v>94888</v>
      </c>
      <c r="D423" s="3">
        <f t="shared" si="38"/>
        <v>37998</v>
      </c>
      <c r="E423" s="3">
        <f t="shared" si="38"/>
        <v>-271855</v>
      </c>
      <c r="F423" s="3">
        <f t="shared" si="38"/>
        <v>-437069</v>
      </c>
      <c r="G423" s="3">
        <f t="shared" si="38"/>
        <v>249113</v>
      </c>
      <c r="H423" s="3">
        <f t="shared" si="38"/>
        <v>-38362</v>
      </c>
      <c r="I423" s="3">
        <f t="shared" si="38"/>
        <v>0</v>
      </c>
      <c r="J423" s="3">
        <f t="shared" si="38"/>
        <v>0</v>
      </c>
      <c r="K423" s="3">
        <f t="shared" si="38"/>
        <v>-24000</v>
      </c>
    </row>
    <row r="424" spans="2:11">
      <c r="B424" s="130"/>
      <c r="C424" s="3"/>
      <c r="D424" s="2"/>
      <c r="E424" s="2"/>
      <c r="F424" s="2"/>
      <c r="G424" s="2"/>
      <c r="H424" s="2"/>
      <c r="I424" s="2"/>
      <c r="J424" s="2"/>
      <c r="K424" s="2"/>
    </row>
    <row r="425" spans="2:11" ht="20.100000000000001" customHeight="1" thickBot="1">
      <c r="B425" s="125" t="s">
        <v>699</v>
      </c>
      <c r="C425" s="80">
        <v>212318</v>
      </c>
      <c r="D425" s="80">
        <v>250318</v>
      </c>
      <c r="E425" s="80">
        <v>56726</v>
      </c>
      <c r="F425" s="80">
        <f>D425+F423</f>
        <v>-186751</v>
      </c>
      <c r="G425" s="80">
        <f>F425+G423</f>
        <v>62362</v>
      </c>
      <c r="H425" s="80">
        <f>G425+H423</f>
        <v>24000</v>
      </c>
      <c r="I425" s="80">
        <f>H425+I423</f>
        <v>24000</v>
      </c>
      <c r="J425" s="80">
        <f>I425+J423</f>
        <v>24000</v>
      </c>
      <c r="K425" s="80">
        <f>J425+K423</f>
        <v>0</v>
      </c>
    </row>
    <row r="426" spans="2:11" ht="15.75" thickTop="1">
      <c r="B426" s="131"/>
      <c r="C426" s="3"/>
      <c r="D426" s="3"/>
      <c r="E426" s="3"/>
      <c r="F426" s="2"/>
      <c r="G426" s="2"/>
      <c r="H426" s="2"/>
      <c r="I426" s="2"/>
      <c r="J426" s="2"/>
      <c r="K426" s="2"/>
    </row>
    <row r="427" spans="2:11">
      <c r="B427" s="131"/>
      <c r="C427" s="2"/>
      <c r="D427" s="2"/>
      <c r="E427" s="2"/>
      <c r="F427" s="2"/>
      <c r="G427" s="2"/>
      <c r="H427" s="2"/>
      <c r="I427" s="2"/>
      <c r="J427" s="2"/>
      <c r="K427" s="2"/>
    </row>
    <row r="428" spans="2:11">
      <c r="B428" s="1"/>
      <c r="C428" s="2"/>
      <c r="D428" s="2"/>
      <c r="E428" s="2"/>
      <c r="F428" s="2"/>
      <c r="G428" s="2"/>
      <c r="H428" s="2"/>
      <c r="I428" s="2"/>
      <c r="J428" s="2"/>
      <c r="K428" s="2"/>
    </row>
    <row r="429" spans="2:11">
      <c r="B429" s="1"/>
      <c r="C429" s="2"/>
      <c r="D429" s="2"/>
      <c r="E429" s="2"/>
      <c r="F429" s="2"/>
      <c r="G429" s="2"/>
      <c r="H429" s="2"/>
      <c r="I429" s="2"/>
      <c r="J429" s="2"/>
      <c r="K429" s="2"/>
    </row>
    <row r="430" spans="2:11">
      <c r="B430" s="1"/>
      <c r="C430" s="2"/>
      <c r="D430" s="2"/>
      <c r="E430" s="2"/>
      <c r="F430" s="2"/>
      <c r="G430" s="2"/>
      <c r="H430" s="2"/>
      <c r="I430" s="2"/>
      <c r="J430" s="2"/>
      <c r="K430" s="2"/>
    </row>
    <row r="431" spans="2:11">
      <c r="B431" s="1"/>
      <c r="C431" s="2"/>
      <c r="D431" s="2"/>
      <c r="E431" s="2"/>
      <c r="F431" s="2"/>
      <c r="G431" s="2"/>
      <c r="H431" s="2"/>
      <c r="I431" s="2"/>
      <c r="J431" s="2"/>
      <c r="K431" s="2"/>
    </row>
    <row r="432" spans="2:11">
      <c r="B432" s="1"/>
      <c r="C432" s="2"/>
      <c r="D432" s="2"/>
      <c r="E432" s="2"/>
      <c r="F432" s="2"/>
      <c r="G432" s="2"/>
      <c r="H432" s="2"/>
      <c r="I432" s="2"/>
      <c r="J432" s="2"/>
      <c r="K432" s="2"/>
    </row>
    <row r="433" spans="2:11">
      <c r="B433" s="1"/>
      <c r="C433" s="2"/>
      <c r="D433" s="2"/>
      <c r="E433" s="2"/>
      <c r="F433" s="2"/>
      <c r="G433" s="2"/>
      <c r="H433" s="2"/>
      <c r="I433" s="2"/>
      <c r="J433" s="2"/>
      <c r="K433" s="2"/>
    </row>
    <row r="434" spans="2:11">
      <c r="B434" s="1"/>
      <c r="C434" s="2"/>
      <c r="D434" s="2"/>
      <c r="E434" s="2"/>
      <c r="F434" s="2"/>
      <c r="G434" s="2"/>
      <c r="H434" s="2"/>
      <c r="I434" s="2"/>
      <c r="J434" s="2"/>
      <c r="K434" s="2"/>
    </row>
    <row r="435" spans="2:11">
      <c r="B435" s="1"/>
      <c r="C435" s="2"/>
      <c r="D435" s="2"/>
      <c r="E435" s="2"/>
      <c r="F435" s="2"/>
      <c r="G435" s="2"/>
      <c r="H435" s="2"/>
      <c r="I435" s="2"/>
      <c r="J435" s="2"/>
      <c r="K435" s="2"/>
    </row>
    <row r="436" spans="2:11">
      <c r="B436" s="1"/>
      <c r="C436" s="2"/>
      <c r="D436" s="2"/>
      <c r="E436" s="2"/>
      <c r="F436" s="2"/>
      <c r="G436" s="2"/>
      <c r="H436" s="2"/>
      <c r="I436" s="2"/>
      <c r="J436" s="2"/>
      <c r="K436" s="2"/>
    </row>
    <row r="437" spans="2:11">
      <c r="B437" s="1"/>
      <c r="C437" s="2"/>
      <c r="D437" s="2"/>
      <c r="E437" s="2"/>
      <c r="F437" s="2"/>
      <c r="G437" s="2"/>
      <c r="H437" s="2"/>
      <c r="I437" s="2"/>
      <c r="J437" s="2"/>
      <c r="K437" s="2"/>
    </row>
    <row r="438" spans="2:11">
      <c r="B438" s="1"/>
      <c r="C438" s="2"/>
      <c r="D438" s="2"/>
      <c r="E438" s="2"/>
      <c r="F438" s="2"/>
      <c r="G438" s="2"/>
      <c r="H438" s="2"/>
      <c r="I438" s="2"/>
      <c r="J438" s="2"/>
      <c r="K438" s="2"/>
    </row>
    <row r="441" spans="2:11" ht="18.75" customHeight="1">
      <c r="B441" s="895" t="s">
        <v>717</v>
      </c>
      <c r="C441" s="895"/>
      <c r="D441" s="895"/>
      <c r="E441" s="895"/>
      <c r="F441" s="895"/>
      <c r="G441" s="895"/>
      <c r="H441" s="895"/>
      <c r="I441" s="895"/>
      <c r="J441" s="895"/>
      <c r="K441" s="895"/>
    </row>
    <row r="442" spans="2:11">
      <c r="B442" s="64"/>
      <c r="C442" s="3"/>
      <c r="D442" s="2"/>
      <c r="E442" s="2"/>
      <c r="F442" s="2"/>
      <c r="G442" s="2"/>
      <c r="H442" s="2"/>
      <c r="I442" s="2"/>
      <c r="J442" s="2"/>
      <c r="K442" s="2"/>
    </row>
    <row r="443" spans="2:11" ht="12.75" customHeight="1">
      <c r="B443" s="886" t="s">
        <v>718</v>
      </c>
      <c r="C443" s="886"/>
      <c r="D443" s="886"/>
      <c r="E443" s="886"/>
      <c r="F443" s="886"/>
      <c r="G443" s="886"/>
      <c r="H443" s="886"/>
      <c r="I443" s="886"/>
      <c r="J443" s="886"/>
      <c r="K443" s="886"/>
    </row>
    <row r="444" spans="2:11" ht="12.75" customHeight="1">
      <c r="B444" s="886"/>
      <c r="C444" s="886"/>
      <c r="D444" s="886"/>
      <c r="E444" s="886"/>
      <c r="F444" s="886"/>
      <c r="G444" s="886"/>
      <c r="H444" s="886"/>
      <c r="I444" s="886"/>
      <c r="J444" s="886"/>
      <c r="K444" s="886"/>
    </row>
    <row r="445" spans="2:11" ht="12.75" customHeight="1">
      <c r="B445" s="886"/>
      <c r="C445" s="886"/>
      <c r="D445" s="886"/>
      <c r="E445" s="886"/>
      <c r="F445" s="886"/>
      <c r="G445" s="886"/>
      <c r="H445" s="886"/>
      <c r="I445" s="886"/>
      <c r="J445" s="886"/>
      <c r="K445" s="886"/>
    </row>
    <row r="446" spans="2:11" ht="23.25" customHeight="1">
      <c r="B446" s="886"/>
      <c r="C446" s="886"/>
      <c r="D446" s="886"/>
      <c r="E446" s="886"/>
      <c r="F446" s="886"/>
      <c r="G446" s="886"/>
      <c r="H446" s="886"/>
      <c r="I446" s="886"/>
      <c r="J446" s="886"/>
      <c r="K446" s="886"/>
    </row>
    <row r="447" spans="2:11">
      <c r="B447" s="5"/>
      <c r="C447" s="64"/>
      <c r="D447" s="65"/>
      <c r="E447" s="65" t="s">
        <v>834</v>
      </c>
      <c r="F447" s="1"/>
      <c r="G447" s="1"/>
      <c r="H447" s="1"/>
      <c r="I447" s="1"/>
      <c r="J447" s="1"/>
      <c r="K447" s="1"/>
    </row>
    <row r="448" spans="2:11">
      <c r="B448" s="65"/>
      <c r="C448" s="64" t="s">
        <v>243</v>
      </c>
      <c r="D448" s="64" t="s">
        <v>244</v>
      </c>
      <c r="E448" s="65" t="s">
        <v>679</v>
      </c>
      <c r="F448" s="65" t="s">
        <v>834</v>
      </c>
      <c r="G448" s="65" t="s">
        <v>915</v>
      </c>
      <c r="H448" s="65" t="s">
        <v>946</v>
      </c>
      <c r="I448" s="65" t="s">
        <v>947</v>
      </c>
      <c r="J448" s="65" t="s">
        <v>948</v>
      </c>
      <c r="K448" s="65" t="s">
        <v>949</v>
      </c>
    </row>
    <row r="449" spans="2:11" ht="15.75" thickBot="1">
      <c r="B449" s="135"/>
      <c r="C449" s="67" t="s">
        <v>1</v>
      </c>
      <c r="D449" s="67" t="s">
        <v>1</v>
      </c>
      <c r="E449" s="67" t="s">
        <v>638</v>
      </c>
      <c r="F449" s="67" t="s">
        <v>19</v>
      </c>
      <c r="G449" s="67" t="s">
        <v>679</v>
      </c>
      <c r="H449" s="67" t="s">
        <v>19</v>
      </c>
      <c r="I449" s="67" t="s">
        <v>19</v>
      </c>
      <c r="J449" s="67" t="s">
        <v>19</v>
      </c>
      <c r="K449" s="67" t="s">
        <v>19</v>
      </c>
    </row>
    <row r="450" spans="2:11" ht="7.5" customHeight="1">
      <c r="B450" s="63"/>
      <c r="C450" s="136"/>
      <c r="D450" s="2"/>
      <c r="E450" s="2"/>
      <c r="F450" s="2"/>
      <c r="G450" s="2"/>
      <c r="H450" s="2"/>
      <c r="I450" s="2"/>
      <c r="J450" s="2"/>
      <c r="K450" s="2"/>
    </row>
    <row r="451" spans="2:11">
      <c r="B451" s="127" t="s">
        <v>680</v>
      </c>
      <c r="C451" s="2"/>
      <c r="D451" s="2"/>
      <c r="E451" s="2"/>
      <c r="F451" s="2"/>
      <c r="G451" s="2"/>
      <c r="H451" s="2"/>
      <c r="I451" s="2"/>
      <c r="J451" s="2"/>
      <c r="K451" s="2"/>
    </row>
    <row r="452" spans="2:11" ht="20.100000000000001" customHeight="1">
      <c r="B452" s="385" t="s">
        <v>682</v>
      </c>
      <c r="C452" s="2">
        <f>'Budget Detail FY 2016-23'!L791</f>
        <v>0</v>
      </c>
      <c r="D452" s="2">
        <f>'Budget Detail FY 2016-23'!M791</f>
        <v>0</v>
      </c>
      <c r="E452" s="2">
        <f>'Budget Detail FY 2016-23'!N791</f>
        <v>0</v>
      </c>
      <c r="F452" s="2">
        <f>'Budget Detail FY 2016-23'!O791</f>
        <v>0</v>
      </c>
      <c r="G452" s="2">
        <f>'Budget Detail FY 2016-23'!P791</f>
        <v>81815</v>
      </c>
      <c r="H452" s="2">
        <f>'Budget Detail FY 2016-23'!Q791</f>
        <v>0</v>
      </c>
      <c r="I452" s="2">
        <f>'Budget Detail FY 2016-23'!R791</f>
        <v>0</v>
      </c>
      <c r="J452" s="2">
        <f>'Budget Detail FY 2016-23'!S791</f>
        <v>0</v>
      </c>
      <c r="K452" s="2">
        <f>'Budget Detail FY 2016-23'!T791</f>
        <v>0</v>
      </c>
    </row>
    <row r="453" spans="2:11" ht="20.100000000000001" customHeight="1">
      <c r="B453" s="385" t="s">
        <v>685</v>
      </c>
      <c r="C453" s="2">
        <f>SUM('Budget Detail FY 2016-23'!L792:L795)</f>
        <v>408469</v>
      </c>
      <c r="D453" s="2">
        <f>SUM('Budget Detail FY 2016-23'!M792:M795)</f>
        <v>455676</v>
      </c>
      <c r="E453" s="2">
        <f>SUM('Budget Detail FY 2016-23'!N792:N795)</f>
        <v>395000</v>
      </c>
      <c r="F453" s="2">
        <f>SUM('Budget Detail FY 2016-23'!O792:O795)</f>
        <v>446186</v>
      </c>
      <c r="G453" s="2">
        <f>SUM('Budget Detail FY 2016-23'!P792:P795)</f>
        <v>430000</v>
      </c>
      <c r="H453" s="2">
        <f>SUM('Budget Detail FY 2016-23'!Q792:Q795)</f>
        <v>430000</v>
      </c>
      <c r="I453" s="2">
        <f>SUM('Budget Detail FY 2016-23'!R792:R795)</f>
        <v>430000</v>
      </c>
      <c r="J453" s="2">
        <f>SUM('Budget Detail FY 2016-23'!S792:S795)</f>
        <v>430000</v>
      </c>
      <c r="K453" s="2">
        <f>SUM('Budget Detail FY 2016-23'!T792:T795)</f>
        <v>430000</v>
      </c>
    </row>
    <row r="454" spans="2:11" ht="20.100000000000001" customHeight="1">
      <c r="B454" s="385" t="s">
        <v>686</v>
      </c>
      <c r="C454" s="2">
        <f>'Budget Detail FY 2016-23'!L796</f>
        <v>369</v>
      </c>
      <c r="D454" s="2">
        <f>'Budget Detail FY 2016-23'!M796</f>
        <v>328</v>
      </c>
      <c r="E454" s="2">
        <f>'Budget Detail FY 2016-23'!N796</f>
        <v>350</v>
      </c>
      <c r="F454" s="2">
        <f>'Budget Detail FY 2016-23'!O796</f>
        <v>500</v>
      </c>
      <c r="G454" s="2">
        <f>'Budget Detail FY 2016-23'!P796</f>
        <v>500</v>
      </c>
      <c r="H454" s="2">
        <f>'Budget Detail FY 2016-23'!Q796</f>
        <v>500</v>
      </c>
      <c r="I454" s="2">
        <f>'Budget Detail FY 2016-23'!R796</f>
        <v>500</v>
      </c>
      <c r="J454" s="2">
        <f>'Budget Detail FY 2016-23'!S796</f>
        <v>500</v>
      </c>
      <c r="K454" s="2">
        <f>'Budget Detail FY 2016-23'!T796</f>
        <v>500</v>
      </c>
    </row>
    <row r="455" spans="2:11" ht="20.100000000000001" customHeight="1">
      <c r="B455" s="385" t="s">
        <v>687</v>
      </c>
      <c r="C455" s="2">
        <f>SUM('Budget Detail FY 2016-23'!L797:L797)</f>
        <v>12890</v>
      </c>
      <c r="D455" s="2">
        <f>SUM('Budget Detail FY 2016-23'!M797:M797)</f>
        <v>3002</v>
      </c>
      <c r="E455" s="2">
        <f>SUM('Budget Detail FY 2016-23'!N797:N797)</f>
        <v>0</v>
      </c>
      <c r="F455" s="2">
        <f>SUM('Budget Detail FY 2016-23'!O797:O797)</f>
        <v>174</v>
      </c>
      <c r="G455" s="2">
        <f>SUM('Budget Detail FY 2016-23'!P797:P797)</f>
        <v>0</v>
      </c>
      <c r="H455" s="2">
        <f>SUM('Budget Detail FY 2016-23'!Q797:Q797)</f>
        <v>0</v>
      </c>
      <c r="I455" s="2">
        <f>SUM('Budget Detail FY 2016-23'!R797:R797)</f>
        <v>0</v>
      </c>
      <c r="J455" s="2">
        <f>SUM('Budget Detail FY 2016-23'!S797:S797)</f>
        <v>0</v>
      </c>
      <c r="K455" s="2">
        <f>SUM('Budget Detail FY 2016-23'!T797:T797)</f>
        <v>0</v>
      </c>
    </row>
    <row r="456" spans="2:11" ht="20.100000000000001" customHeight="1">
      <c r="B456" s="385" t="s">
        <v>688</v>
      </c>
      <c r="C456" s="2">
        <f>SUM('Budget Detail FY 2016-23'!L798:L802)</f>
        <v>219704</v>
      </c>
      <c r="D456" s="2">
        <f>SUM('Budget Detail FY 2016-23'!M798:M802)</f>
        <v>209970</v>
      </c>
      <c r="E456" s="2">
        <f>SUM('Budget Detail FY 2016-23'!N798:N802)</f>
        <v>196000</v>
      </c>
      <c r="F456" s="2">
        <f>SUM('Budget Detail FY 2016-23'!O798:O802)</f>
        <v>232319</v>
      </c>
      <c r="G456" s="2">
        <f>SUM('Budget Detail FY 2016-23'!P798:P802)</f>
        <v>201000</v>
      </c>
      <c r="H456" s="2">
        <f>SUM('Budget Detail FY 2016-23'!Q798:Q802)</f>
        <v>201000</v>
      </c>
      <c r="I456" s="2">
        <f>SUM('Budget Detail FY 2016-23'!R798:R802)</f>
        <v>201000</v>
      </c>
      <c r="J456" s="2">
        <f>SUM('Budget Detail FY 2016-23'!S798:S802)</f>
        <v>201000</v>
      </c>
      <c r="K456" s="2">
        <f>SUM('Budget Detail FY 2016-23'!T798:T802)</f>
        <v>201000</v>
      </c>
    </row>
    <row r="457" spans="2:11" ht="20.100000000000001" customHeight="1">
      <c r="B457" s="385" t="s">
        <v>689</v>
      </c>
      <c r="C457" s="2">
        <f>'Budget Detail FY 2016-23'!L803</f>
        <v>1076831</v>
      </c>
      <c r="D457" s="2">
        <f>'Budget Detail FY 2016-23'!M803</f>
        <v>1118638</v>
      </c>
      <c r="E457" s="2">
        <f>'Budget Detail FY 2016-23'!N803</f>
        <v>1308583</v>
      </c>
      <c r="F457" s="2">
        <f>'Budget Detail FY 2016-23'!O803</f>
        <v>1308583</v>
      </c>
      <c r="G457" s="2">
        <f>'Budget Detail FY 2016-23'!P803</f>
        <v>1274699</v>
      </c>
      <c r="H457" s="2">
        <f>'Budget Detail FY 2016-23'!Q803</f>
        <v>1480427</v>
      </c>
      <c r="I457" s="2">
        <f>'Budget Detail FY 2016-23'!R803</f>
        <v>1539110</v>
      </c>
      <c r="J457" s="2">
        <f>'Budget Detail FY 2016-23'!S803</f>
        <v>1598596</v>
      </c>
      <c r="K457" s="2">
        <f>'Budget Detail FY 2016-23'!T803</f>
        <v>1671920</v>
      </c>
    </row>
    <row r="458" spans="2:11" ht="20.100000000000001" customHeight="1" thickBot="1">
      <c r="B458" s="126" t="s">
        <v>690</v>
      </c>
      <c r="C458" s="123">
        <f>SUM(C452:C457)</f>
        <v>1718263</v>
      </c>
      <c r="D458" s="123">
        <f t="shared" ref="D458:K458" si="39">SUM(D452:D457)</f>
        <v>1787614</v>
      </c>
      <c r="E458" s="123">
        <f t="shared" si="39"/>
        <v>1899933</v>
      </c>
      <c r="F458" s="123">
        <f t="shared" si="39"/>
        <v>1987762</v>
      </c>
      <c r="G458" s="123">
        <f>SUM(G452:G457)</f>
        <v>1988014</v>
      </c>
      <c r="H458" s="123">
        <f t="shared" si="39"/>
        <v>2111927</v>
      </c>
      <c r="I458" s="123">
        <f t="shared" si="39"/>
        <v>2170610</v>
      </c>
      <c r="J458" s="123">
        <f t="shared" si="39"/>
        <v>2230096</v>
      </c>
      <c r="K458" s="123">
        <f t="shared" si="39"/>
        <v>2303420</v>
      </c>
    </row>
    <row r="459" spans="2:11" ht="7.5" customHeight="1">
      <c r="B459" s="1"/>
      <c r="C459" s="2"/>
      <c r="D459" s="2"/>
      <c r="E459" s="2"/>
      <c r="F459" s="2"/>
      <c r="G459" s="2"/>
      <c r="H459" s="2"/>
      <c r="I459" s="2"/>
      <c r="J459" s="2"/>
      <c r="K459" s="2"/>
    </row>
    <row r="460" spans="2:11">
      <c r="B460" s="127" t="s">
        <v>484</v>
      </c>
      <c r="C460" s="2"/>
      <c r="D460" s="2"/>
      <c r="E460" s="2"/>
      <c r="F460" s="2"/>
      <c r="G460" s="2"/>
      <c r="H460" s="2"/>
      <c r="I460" s="2"/>
      <c r="J460" s="2"/>
      <c r="K460" s="2"/>
    </row>
    <row r="461" spans="2:11" ht="20.100000000000001" customHeight="1">
      <c r="B461" s="386" t="s">
        <v>691</v>
      </c>
      <c r="C461" s="2">
        <f>SUM('Budget Detail FY 2016-23'!L808:L810)+SUM('Budget Detail FY 2016-23'!L836:L840)</f>
        <v>723194</v>
      </c>
      <c r="D461" s="2">
        <f>SUM('Budget Detail FY 2016-23'!M808:M810)+SUM('Budget Detail FY 2016-23'!M836:M840)</f>
        <v>805190</v>
      </c>
      <c r="E461" s="2">
        <f>SUM('Budget Detail FY 2016-23'!N808:N810)+SUM('Budget Detail FY 2016-23'!N836:N840)</f>
        <v>903518</v>
      </c>
      <c r="F461" s="2">
        <f>SUM('Budget Detail FY 2016-23'!O808:O810)+SUM('Budget Detail FY 2016-23'!O836:O840)</f>
        <v>883460</v>
      </c>
      <c r="G461" s="2">
        <f>SUM('Budget Detail FY 2016-23'!P808:P810)+SUM('Budget Detail FY 2016-23'!P836:P840)</f>
        <v>972772</v>
      </c>
      <c r="H461" s="2">
        <f>SUM('Budget Detail FY 2016-23'!Q808:Q810)+SUM('Budget Detail FY 2016-23'!Q836:Q840)</f>
        <v>997066</v>
      </c>
      <c r="I461" s="2">
        <f>SUM('Budget Detail FY 2016-23'!R808:R810)+SUM('Budget Detail FY 2016-23'!R836:R840)</f>
        <v>1022088</v>
      </c>
      <c r="J461" s="2">
        <f>SUM('Budget Detail FY 2016-23'!S808:S810)+SUM('Budget Detail FY 2016-23'!S836:S840)</f>
        <v>1047861</v>
      </c>
      <c r="K461" s="2">
        <f>SUM('Budget Detail FY 2016-23'!T808:T810)+SUM('Budget Detail FY 2016-23'!T836:T840)</f>
        <v>1074407</v>
      </c>
    </row>
    <row r="462" spans="2:11" ht="20.100000000000001" customHeight="1">
      <c r="B462" s="386" t="s">
        <v>692</v>
      </c>
      <c r="C462" s="2">
        <f>SUM('Budget Detail FY 2016-23'!L811:L816)+SUM('Budget Detail FY 2016-23'!L841:L846)</f>
        <v>325538</v>
      </c>
      <c r="D462" s="2">
        <f>SUM('Budget Detail FY 2016-23'!M811:M816)+SUM('Budget Detail FY 2016-23'!M841:M846)</f>
        <v>365079</v>
      </c>
      <c r="E462" s="2">
        <f>SUM('Budget Detail FY 2016-23'!N811:N816)+SUM('Budget Detail FY 2016-23'!N841:N846)</f>
        <v>453922</v>
      </c>
      <c r="F462" s="2">
        <f>SUM('Budget Detail FY 2016-23'!O811:O816)+SUM('Budget Detail FY 2016-23'!O841:O846)</f>
        <v>401188</v>
      </c>
      <c r="G462" s="2">
        <f>SUM('Budget Detail FY 2016-23'!P811:P816)+SUM('Budget Detail FY 2016-23'!P841:P846)</f>
        <v>432587</v>
      </c>
      <c r="H462" s="2">
        <f>SUM('Budget Detail FY 2016-23'!Q811:Q816)+SUM('Budget Detail FY 2016-23'!Q841:Q846)</f>
        <v>452909</v>
      </c>
      <c r="I462" s="2">
        <f>SUM('Budget Detail FY 2016-23'!R811:R816)+SUM('Budget Detail FY 2016-23'!R841:R846)</f>
        <v>481147</v>
      </c>
      <c r="J462" s="2">
        <f>SUM('Budget Detail FY 2016-23'!S811:S816)+SUM('Budget Detail FY 2016-23'!S841:S846)</f>
        <v>511487</v>
      </c>
      <c r="K462" s="2">
        <f>SUM('Budget Detail FY 2016-23'!T811:T816)+SUM('Budget Detail FY 2016-23'!T841:T846)</f>
        <v>543978</v>
      </c>
    </row>
    <row r="463" spans="2:11" ht="20.100000000000001" customHeight="1">
      <c r="B463" s="386" t="s">
        <v>693</v>
      </c>
      <c r="C463" s="2">
        <f>SUM('Budget Detail FY 2016-23'!L817:L826)+SUM('Budget Detail FY 2016-23'!L847:L861)</f>
        <v>252132</v>
      </c>
      <c r="D463" s="2">
        <f>SUM('Budget Detail FY 2016-23'!M817:M826)+SUM('Budget Detail FY 2016-23'!M847:M861)</f>
        <v>311346</v>
      </c>
      <c r="E463" s="2">
        <f>SUM('Budget Detail FY 2016-23'!N817:N826)+SUM('Budget Detail FY 2016-23'!N847:N861)</f>
        <v>274720</v>
      </c>
      <c r="F463" s="2">
        <f>SUM('Budget Detail FY 2016-23'!O817:O826)+SUM('Budget Detail FY 2016-23'!O847:O861)</f>
        <v>330131</v>
      </c>
      <c r="G463" s="2">
        <f>SUM('Budget Detail FY 2016-23'!P817:P826)+SUM('Budget Detail FY 2016-23'!P847:P861)</f>
        <v>294214</v>
      </c>
      <c r="H463" s="2">
        <f>SUM('Budget Detail FY 2016-23'!Q817:Q826)+SUM('Budget Detail FY 2016-23'!Q847:Q861)</f>
        <v>289099</v>
      </c>
      <c r="I463" s="2">
        <f>SUM('Budget Detail FY 2016-23'!R817:R826)+SUM('Budget Detail FY 2016-23'!R847:R861)</f>
        <v>288960</v>
      </c>
      <c r="J463" s="2">
        <f>SUM('Budget Detail FY 2016-23'!S817:S826)+SUM('Budget Detail FY 2016-23'!S847:S861)</f>
        <v>290754</v>
      </c>
      <c r="K463" s="2">
        <f>SUM('Budget Detail FY 2016-23'!T817:T826)+SUM('Budget Detail FY 2016-23'!T847:T861)</f>
        <v>302243</v>
      </c>
    </row>
    <row r="464" spans="2:11" ht="20.100000000000001" customHeight="1">
      <c r="B464" s="386" t="s">
        <v>694</v>
      </c>
      <c r="C464" s="2">
        <f>SUM('Budget Detail FY 2016-23'!L827:L832)+SUM('Budget Detail FY 2016-23'!L862:L868)</f>
        <v>474172</v>
      </c>
      <c r="D464" s="2">
        <f>SUM('Budget Detail FY 2016-23'!M827:M832)+SUM('Budget Detail FY 2016-23'!M862:M868)</f>
        <v>360884</v>
      </c>
      <c r="E464" s="2">
        <f>SUM('Budget Detail FY 2016-23'!N827:N832)+SUM('Budget Detail FY 2016-23'!N862:N868)</f>
        <v>345151</v>
      </c>
      <c r="F464" s="2">
        <f>SUM('Budget Detail FY 2016-23'!O827:O832)+SUM('Budget Detail FY 2016-23'!O862:O868)</f>
        <v>407618</v>
      </c>
      <c r="G464" s="2">
        <f>SUM('Budget Detail FY 2016-23'!P827:P832)+SUM('Budget Detail FY 2016-23'!P862:P868)</f>
        <v>386735</v>
      </c>
      <c r="H464" s="2">
        <f>SUM('Budget Detail FY 2016-23'!Q827:Q832)+SUM('Budget Detail FY 2016-23'!Q862:Q868)</f>
        <v>369511</v>
      </c>
      <c r="I464" s="2">
        <f>SUM('Budget Detail FY 2016-23'!R827:R832)+SUM('Budget Detail FY 2016-23'!R862:R868)</f>
        <v>370325</v>
      </c>
      <c r="J464" s="2">
        <f>SUM('Budget Detail FY 2016-23'!S827:S832)+SUM('Budget Detail FY 2016-23'!S862:S868)</f>
        <v>371180</v>
      </c>
      <c r="K464" s="2">
        <f>SUM('Budget Detail FY 2016-23'!T827:T832)+SUM('Budget Detail FY 2016-23'!T862:T868)</f>
        <v>372078</v>
      </c>
    </row>
    <row r="465" spans="2:11" ht="20.100000000000001" customHeight="1" thickBot="1">
      <c r="B465" s="126" t="s">
        <v>697</v>
      </c>
      <c r="C465" s="123">
        <f t="shared" ref="C465:K465" si="40">SUM(C461:C464)</f>
        <v>1775036</v>
      </c>
      <c r="D465" s="123">
        <f t="shared" si="40"/>
        <v>1842499</v>
      </c>
      <c r="E465" s="123">
        <f t="shared" si="40"/>
        <v>1977311</v>
      </c>
      <c r="F465" s="123">
        <f t="shared" si="40"/>
        <v>2022397</v>
      </c>
      <c r="G465" s="123">
        <f t="shared" si="40"/>
        <v>2086308</v>
      </c>
      <c r="H465" s="123">
        <f t="shared" si="40"/>
        <v>2108585</v>
      </c>
      <c r="I465" s="123">
        <f t="shared" si="40"/>
        <v>2162520</v>
      </c>
      <c r="J465" s="123">
        <f t="shared" si="40"/>
        <v>2221282</v>
      </c>
      <c r="K465" s="123">
        <f t="shared" si="40"/>
        <v>2292706</v>
      </c>
    </row>
    <row r="466" spans="2:11" s="422" customFormat="1">
      <c r="B466" s="129"/>
      <c r="C466" s="3"/>
      <c r="D466" s="2"/>
      <c r="E466" s="2"/>
      <c r="F466" s="2"/>
      <c r="G466" s="2"/>
      <c r="H466" s="2"/>
      <c r="I466" s="2"/>
      <c r="J466" s="2"/>
      <c r="K466" s="2"/>
    </row>
    <row r="467" spans="2:11" ht="20.100000000000001" customHeight="1">
      <c r="B467" s="388" t="s">
        <v>698</v>
      </c>
      <c r="C467" s="3">
        <f t="shared" ref="C467:K467" si="41">+C458-C465</f>
        <v>-56773</v>
      </c>
      <c r="D467" s="3">
        <f t="shared" si="41"/>
        <v>-54885</v>
      </c>
      <c r="E467" s="3">
        <f t="shared" si="41"/>
        <v>-77378</v>
      </c>
      <c r="F467" s="3">
        <f t="shared" si="41"/>
        <v>-34635</v>
      </c>
      <c r="G467" s="3">
        <f t="shared" si="41"/>
        <v>-98294</v>
      </c>
      <c r="H467" s="3">
        <f t="shared" si="41"/>
        <v>3342</v>
      </c>
      <c r="I467" s="3">
        <f t="shared" si="41"/>
        <v>8090</v>
      </c>
      <c r="J467" s="3">
        <f t="shared" si="41"/>
        <v>8814</v>
      </c>
      <c r="K467" s="3">
        <f t="shared" si="41"/>
        <v>10714</v>
      </c>
    </row>
    <row r="468" spans="2:11" s="422" customFormat="1">
      <c r="B468" s="130"/>
      <c r="C468" s="3"/>
      <c r="D468" s="2"/>
      <c r="E468" s="2"/>
      <c r="F468" s="2"/>
      <c r="G468" s="2"/>
      <c r="H468" s="2"/>
      <c r="I468" s="2"/>
      <c r="J468" s="2"/>
      <c r="K468" s="2"/>
    </row>
    <row r="469" spans="2:11" ht="20.100000000000001" customHeight="1" thickBot="1">
      <c r="B469" s="125" t="s">
        <v>699</v>
      </c>
      <c r="C469" s="80">
        <v>500762</v>
      </c>
      <c r="D469" s="80">
        <v>445875</v>
      </c>
      <c r="E469" s="80">
        <v>296597</v>
      </c>
      <c r="F469" s="80">
        <f>D469+F467</f>
        <v>411240</v>
      </c>
      <c r="G469" s="80">
        <f>F469+G467</f>
        <v>312946</v>
      </c>
      <c r="H469" s="80">
        <f>G469+H467</f>
        <v>316288</v>
      </c>
      <c r="I469" s="80">
        <f>H469+I467</f>
        <v>324378</v>
      </c>
      <c r="J469" s="80">
        <f>I469+J467</f>
        <v>333192</v>
      </c>
      <c r="K469" s="80">
        <f>J469+K467</f>
        <v>343906</v>
      </c>
    </row>
    <row r="470" spans="2:11" s="422" customFormat="1" ht="15.75" thickTop="1">
      <c r="B470" s="131"/>
      <c r="C470" s="132">
        <f t="shared" ref="C470:K470" si="42">+C469/C465</f>
        <v>0.28211371487676867</v>
      </c>
      <c r="D470" s="132">
        <f t="shared" si="42"/>
        <v>0.24199470393199671</v>
      </c>
      <c r="E470" s="132">
        <f t="shared" si="42"/>
        <v>0.15000017700806803</v>
      </c>
      <c r="F470" s="132">
        <f t="shared" si="42"/>
        <v>0.2033428649271137</v>
      </c>
      <c r="G470" s="132">
        <f t="shared" si="42"/>
        <v>0.14999990413687719</v>
      </c>
      <c r="H470" s="132">
        <f t="shared" si="42"/>
        <v>0.15000011856292253</v>
      </c>
      <c r="I470" s="132">
        <f t="shared" si="42"/>
        <v>0.15</v>
      </c>
      <c r="J470" s="132">
        <f t="shared" si="42"/>
        <v>0.14999986494285733</v>
      </c>
      <c r="K470" s="132">
        <f t="shared" si="42"/>
        <v>0.15000004361658234</v>
      </c>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6" spans="2:11">
      <c r="B476" s="1"/>
      <c r="C476" s="2"/>
      <c r="D476" s="2"/>
      <c r="E476" s="2"/>
      <c r="F476" s="2"/>
      <c r="G476" s="2"/>
      <c r="H476" s="2"/>
      <c r="I476" s="2"/>
      <c r="J476" s="2"/>
      <c r="K476" s="2"/>
    </row>
    <row r="477" spans="2:11">
      <c r="B477" s="1"/>
      <c r="C477" s="2"/>
      <c r="D477" s="2"/>
      <c r="E477" s="2"/>
      <c r="F477" s="2"/>
      <c r="G477" s="2"/>
      <c r="H477" s="2"/>
      <c r="I477" s="2"/>
      <c r="J477" s="2"/>
      <c r="K477" s="2"/>
    </row>
    <row r="478" spans="2:11">
      <c r="B478" s="1"/>
      <c r="C478" s="2"/>
      <c r="D478" s="2"/>
      <c r="E478" s="2"/>
      <c r="F478" s="2"/>
      <c r="G478" s="2"/>
      <c r="H478" s="2"/>
      <c r="I478" s="2"/>
      <c r="J478" s="2"/>
      <c r="K478" s="2"/>
    </row>
    <row r="479" spans="2:11">
      <c r="B479" s="1"/>
      <c r="C479" s="2"/>
      <c r="D479" s="2"/>
      <c r="E479" s="2"/>
      <c r="F479" s="2"/>
      <c r="G479" s="2"/>
      <c r="H479" s="2"/>
      <c r="I479" s="2"/>
      <c r="J479" s="2"/>
      <c r="K479" s="2"/>
    </row>
    <row r="480" spans="2:11">
      <c r="B480" s="1"/>
      <c r="C480" s="2"/>
      <c r="D480" s="2"/>
      <c r="E480" s="2"/>
      <c r="F480" s="2"/>
      <c r="G480" s="2"/>
      <c r="H480" s="2"/>
      <c r="I480" s="2"/>
      <c r="J480" s="2"/>
      <c r="K480" s="2"/>
    </row>
    <row r="481" spans="2:11">
      <c r="B481" s="1"/>
      <c r="C481" s="2"/>
      <c r="D481" s="2"/>
      <c r="E481" s="2"/>
      <c r="F481" s="2"/>
      <c r="G481" s="2"/>
      <c r="H481" s="2"/>
      <c r="I481" s="2"/>
      <c r="J481" s="2"/>
      <c r="K481" s="2"/>
    </row>
    <row r="484" spans="2:11" ht="18.75" customHeight="1">
      <c r="B484" s="895" t="s">
        <v>719</v>
      </c>
      <c r="C484" s="895"/>
      <c r="D484" s="895"/>
      <c r="E484" s="895"/>
      <c r="F484" s="895"/>
      <c r="G484" s="895"/>
      <c r="H484" s="895"/>
      <c r="I484" s="895"/>
      <c r="J484" s="895"/>
      <c r="K484" s="895"/>
    </row>
    <row r="485" spans="2:11" ht="7.5" customHeight="1">
      <c r="B485" s="64"/>
      <c r="C485" s="3"/>
      <c r="D485" s="2"/>
      <c r="E485" s="2"/>
      <c r="F485" s="2"/>
      <c r="G485" s="2"/>
      <c r="H485" s="2"/>
      <c r="I485" s="2"/>
      <c r="J485" s="2"/>
      <c r="K485" s="2"/>
    </row>
    <row r="486" spans="2:11" ht="12.75" customHeight="1">
      <c r="B486" s="886" t="s">
        <v>720</v>
      </c>
      <c r="C486" s="886"/>
      <c r="D486" s="886"/>
      <c r="E486" s="886"/>
      <c r="F486" s="886"/>
      <c r="G486" s="886"/>
      <c r="H486" s="886"/>
      <c r="I486" s="886"/>
      <c r="J486" s="886"/>
      <c r="K486" s="886"/>
    </row>
    <row r="487" spans="2:11" ht="12.75" customHeight="1">
      <c r="B487" s="886"/>
      <c r="C487" s="886"/>
      <c r="D487" s="886"/>
      <c r="E487" s="886"/>
      <c r="F487" s="886"/>
      <c r="G487" s="886"/>
      <c r="H487" s="886"/>
      <c r="I487" s="886"/>
      <c r="J487" s="886"/>
      <c r="K487" s="886"/>
    </row>
    <row r="488" spans="2:11" ht="12.75" customHeight="1">
      <c r="B488" s="886"/>
      <c r="C488" s="886"/>
      <c r="D488" s="886"/>
      <c r="E488" s="886"/>
      <c r="F488" s="886"/>
      <c r="G488" s="886"/>
      <c r="H488" s="886"/>
      <c r="I488" s="886"/>
      <c r="J488" s="886"/>
      <c r="K488" s="886"/>
    </row>
    <row r="489" spans="2:11">
      <c r="B489" s="5"/>
      <c r="C489" s="64"/>
      <c r="D489" s="65"/>
      <c r="E489" s="65" t="s">
        <v>834</v>
      </c>
      <c r="F489" s="1"/>
      <c r="G489" s="1"/>
      <c r="H489" s="1"/>
      <c r="I489" s="1"/>
      <c r="J489" s="1"/>
      <c r="K489" s="1"/>
    </row>
    <row r="490" spans="2:11">
      <c r="B490" s="65"/>
      <c r="C490" s="64" t="s">
        <v>243</v>
      </c>
      <c r="D490" s="64" t="s">
        <v>244</v>
      </c>
      <c r="E490" s="65" t="s">
        <v>679</v>
      </c>
      <c r="F490" s="65" t="s">
        <v>834</v>
      </c>
      <c r="G490" s="65" t="s">
        <v>915</v>
      </c>
      <c r="H490" s="65" t="s">
        <v>946</v>
      </c>
      <c r="I490" s="65" t="s">
        <v>947</v>
      </c>
      <c r="J490" s="65" t="s">
        <v>948</v>
      </c>
      <c r="K490" s="65" t="s">
        <v>949</v>
      </c>
    </row>
    <row r="491" spans="2:11" ht="15.75" thickBot="1">
      <c r="B491" s="135"/>
      <c r="C491" s="67" t="s">
        <v>1</v>
      </c>
      <c r="D491" s="67" t="s">
        <v>1</v>
      </c>
      <c r="E491" s="67" t="s">
        <v>638</v>
      </c>
      <c r="F491" s="67" t="s">
        <v>19</v>
      </c>
      <c r="G491" s="67" t="s">
        <v>679</v>
      </c>
      <c r="H491" s="67" t="s">
        <v>19</v>
      </c>
      <c r="I491" s="67" t="s">
        <v>19</v>
      </c>
      <c r="J491" s="67" t="s">
        <v>19</v>
      </c>
      <c r="K491" s="67" t="s">
        <v>19</v>
      </c>
    </row>
    <row r="492" spans="2:11">
      <c r="B492" s="63"/>
      <c r="C492" s="136"/>
      <c r="D492" s="2"/>
      <c r="E492" s="2"/>
      <c r="F492" s="2"/>
      <c r="G492" s="2"/>
      <c r="H492" s="2"/>
      <c r="I492" s="2"/>
      <c r="J492" s="2"/>
      <c r="K492" s="2"/>
    </row>
    <row r="493" spans="2:11">
      <c r="B493" s="127" t="s">
        <v>680</v>
      </c>
      <c r="C493" s="2"/>
      <c r="D493" s="2"/>
      <c r="E493" s="2"/>
      <c r="F493" s="2"/>
      <c r="G493" s="2"/>
      <c r="H493" s="2"/>
      <c r="I493" s="2"/>
      <c r="J493" s="2"/>
      <c r="K493" s="2"/>
    </row>
    <row r="494" spans="2:11" ht="20.100000000000001" customHeight="1">
      <c r="B494" s="384" t="s">
        <v>681</v>
      </c>
      <c r="C494" s="2">
        <f>SUM('Budget Detail FY 2016-23'!L881:L882)</f>
        <v>1369150</v>
      </c>
      <c r="D494" s="2">
        <f>SUM('Budget Detail FY 2016-23'!M881:M882)</f>
        <v>1372091</v>
      </c>
      <c r="E494" s="2">
        <f>SUM('Budget Detail FY 2016-23'!N881:N882)</f>
        <v>1403263</v>
      </c>
      <c r="F494" s="2">
        <f>SUM('Budget Detail FY 2016-23'!O881:O882)</f>
        <v>1402659</v>
      </c>
      <c r="G494" s="2">
        <f>SUM('Budget Detail FY 2016-23'!P881:P882)</f>
        <v>1464606</v>
      </c>
      <c r="H494" s="2">
        <f>SUM('Budget Detail FY 2016-23'!Q881:Q882)</f>
        <v>1482968</v>
      </c>
      <c r="I494" s="2">
        <f>SUM('Budget Detail FY 2016-23'!R881:R882)</f>
        <v>1526762</v>
      </c>
      <c r="J494" s="2">
        <f>SUM('Budget Detail FY 2016-23'!S881:S882)</f>
        <v>1553892</v>
      </c>
      <c r="K494" s="2">
        <f>SUM('Budget Detail FY 2016-23'!T881:T882)</f>
        <v>1575253</v>
      </c>
    </row>
    <row r="495" spans="2:11" ht="20.100000000000001" customHeight="1">
      <c r="B495" s="384" t="s">
        <v>682</v>
      </c>
      <c r="C495" s="2">
        <f>SUM('Budget Detail FY 2016-23'!L883:L884)</f>
        <v>26475</v>
      </c>
      <c r="D495" s="2">
        <f>SUM('Budget Detail FY 2016-23'!M883:M884)</f>
        <v>18958</v>
      </c>
      <c r="E495" s="2">
        <f>SUM('Budget Detail FY 2016-23'!N883:N884)</f>
        <v>22450</v>
      </c>
      <c r="F495" s="2">
        <f>SUM('Budget Detail FY 2016-23'!O883:O884)</f>
        <v>18388</v>
      </c>
      <c r="G495" s="2">
        <f>SUM('Budget Detail FY 2016-23'!P883:P884)</f>
        <v>18350</v>
      </c>
      <c r="H495" s="2">
        <f>SUM('Budget Detail FY 2016-23'!Q883:Q884)</f>
        <v>18350</v>
      </c>
      <c r="I495" s="2">
        <f>SUM('Budget Detail FY 2016-23'!R883:R884)</f>
        <v>18350</v>
      </c>
      <c r="J495" s="2">
        <f>SUM('Budget Detail FY 2016-23'!S883:S884)</f>
        <v>18350</v>
      </c>
      <c r="K495" s="2">
        <f>SUM('Budget Detail FY 2016-23'!T883:T884)</f>
        <v>18350</v>
      </c>
    </row>
    <row r="496" spans="2:11" ht="20.100000000000001" customHeight="1">
      <c r="B496" s="385" t="s">
        <v>684</v>
      </c>
      <c r="C496" s="2">
        <f>'Budget Detail FY 2016-23'!L885</f>
        <v>8081</v>
      </c>
      <c r="D496" s="2">
        <f>'Budget Detail FY 2016-23'!M885</f>
        <v>7355</v>
      </c>
      <c r="E496" s="2">
        <f>'Budget Detail FY 2016-23'!N885</f>
        <v>8000</v>
      </c>
      <c r="F496" s="2">
        <f>'Budget Detail FY 2016-23'!O885</f>
        <v>9000</v>
      </c>
      <c r="G496" s="2">
        <f>'Budget Detail FY 2016-23'!P885</f>
        <v>8500</v>
      </c>
      <c r="H496" s="2">
        <f>'Budget Detail FY 2016-23'!Q885</f>
        <v>8500</v>
      </c>
      <c r="I496" s="2">
        <f>'Budget Detail FY 2016-23'!R885</f>
        <v>8500</v>
      </c>
      <c r="J496" s="2">
        <f>'Budget Detail FY 2016-23'!S885</f>
        <v>8500</v>
      </c>
      <c r="K496" s="2">
        <f>'Budget Detail FY 2016-23'!T885</f>
        <v>8500</v>
      </c>
    </row>
    <row r="497" spans="2:11" ht="20.100000000000001" customHeight="1">
      <c r="B497" s="385" t="s">
        <v>685</v>
      </c>
      <c r="C497" s="2">
        <f>SUM('Budget Detail FY 2016-23'!L886:L888)</f>
        <v>9191</v>
      </c>
      <c r="D497" s="2">
        <f>SUM('Budget Detail FY 2016-23'!M886:M888)</f>
        <v>10208</v>
      </c>
      <c r="E497" s="2">
        <f>SUM('Budget Detail FY 2016-23'!N886:N888)</f>
        <v>10000</v>
      </c>
      <c r="F497" s="2">
        <f>SUM('Budget Detail FY 2016-23'!O886:O888)</f>
        <v>13300</v>
      </c>
      <c r="G497" s="2">
        <f>SUM('Budget Detail FY 2016-23'!P886:P888)</f>
        <v>11500</v>
      </c>
      <c r="H497" s="2">
        <f>SUM('Budget Detail FY 2016-23'!Q886:Q888)</f>
        <v>11500</v>
      </c>
      <c r="I497" s="2">
        <f>SUM('Budget Detail FY 2016-23'!R886:R888)</f>
        <v>11500</v>
      </c>
      <c r="J497" s="2">
        <f>SUM('Budget Detail FY 2016-23'!S886:S888)</f>
        <v>11500</v>
      </c>
      <c r="K497" s="2">
        <f>SUM('Budget Detail FY 2016-23'!T886:T888)</f>
        <v>11500</v>
      </c>
    </row>
    <row r="498" spans="2:11" ht="20.100000000000001" customHeight="1">
      <c r="B498" s="385" t="s">
        <v>686</v>
      </c>
      <c r="C498" s="2">
        <f>'Budget Detail FY 2016-23'!L889</f>
        <v>559</v>
      </c>
      <c r="D498" s="2">
        <f>'Budget Detail FY 2016-23'!M889</f>
        <v>1594</v>
      </c>
      <c r="E498" s="2">
        <f>'Budget Detail FY 2016-23'!N889</f>
        <v>800</v>
      </c>
      <c r="F498" s="2">
        <f>'Budget Detail FY 2016-23'!O889</f>
        <v>2000</v>
      </c>
      <c r="G498" s="2">
        <f>'Budget Detail FY 2016-23'!P889</f>
        <v>1750</v>
      </c>
      <c r="H498" s="2">
        <f>'Budget Detail FY 2016-23'!Q889</f>
        <v>1550</v>
      </c>
      <c r="I498" s="2">
        <f>'Budget Detail FY 2016-23'!R889</f>
        <v>1400</v>
      </c>
      <c r="J498" s="2">
        <f>'Budget Detail FY 2016-23'!S889</f>
        <v>1300</v>
      </c>
      <c r="K498" s="2">
        <f>'Budget Detail FY 2016-23'!T889</f>
        <v>1200</v>
      </c>
    </row>
    <row r="499" spans="2:11" ht="20.100000000000001" customHeight="1">
      <c r="B499" s="385" t="s">
        <v>687</v>
      </c>
      <c r="C499" s="2">
        <f>'Budget Detail FY 2016-23'!L890</f>
        <v>0</v>
      </c>
      <c r="D499" s="2">
        <f>'Budget Detail FY 2016-23'!M890</f>
        <v>2141</v>
      </c>
      <c r="E499" s="2">
        <f>'Budget Detail FY 2016-23'!N890</f>
        <v>0</v>
      </c>
      <c r="F499" s="2">
        <f>'Budget Detail FY 2016-23'!O890</f>
        <v>691</v>
      </c>
      <c r="G499" s="2">
        <f>'Budget Detail FY 2016-23'!P890</f>
        <v>0</v>
      </c>
      <c r="H499" s="2">
        <f>'Budget Detail FY 2016-23'!Q890</f>
        <v>0</v>
      </c>
      <c r="I499" s="2">
        <f>'Budget Detail FY 2016-23'!R890</f>
        <v>0</v>
      </c>
      <c r="J499" s="2">
        <f>'Budget Detail FY 2016-23'!S890</f>
        <v>0</v>
      </c>
      <c r="K499" s="2">
        <f>'Budget Detail FY 2016-23'!T890</f>
        <v>0</v>
      </c>
    </row>
    <row r="500" spans="2:11" ht="20.100000000000001" customHeight="1">
      <c r="B500" s="385" t="s">
        <v>688</v>
      </c>
      <c r="C500" s="2">
        <f>SUM('Budget Detail FY 2016-23'!L891:L893)</f>
        <v>5240</v>
      </c>
      <c r="D500" s="2">
        <f>SUM('Budget Detail FY 2016-23'!M891:M893)</f>
        <v>7099</v>
      </c>
      <c r="E500" s="2">
        <f>SUM('Budget Detail FY 2016-23'!N891:N893)</f>
        <v>5500</v>
      </c>
      <c r="F500" s="2">
        <f>SUM('Budget Detail FY 2016-23'!O891:O893)</f>
        <v>6750</v>
      </c>
      <c r="G500" s="2">
        <f>SUM('Budget Detail FY 2016-23'!P891:P893)</f>
        <v>6750</v>
      </c>
      <c r="H500" s="2">
        <f>SUM('Budget Detail FY 2016-23'!Q891:Q893)</f>
        <v>6750</v>
      </c>
      <c r="I500" s="2">
        <f>SUM('Budget Detail FY 2016-23'!R891:R893)</f>
        <v>6750</v>
      </c>
      <c r="J500" s="2">
        <f>SUM('Budget Detail FY 2016-23'!S891:S893)</f>
        <v>6750</v>
      </c>
      <c r="K500" s="2">
        <f>SUM('Budget Detail FY 2016-23'!T891:T893)</f>
        <v>6750</v>
      </c>
    </row>
    <row r="501" spans="2:11" ht="20.100000000000001" customHeight="1">
      <c r="B501" s="387" t="s">
        <v>689</v>
      </c>
      <c r="C501" s="2">
        <f>SUM('Budget Detail FY 2016-23'!L894:L894)</f>
        <v>25928</v>
      </c>
      <c r="D501" s="2">
        <f>SUM('Budget Detail FY 2016-23'!M894:M894)</f>
        <v>24044</v>
      </c>
      <c r="E501" s="2">
        <f>SUM('Budget Detail FY 2016-23'!N894:N894)</f>
        <v>26440</v>
      </c>
      <c r="F501" s="2">
        <f>SUM('Budget Detail FY 2016-23'!O894:O894)</f>
        <v>23793</v>
      </c>
      <c r="G501" s="2">
        <f>SUM('Budget Detail FY 2016-23'!P894:P894)</f>
        <v>25179</v>
      </c>
      <c r="H501" s="2">
        <f>SUM('Budget Detail FY 2016-23'!Q894:Q894)</f>
        <v>26645</v>
      </c>
      <c r="I501" s="2">
        <f>SUM('Budget Detail FY 2016-23'!R894:R894)</f>
        <v>28199</v>
      </c>
      <c r="J501" s="2">
        <f>SUM('Budget Detail FY 2016-23'!S894:S894)</f>
        <v>29846</v>
      </c>
      <c r="K501" s="2">
        <f>SUM('Budget Detail FY 2016-23'!T894:T894)</f>
        <v>31592</v>
      </c>
    </row>
    <row r="502" spans="2:11" ht="20.100000000000001" customHeight="1" thickBot="1">
      <c r="B502" s="126" t="s">
        <v>690</v>
      </c>
      <c r="C502" s="123">
        <f t="shared" ref="C502:J502" si="43">SUM(C494:C501)</f>
        <v>1444624</v>
      </c>
      <c r="D502" s="123">
        <f>SUM(D494:D501)</f>
        <v>1443490</v>
      </c>
      <c r="E502" s="123">
        <f t="shared" si="43"/>
        <v>1476453</v>
      </c>
      <c r="F502" s="123">
        <f t="shared" si="43"/>
        <v>1476581</v>
      </c>
      <c r="G502" s="123">
        <f t="shared" si="43"/>
        <v>1536635</v>
      </c>
      <c r="H502" s="123">
        <f t="shared" si="43"/>
        <v>1556263</v>
      </c>
      <c r="I502" s="123">
        <f>SUM(I494:I501)</f>
        <v>1601461</v>
      </c>
      <c r="J502" s="123">
        <f t="shared" si="43"/>
        <v>1630138</v>
      </c>
      <c r="K502" s="123">
        <f>SUM(K494:K501)</f>
        <v>1653145</v>
      </c>
    </row>
    <row r="503" spans="2:11" ht="7.5" customHeight="1">
      <c r="B503" s="1"/>
      <c r="C503" s="2"/>
      <c r="D503" s="2"/>
      <c r="E503" s="2"/>
      <c r="F503" s="2"/>
      <c r="G503" s="2"/>
      <c r="H503" s="2"/>
      <c r="I503" s="2"/>
      <c r="J503" s="2"/>
      <c r="K503" s="2"/>
    </row>
    <row r="504" spans="2:11">
      <c r="B504" s="127" t="s">
        <v>484</v>
      </c>
      <c r="C504" s="2"/>
      <c r="D504" s="2"/>
      <c r="E504" s="2"/>
      <c r="F504" s="2"/>
      <c r="G504" s="2"/>
      <c r="H504" s="2"/>
      <c r="I504" s="2"/>
      <c r="J504" s="2"/>
      <c r="K504" s="2"/>
    </row>
    <row r="505" spans="2:11" ht="20.100000000000001" customHeight="1">
      <c r="B505" s="386" t="s">
        <v>691</v>
      </c>
      <c r="C505" s="2">
        <f>SUM('Budget Detail FY 2016-23'!L898:L899)</f>
        <v>391904</v>
      </c>
      <c r="D505" s="2">
        <f>SUM('Budget Detail FY 2016-23'!M898:M899)</f>
        <v>411502</v>
      </c>
      <c r="E505" s="2">
        <f>SUM('Budget Detail FY 2016-23'!N898:N899)</f>
        <v>456517</v>
      </c>
      <c r="F505" s="2">
        <f>SUM('Budget Detail FY 2016-23'!O898:O899)</f>
        <v>405000</v>
      </c>
      <c r="G505" s="2">
        <f>SUM('Budget Detail FY 2016-23'!P898:P899)</f>
        <v>422698</v>
      </c>
      <c r="H505" s="2">
        <f>SUM('Budget Detail FY 2016-23'!Q898:Q899)</f>
        <v>435379</v>
      </c>
      <c r="I505" s="2">
        <f>SUM('Budget Detail FY 2016-23'!R898:R899)</f>
        <v>448440</v>
      </c>
      <c r="J505" s="2">
        <f>SUM('Budget Detail FY 2016-23'!S898:S899)</f>
        <v>461894</v>
      </c>
      <c r="K505" s="2">
        <f>SUM('Budget Detail FY 2016-23'!T898:T899)</f>
        <v>475750</v>
      </c>
    </row>
    <row r="506" spans="2:11" ht="20.100000000000001" customHeight="1">
      <c r="B506" s="386" t="s">
        <v>692</v>
      </c>
      <c r="C506" s="2">
        <f>SUM('Budget Detail FY 2016-23'!L900:L907)</f>
        <v>151698</v>
      </c>
      <c r="D506" s="2">
        <f>SUM('Budget Detail FY 2016-23'!M900:M907)</f>
        <v>158182</v>
      </c>
      <c r="E506" s="2">
        <f>SUM('Budget Detail FY 2016-23'!N900:N907)</f>
        <v>180757</v>
      </c>
      <c r="F506" s="2">
        <f>SUM('Budget Detail FY 2016-23'!O900:O907)</f>
        <v>151460</v>
      </c>
      <c r="G506" s="2">
        <f>SUM('Budget Detail FY 2016-23'!P900:P907)</f>
        <v>166150</v>
      </c>
      <c r="H506" s="2">
        <f>SUM('Budget Detail FY 2016-23'!Q900:Q907)</f>
        <v>176569</v>
      </c>
      <c r="I506" s="2">
        <f>SUM('Budget Detail FY 2016-23'!R900:R907)</f>
        <v>187744</v>
      </c>
      <c r="J506" s="2">
        <f>SUM('Budget Detail FY 2016-23'!S900:S907)</f>
        <v>199742</v>
      </c>
      <c r="K506" s="2">
        <f>SUM('Budget Detail FY 2016-23'!T900:T907)</f>
        <v>212575</v>
      </c>
    </row>
    <row r="507" spans="2:11" ht="20.100000000000001" customHeight="1">
      <c r="B507" s="386" t="s">
        <v>693</v>
      </c>
      <c r="C507" s="2">
        <f>SUM('Budget Detail FY 2016-23'!L908:L920)</f>
        <v>94596</v>
      </c>
      <c r="D507" s="2">
        <f>SUM('Budget Detail FY 2016-23'!M908:M920)</f>
        <v>104409</v>
      </c>
      <c r="E507" s="2">
        <f>SUM('Budget Detail FY 2016-23'!N908:N920)</f>
        <v>141880</v>
      </c>
      <c r="F507" s="2">
        <f>SUM('Budget Detail FY 2016-23'!O908:O920)</f>
        <v>142389</v>
      </c>
      <c r="G507" s="2">
        <f>SUM('Budget Detail FY 2016-23'!P908:P920)</f>
        <v>145840</v>
      </c>
      <c r="H507" s="2">
        <f>SUM('Budget Detail FY 2016-23'!Q908:Q920)</f>
        <v>144412</v>
      </c>
      <c r="I507" s="2">
        <f>SUM('Budget Detail FY 2016-23'!R908:R920)</f>
        <v>145019</v>
      </c>
      <c r="J507" s="2">
        <f>SUM('Budget Detail FY 2016-23'!S908:S920)</f>
        <v>145662</v>
      </c>
      <c r="K507" s="2">
        <f>SUM('Budget Detail FY 2016-23'!T908:T920)</f>
        <v>146344</v>
      </c>
    </row>
    <row r="508" spans="2:11" ht="20.100000000000001" customHeight="1">
      <c r="B508" s="386" t="s">
        <v>694</v>
      </c>
      <c r="C508" s="2">
        <f>SUM('Budget Detail FY 2016-23'!L921:L929)</f>
        <v>23907</v>
      </c>
      <c r="D508" s="2">
        <f>SUM('Budget Detail FY 2016-23'!M921:M929)</f>
        <v>26927</v>
      </c>
      <c r="E508" s="2">
        <f>SUM('Budget Detail FY 2016-23'!N921:N929)</f>
        <v>21000</v>
      </c>
      <c r="F508" s="2">
        <f>SUM('Budget Detail FY 2016-23'!O921:O929)</f>
        <v>21000</v>
      </c>
      <c r="G508" s="2">
        <f>SUM('Budget Detail FY 2016-23'!P921:P929)</f>
        <v>21200</v>
      </c>
      <c r="H508" s="2">
        <f>SUM('Budget Detail FY 2016-23'!Q921:Q929)</f>
        <v>21200</v>
      </c>
      <c r="I508" s="2">
        <f>SUM('Budget Detail FY 2016-23'!R921:R929)</f>
        <v>21200</v>
      </c>
      <c r="J508" s="2">
        <f>SUM('Budget Detail FY 2016-23'!S921:S929)</f>
        <v>21200</v>
      </c>
      <c r="K508" s="2">
        <f>SUM('Budget Detail FY 2016-23'!T921:T929)</f>
        <v>21200</v>
      </c>
    </row>
    <row r="509" spans="2:11" ht="20.100000000000001" customHeight="1">
      <c r="B509" s="387" t="s">
        <v>626</v>
      </c>
      <c r="C509" s="2">
        <f>SUM('Budget Detail FY 2016-23'!L931:L935)</f>
        <v>749846</v>
      </c>
      <c r="D509" s="2">
        <f>SUM('Budget Detail FY 2016-23'!M931:M935)</f>
        <v>752771</v>
      </c>
      <c r="E509" s="2">
        <f>SUM('Budget Detail FY 2016-23'!N931:N935)</f>
        <v>760396</v>
      </c>
      <c r="F509" s="2">
        <f>SUM('Budget Detail FY 2016-23'!O931:O935)</f>
        <v>760396</v>
      </c>
      <c r="G509" s="2">
        <f>SUM('Budget Detail FY 2016-23'!P931:P935)</f>
        <v>792101</v>
      </c>
      <c r="H509" s="2">
        <f>SUM('Budget Detail FY 2016-23'!Q931:Q935)</f>
        <v>797013</v>
      </c>
      <c r="I509" s="2">
        <f>SUM('Budget Detail FY 2016-23'!R931:R935)</f>
        <v>827088</v>
      </c>
      <c r="J509" s="2">
        <f>SUM('Budget Detail FY 2016-23'!S931:S935)</f>
        <v>840225</v>
      </c>
      <c r="K509" s="2">
        <f>SUM('Budget Detail FY 2016-23'!T931:T935)</f>
        <v>847313</v>
      </c>
    </row>
    <row r="510" spans="2:11" ht="20.100000000000001" customHeight="1" thickBot="1">
      <c r="B510" s="126" t="s">
        <v>697</v>
      </c>
      <c r="C510" s="123">
        <f>SUM(C505:C509)</f>
        <v>1411951</v>
      </c>
      <c r="D510" s="123">
        <f t="shared" ref="D510:K510" si="44">SUM(D505:D509)</f>
        <v>1453791</v>
      </c>
      <c r="E510" s="123">
        <f t="shared" si="44"/>
        <v>1560550</v>
      </c>
      <c r="F510" s="123">
        <f t="shared" si="44"/>
        <v>1480245</v>
      </c>
      <c r="G510" s="123">
        <f t="shared" si="44"/>
        <v>1547989</v>
      </c>
      <c r="H510" s="123">
        <f t="shared" si="44"/>
        <v>1574573</v>
      </c>
      <c r="I510" s="123">
        <f t="shared" si="44"/>
        <v>1629491</v>
      </c>
      <c r="J510" s="123">
        <f t="shared" si="44"/>
        <v>1668723</v>
      </c>
      <c r="K510" s="123">
        <f t="shared" si="44"/>
        <v>1703182</v>
      </c>
    </row>
    <row r="511" spans="2:11" ht="7.5" customHeight="1">
      <c r="B511" s="129"/>
      <c r="C511" s="3"/>
      <c r="D511" s="2"/>
      <c r="E511" s="2"/>
      <c r="F511" s="2"/>
      <c r="G511" s="2"/>
      <c r="H511" s="2"/>
      <c r="I511" s="2"/>
      <c r="J511" s="2"/>
      <c r="K511" s="2"/>
    </row>
    <row r="512" spans="2:11" ht="20.100000000000001" customHeight="1">
      <c r="B512" s="388" t="s">
        <v>698</v>
      </c>
      <c r="C512" s="3">
        <f t="shared" ref="C512:K512" si="45">+C502-C510</f>
        <v>32673</v>
      </c>
      <c r="D512" s="3">
        <f t="shared" si="45"/>
        <v>-10301</v>
      </c>
      <c r="E512" s="3">
        <f t="shared" si="45"/>
        <v>-84097</v>
      </c>
      <c r="F512" s="3">
        <f t="shared" si="45"/>
        <v>-3664</v>
      </c>
      <c r="G512" s="3">
        <f t="shared" si="45"/>
        <v>-11354</v>
      </c>
      <c r="H512" s="3">
        <f t="shared" si="45"/>
        <v>-18310</v>
      </c>
      <c r="I512" s="3">
        <f t="shared" si="45"/>
        <v>-28030</v>
      </c>
      <c r="J512" s="3">
        <f t="shared" si="45"/>
        <v>-38585</v>
      </c>
      <c r="K512" s="3">
        <f t="shared" si="45"/>
        <v>-50037</v>
      </c>
    </row>
    <row r="513" spans="2:11" ht="7.5" customHeight="1">
      <c r="B513" s="130"/>
      <c r="C513" s="3"/>
      <c r="D513" s="2"/>
      <c r="E513" s="2"/>
      <c r="F513" s="2"/>
      <c r="G513" s="2"/>
      <c r="H513" s="2"/>
      <c r="I513" s="2"/>
      <c r="J513" s="2"/>
      <c r="K513" s="2"/>
    </row>
    <row r="514" spans="2:11" ht="20.100000000000001" customHeight="1" thickBot="1">
      <c r="B514" s="125" t="s">
        <v>699</v>
      </c>
      <c r="C514" s="80">
        <v>499355</v>
      </c>
      <c r="D514" s="80">
        <v>489057</v>
      </c>
      <c r="E514" s="80">
        <v>396472</v>
      </c>
      <c r="F514" s="80">
        <f>D514+F512</f>
        <v>485393</v>
      </c>
      <c r="G514" s="80">
        <f>F514+G512</f>
        <v>474039</v>
      </c>
      <c r="H514" s="80">
        <f>G514+H512</f>
        <v>455729</v>
      </c>
      <c r="I514" s="80">
        <f>H514+I512</f>
        <v>427699</v>
      </c>
      <c r="J514" s="80">
        <f>I514+J512</f>
        <v>389114</v>
      </c>
      <c r="K514" s="80">
        <f>J514+K512</f>
        <v>339077</v>
      </c>
    </row>
    <row r="515" spans="2:11" ht="15.75" thickTop="1">
      <c r="B515" s="131"/>
      <c r="C515" s="132">
        <f t="shared" ref="C515:K515" si="46">+C514/C510</f>
        <v>0.35366312287041124</v>
      </c>
      <c r="D515" s="132">
        <f t="shared" si="46"/>
        <v>0.33640117458424218</v>
      </c>
      <c r="E515" s="132">
        <f t="shared" si="46"/>
        <v>0.25405914581397582</v>
      </c>
      <c r="F515" s="132">
        <f t="shared" si="46"/>
        <v>0.32791396018902275</v>
      </c>
      <c r="G515" s="132">
        <f t="shared" si="46"/>
        <v>0.30622892023134529</v>
      </c>
      <c r="H515" s="132">
        <f t="shared" si="46"/>
        <v>0.28943021377859268</v>
      </c>
      <c r="I515" s="132">
        <f t="shared" si="46"/>
        <v>0.2624739872757812</v>
      </c>
      <c r="J515" s="132">
        <f t="shared" si="46"/>
        <v>0.23318070165030386</v>
      </c>
      <c r="K515" s="132">
        <f t="shared" si="46"/>
        <v>0.19908441963336859</v>
      </c>
    </row>
    <row r="516" spans="2:11">
      <c r="B516" s="826" t="s">
        <v>1414</v>
      </c>
      <c r="C516" s="825">
        <f t="shared" ref="C516:K516" si="47">C514/(C510-C509)</f>
        <v>0.75419306605447778</v>
      </c>
      <c r="D516" s="825">
        <f t="shared" si="47"/>
        <v>0.69763630138940402</v>
      </c>
      <c r="E516" s="825">
        <f t="shared" si="47"/>
        <v>0.49549461728617239</v>
      </c>
      <c r="F516" s="825">
        <f t="shared" si="47"/>
        <v>0.67429835979490138</v>
      </c>
      <c r="G516" s="825">
        <f t="shared" si="47"/>
        <v>0.6271286222297483</v>
      </c>
      <c r="H516" s="825">
        <f t="shared" si="47"/>
        <v>0.58610139410463502</v>
      </c>
      <c r="I516" s="825">
        <f t="shared" si="47"/>
        <v>0.53302268311559153</v>
      </c>
      <c r="J516" s="825">
        <f t="shared" si="47"/>
        <v>0.46966196659497067</v>
      </c>
      <c r="K516" s="825">
        <f t="shared" si="47"/>
        <v>0.39617862079360278</v>
      </c>
    </row>
    <row r="517" spans="2:11" ht="7.5" customHeight="1">
      <c r="B517" s="131"/>
      <c r="C517" s="141"/>
      <c r="D517" s="141"/>
      <c r="E517" s="141"/>
      <c r="F517" s="141"/>
      <c r="G517" s="141"/>
      <c r="H517" s="141"/>
      <c r="I517" s="141"/>
      <c r="J517" s="141"/>
      <c r="K517" s="141"/>
    </row>
    <row r="518" spans="2:11">
      <c r="B518" s="131"/>
      <c r="C518" s="2"/>
      <c r="D518" s="2"/>
      <c r="E518" s="2"/>
      <c r="F518" s="2"/>
      <c r="G518" s="2"/>
      <c r="H518" s="2"/>
      <c r="I518" s="2"/>
      <c r="J518" s="2"/>
      <c r="K518" s="2"/>
    </row>
    <row r="519" spans="2:11">
      <c r="B519" s="1"/>
      <c r="C519" s="2"/>
      <c r="D519" s="2"/>
      <c r="E519" s="2"/>
      <c r="F519" s="2"/>
      <c r="G519" s="2"/>
      <c r="H519" s="2"/>
      <c r="I519" s="2"/>
      <c r="J519" s="2"/>
      <c r="K519" s="2"/>
    </row>
    <row r="520" spans="2:11">
      <c r="B520" s="1"/>
      <c r="C520" s="2"/>
      <c r="D520" s="2"/>
      <c r="E520" s="2"/>
      <c r="F520" s="2"/>
      <c r="G520" s="2"/>
      <c r="H520" s="2"/>
      <c r="I520" s="2"/>
      <c r="J520" s="2"/>
      <c r="K520" s="2"/>
    </row>
    <row r="521" spans="2:11">
      <c r="B521" s="1"/>
      <c r="C521" s="2"/>
      <c r="D521" s="2"/>
      <c r="E521" s="2"/>
      <c r="F521" s="2"/>
      <c r="G521" s="2"/>
      <c r="H521" s="2"/>
      <c r="I521" s="2"/>
      <c r="J521" s="2"/>
      <c r="K521" s="2"/>
    </row>
    <row r="522" spans="2:11">
      <c r="B522" s="1"/>
      <c r="C522" s="2"/>
      <c r="D522" s="2"/>
      <c r="E522" s="2"/>
      <c r="F522" s="2"/>
      <c r="G522" s="2"/>
      <c r="H522" s="2"/>
      <c r="I522" s="2"/>
      <c r="J522" s="2"/>
      <c r="K522" s="2"/>
    </row>
    <row r="523" spans="2:11">
      <c r="B523" s="1"/>
      <c r="C523" s="2"/>
      <c r="D523" s="2"/>
      <c r="E523" s="2"/>
      <c r="F523" s="2"/>
      <c r="G523" s="2"/>
      <c r="H523" s="2"/>
      <c r="I523" s="2"/>
      <c r="J523" s="2"/>
      <c r="K523" s="2"/>
    </row>
    <row r="524" spans="2:11">
      <c r="B524" s="1"/>
      <c r="C524" s="2"/>
      <c r="D524" s="2"/>
      <c r="E524" s="2"/>
      <c r="F524" s="2"/>
      <c r="G524" s="2"/>
      <c r="H524" s="2"/>
      <c r="I524" s="2"/>
      <c r="J524" s="2"/>
      <c r="K524" s="2"/>
    </row>
    <row r="525" spans="2:11">
      <c r="B525" s="1"/>
      <c r="C525" s="2"/>
      <c r="D525" s="2"/>
      <c r="E525" s="2"/>
      <c r="F525" s="2"/>
      <c r="G525" s="2"/>
      <c r="H525" s="2"/>
      <c r="I525" s="2"/>
      <c r="J525" s="2"/>
      <c r="K525" s="2"/>
    </row>
    <row r="526" spans="2:11">
      <c r="B526" s="1"/>
      <c r="C526" s="2"/>
      <c r="D526" s="2"/>
      <c r="E526" s="2"/>
      <c r="F526" s="2"/>
      <c r="G526" s="2"/>
      <c r="H526" s="2"/>
      <c r="I526" s="2"/>
      <c r="J526" s="2"/>
      <c r="K526" s="2"/>
    </row>
    <row r="527" spans="2:11">
      <c r="B527" s="1"/>
      <c r="C527" s="2"/>
      <c r="D527" s="2"/>
      <c r="E527" s="2"/>
      <c r="F527" s="2"/>
      <c r="G527" s="2"/>
      <c r="H527" s="2"/>
      <c r="I527" s="2"/>
      <c r="J527" s="2"/>
      <c r="K527" s="2"/>
    </row>
    <row r="528" spans="2:11">
      <c r="B528" s="1"/>
      <c r="C528" s="2"/>
      <c r="D528" s="2"/>
      <c r="E528" s="2"/>
      <c r="F528" s="2"/>
      <c r="G528" s="2"/>
      <c r="H528" s="2"/>
      <c r="I528" s="2"/>
      <c r="J528" s="2"/>
      <c r="K528" s="2"/>
    </row>
    <row r="529" spans="2:11">
      <c r="B529" s="1"/>
      <c r="C529" s="2"/>
      <c r="D529" s="2"/>
      <c r="E529" s="2"/>
      <c r="F529" s="2"/>
      <c r="G529" s="2"/>
      <c r="H529" s="2"/>
      <c r="I529" s="2"/>
      <c r="J529" s="2"/>
      <c r="K529" s="2"/>
    </row>
    <row r="530" spans="2:11">
      <c r="B530" s="1"/>
      <c r="C530" s="2"/>
      <c r="D530" s="2"/>
      <c r="E530" s="2"/>
      <c r="F530" s="2"/>
      <c r="G530" s="2"/>
      <c r="H530" s="2"/>
      <c r="I530" s="2"/>
      <c r="J530" s="2"/>
      <c r="K530" s="2"/>
    </row>
    <row r="531" spans="2:11">
      <c r="B531" s="1"/>
      <c r="C531" s="2"/>
      <c r="D531" s="2"/>
      <c r="E531" s="2"/>
      <c r="F531" s="2"/>
      <c r="G531" s="2"/>
      <c r="H531" s="2"/>
      <c r="I531" s="2"/>
      <c r="J531" s="2"/>
      <c r="K531" s="2"/>
    </row>
    <row r="532" spans="2:11">
      <c r="B532" s="895" t="s">
        <v>721</v>
      </c>
      <c r="C532" s="895"/>
      <c r="D532" s="895"/>
      <c r="E532" s="895"/>
      <c r="F532" s="895"/>
      <c r="G532" s="895"/>
      <c r="H532" s="895"/>
      <c r="I532" s="895"/>
      <c r="J532" s="895"/>
      <c r="K532" s="895"/>
    </row>
    <row r="533" spans="2:11">
      <c r="B533" s="64" t="s">
        <v>656</v>
      </c>
      <c r="C533" s="3"/>
      <c r="D533" s="2"/>
      <c r="E533" s="2"/>
      <c r="F533" s="2"/>
      <c r="G533" s="2"/>
      <c r="H533" s="2"/>
      <c r="I533" s="2"/>
      <c r="J533" s="2"/>
      <c r="K533" s="2"/>
    </row>
    <row r="534" spans="2:11" ht="12.75" customHeight="1">
      <c r="B534" s="886" t="s">
        <v>951</v>
      </c>
      <c r="C534" s="886"/>
      <c r="D534" s="886"/>
      <c r="E534" s="886"/>
      <c r="F534" s="886"/>
      <c r="G534" s="886"/>
      <c r="H534" s="886"/>
      <c r="I534" s="886"/>
      <c r="J534" s="886"/>
      <c r="K534" s="886"/>
    </row>
    <row r="535" spans="2:11" ht="18" customHeight="1">
      <c r="B535" s="886"/>
      <c r="C535" s="886"/>
      <c r="D535" s="886"/>
      <c r="E535" s="886"/>
      <c r="F535" s="886"/>
      <c r="G535" s="886"/>
      <c r="H535" s="886"/>
      <c r="I535" s="886"/>
      <c r="J535" s="886"/>
      <c r="K535" s="886"/>
    </row>
    <row r="536" spans="2:11">
      <c r="B536" s="418"/>
      <c r="C536" s="21"/>
      <c r="D536" s="21"/>
      <c r="E536" s="21"/>
      <c r="F536" s="21"/>
      <c r="G536" s="21"/>
      <c r="H536" s="2"/>
      <c r="I536" s="2"/>
      <c r="J536" s="2"/>
      <c r="K536" s="2"/>
    </row>
    <row r="537" spans="2:11">
      <c r="B537" s="5"/>
      <c r="C537" s="64"/>
      <c r="D537" s="65"/>
      <c r="E537" s="65" t="s">
        <v>834</v>
      </c>
      <c r="F537" s="1"/>
      <c r="G537" s="1"/>
      <c r="H537" s="1"/>
      <c r="I537" s="1"/>
      <c r="J537" s="1"/>
      <c r="K537" s="1"/>
    </row>
    <row r="538" spans="2:11">
      <c r="B538" s="65"/>
      <c r="C538" s="64" t="s">
        <v>243</v>
      </c>
      <c r="D538" s="64" t="s">
        <v>244</v>
      </c>
      <c r="E538" s="65" t="s">
        <v>679</v>
      </c>
      <c r="F538" s="65" t="s">
        <v>834</v>
      </c>
      <c r="G538" s="65" t="s">
        <v>915</v>
      </c>
      <c r="H538" s="65" t="s">
        <v>946</v>
      </c>
      <c r="I538" s="65" t="s">
        <v>947</v>
      </c>
      <c r="J538" s="65" t="s">
        <v>948</v>
      </c>
      <c r="K538" s="65" t="s">
        <v>949</v>
      </c>
    </row>
    <row r="539" spans="2:11" ht="15.75" thickBot="1">
      <c r="B539" s="135"/>
      <c r="C539" s="67" t="s">
        <v>1</v>
      </c>
      <c r="D539" s="67" t="s">
        <v>1</v>
      </c>
      <c r="E539" s="67" t="s">
        <v>638</v>
      </c>
      <c r="F539" s="67" t="s">
        <v>19</v>
      </c>
      <c r="G539" s="67" t="s">
        <v>679</v>
      </c>
      <c r="H539" s="67" t="s">
        <v>19</v>
      </c>
      <c r="I539" s="67" t="s">
        <v>19</v>
      </c>
      <c r="J539" s="67" t="s">
        <v>19</v>
      </c>
      <c r="K539" s="67" t="s">
        <v>19</v>
      </c>
    </row>
    <row r="540" spans="2:11">
      <c r="B540" s="63"/>
      <c r="C540" s="136"/>
      <c r="D540" s="2"/>
      <c r="E540" s="2"/>
      <c r="F540" s="2"/>
      <c r="G540" s="2"/>
      <c r="H540" s="2"/>
      <c r="I540" s="2"/>
      <c r="J540" s="2"/>
      <c r="K540" s="2"/>
    </row>
    <row r="541" spans="2:11">
      <c r="B541" s="127" t="s">
        <v>680</v>
      </c>
      <c r="C541" s="2"/>
      <c r="D541" s="2"/>
      <c r="E541" s="2"/>
      <c r="F541" s="2"/>
      <c r="G541" s="2"/>
      <c r="H541" s="2"/>
      <c r="I541" s="2"/>
      <c r="J541" s="2"/>
      <c r="K541" s="2"/>
    </row>
    <row r="542" spans="2:11" ht="20.100000000000001" customHeight="1">
      <c r="B542" s="385" t="s">
        <v>683</v>
      </c>
      <c r="C542" s="2">
        <f>'Budget Detail FY 2016-23'!L949+'Budget Detail FY 2016-23'!L950</f>
        <v>36100</v>
      </c>
      <c r="D542" s="2">
        <f>'Budget Detail FY 2016-23'!M949+'Budget Detail FY 2016-23'!M950</f>
        <v>53650</v>
      </c>
      <c r="E542" s="2">
        <f>'Budget Detail FY 2016-23'!N949+'Budget Detail FY 2016-23'!N950</f>
        <v>35000</v>
      </c>
      <c r="F542" s="2">
        <f>'Budget Detail FY 2016-23'!O949+'Budget Detail FY 2016-23'!O950</f>
        <v>70000</v>
      </c>
      <c r="G542" s="2">
        <f>'Budget Detail FY 2016-23'!P949+'Budget Detail FY 2016-23'!P950</f>
        <v>43200</v>
      </c>
      <c r="H542" s="2">
        <f>'Budget Detail FY 2016-23'!Q949+'Budget Detail FY 2016-23'!Q950</f>
        <v>39600</v>
      </c>
      <c r="I542" s="2">
        <f>'Budget Detail FY 2016-23'!R949+'Budget Detail FY 2016-23'!R950</f>
        <v>39600</v>
      </c>
      <c r="J542" s="2">
        <f>'Budget Detail FY 2016-23'!S949+'Budget Detail FY 2016-23'!S950</f>
        <v>39600</v>
      </c>
      <c r="K542" s="2">
        <f>'Budget Detail FY 2016-23'!T949+'Budget Detail FY 2016-23'!T950</f>
        <v>39600</v>
      </c>
    </row>
    <row r="543" spans="2:11" ht="20.100000000000001" customHeight="1">
      <c r="B543" s="385" t="s">
        <v>686</v>
      </c>
      <c r="C543" s="2">
        <f>'Budget Detail FY 2016-23'!L951</f>
        <v>8</v>
      </c>
      <c r="D543" s="2">
        <f>'Budget Detail FY 2016-23'!M951</f>
        <v>12</v>
      </c>
      <c r="E543" s="2">
        <f>'Budget Detail FY 2016-23'!N951</f>
        <v>10</v>
      </c>
      <c r="F543" s="2">
        <f>'Budget Detail FY 2016-23'!O951</f>
        <v>10</v>
      </c>
      <c r="G543" s="2">
        <f>'Budget Detail FY 2016-23'!P951</f>
        <v>10</v>
      </c>
      <c r="H543" s="2">
        <f>'Budget Detail FY 2016-23'!Q951</f>
        <v>10</v>
      </c>
      <c r="I543" s="2">
        <f>'Budget Detail FY 2016-23'!R951</f>
        <v>10</v>
      </c>
      <c r="J543" s="2">
        <f>'Budget Detail FY 2016-23'!S951</f>
        <v>10</v>
      </c>
      <c r="K543" s="2">
        <f>'Budget Detail FY 2016-23'!T951</f>
        <v>10</v>
      </c>
    </row>
    <row r="544" spans="2:11" ht="20.100000000000001" customHeight="1">
      <c r="B544" s="385" t="s">
        <v>688</v>
      </c>
      <c r="C544" s="2">
        <f>'Budget Detail FY 2016-23'!L952</f>
        <v>10</v>
      </c>
      <c r="D544" s="2">
        <f>'Budget Detail FY 2016-23'!M952</f>
        <v>130</v>
      </c>
      <c r="E544" s="2">
        <f>'Budget Detail FY 2016-23'!N952</f>
        <v>0</v>
      </c>
      <c r="F544" s="2">
        <f>'Budget Detail FY 2016-23'!O952</f>
        <v>0</v>
      </c>
      <c r="G544" s="2">
        <f>'Budget Detail FY 2016-23'!P952</f>
        <v>0</v>
      </c>
      <c r="H544" s="2">
        <f>'Budget Detail FY 2016-23'!Q952</f>
        <v>0</v>
      </c>
      <c r="I544" s="2">
        <f>'Budget Detail FY 2016-23'!R952</f>
        <v>0</v>
      </c>
      <c r="J544" s="2">
        <f>'Budget Detail FY 2016-23'!S952</f>
        <v>0</v>
      </c>
      <c r="K544" s="2">
        <f>'Budget Detail FY 2016-23'!T952</f>
        <v>0</v>
      </c>
    </row>
    <row r="545" spans="2:11" ht="20.100000000000001" customHeight="1" thickBot="1">
      <c r="B545" s="126" t="s">
        <v>690</v>
      </c>
      <c r="C545" s="123">
        <f>SUM(C542:C544)</f>
        <v>36118</v>
      </c>
      <c r="D545" s="123">
        <f t="shared" ref="D545:K545" si="48">SUM(D542:D544)</f>
        <v>53792</v>
      </c>
      <c r="E545" s="123">
        <f t="shared" si="48"/>
        <v>35010</v>
      </c>
      <c r="F545" s="123">
        <f t="shared" si="48"/>
        <v>70010</v>
      </c>
      <c r="G545" s="123">
        <f t="shared" si="48"/>
        <v>43210</v>
      </c>
      <c r="H545" s="123">
        <f t="shared" si="48"/>
        <v>39610</v>
      </c>
      <c r="I545" s="123">
        <f t="shared" si="48"/>
        <v>39610</v>
      </c>
      <c r="J545" s="123">
        <f t="shared" si="48"/>
        <v>39610</v>
      </c>
      <c r="K545" s="123">
        <f t="shared" si="48"/>
        <v>39610</v>
      </c>
    </row>
    <row r="546" spans="2:11">
      <c r="B546" s="1"/>
      <c r="C546" s="2"/>
      <c r="D546" s="2"/>
      <c r="E546" s="2"/>
      <c r="F546" s="2"/>
      <c r="G546" s="2"/>
      <c r="H546" s="2"/>
      <c r="I546" s="2"/>
      <c r="J546" s="2"/>
      <c r="K546" s="2"/>
    </row>
    <row r="547" spans="2:11">
      <c r="B547" s="127" t="s">
        <v>484</v>
      </c>
      <c r="C547" s="2"/>
      <c r="D547" s="2"/>
      <c r="E547" s="2"/>
      <c r="F547" s="2"/>
      <c r="G547" s="2"/>
      <c r="H547" s="2"/>
      <c r="I547" s="2"/>
      <c r="J547" s="2"/>
      <c r="K547" s="2"/>
    </row>
    <row r="548" spans="2:11" ht="20.100000000000001" customHeight="1">
      <c r="B548" s="386" t="s">
        <v>693</v>
      </c>
      <c r="C548" s="2">
        <f>'Budget Detail FY 2016-23'!L957+'Budget Detail FY 2016-23'!L956</f>
        <v>4258</v>
      </c>
      <c r="D548" s="2">
        <f>'Budget Detail FY 2016-23'!M957+'Budget Detail FY 2016-23'!M956</f>
        <v>3844</v>
      </c>
      <c r="E548" s="2">
        <f>'Budget Detail FY 2016-23'!N957+'Budget Detail FY 2016-23'!N956</f>
        <v>3500</v>
      </c>
      <c r="F548" s="2">
        <f>'Budget Detail FY 2016-23'!O957+'Budget Detail FY 2016-23'!O956</f>
        <v>3500</v>
      </c>
      <c r="G548" s="2">
        <f>'Budget Detail FY 2016-23'!P957+'Budget Detail FY 2016-23'!P956</f>
        <v>3500</v>
      </c>
      <c r="H548" s="2">
        <f>'Budget Detail FY 2016-23'!Q957+'Budget Detail FY 2016-23'!Q956</f>
        <v>3500</v>
      </c>
      <c r="I548" s="2">
        <f>'Budget Detail FY 2016-23'!R957+'Budget Detail FY 2016-23'!R956</f>
        <v>3500</v>
      </c>
      <c r="J548" s="2">
        <f>'Budget Detail FY 2016-23'!S957+'Budget Detail FY 2016-23'!S956</f>
        <v>3500</v>
      </c>
      <c r="K548" s="2">
        <f>'Budget Detail FY 2016-23'!T957+'Budget Detail FY 2016-23'!T956</f>
        <v>3500</v>
      </c>
    </row>
    <row r="549" spans="2:11" ht="20.100000000000001" customHeight="1">
      <c r="B549" s="386" t="s">
        <v>694</v>
      </c>
      <c r="C549" s="2">
        <f>SUM('Budget Detail FY 2016-23'!L958:L962)</f>
        <v>29768</v>
      </c>
      <c r="D549" s="2">
        <f>SUM('Budget Detail FY 2016-23'!M958:M962)</f>
        <v>44851</v>
      </c>
      <c r="E549" s="2">
        <f>SUM('Budget Detail FY 2016-23'!N958:N962)</f>
        <v>31500</v>
      </c>
      <c r="F549" s="2">
        <f>SUM('Budget Detail FY 2016-23'!O958:O962)</f>
        <v>46250</v>
      </c>
      <c r="G549" s="2">
        <f>SUM('Budget Detail FY 2016-23'!P958:P962)</f>
        <v>48600</v>
      </c>
      <c r="H549" s="2">
        <f>SUM('Budget Detail FY 2016-23'!Q958:Q962)</f>
        <v>48600</v>
      </c>
      <c r="I549" s="2">
        <f>SUM('Budget Detail FY 2016-23'!R958:R962)</f>
        <v>48600</v>
      </c>
      <c r="J549" s="2">
        <f>SUM('Budget Detail FY 2016-23'!S958:S962)</f>
        <v>48600</v>
      </c>
      <c r="K549" s="2">
        <f>SUM('Budget Detail FY 2016-23'!T958:T962)</f>
        <v>48600</v>
      </c>
    </row>
    <row r="550" spans="2:11" ht="20.100000000000001" customHeight="1" thickBot="1">
      <c r="B550" s="126" t="s">
        <v>697</v>
      </c>
      <c r="C550" s="123">
        <f t="shared" ref="C550:K550" si="49">SUM(C548:C549)</f>
        <v>34026</v>
      </c>
      <c r="D550" s="123">
        <f t="shared" si="49"/>
        <v>48695</v>
      </c>
      <c r="E550" s="123">
        <f t="shared" si="49"/>
        <v>35000</v>
      </c>
      <c r="F550" s="123">
        <f t="shared" si="49"/>
        <v>49750</v>
      </c>
      <c r="G550" s="123">
        <f t="shared" si="49"/>
        <v>52100</v>
      </c>
      <c r="H550" s="123">
        <f t="shared" si="49"/>
        <v>52100</v>
      </c>
      <c r="I550" s="123">
        <f t="shared" si="49"/>
        <v>52100</v>
      </c>
      <c r="J550" s="123">
        <f t="shared" si="49"/>
        <v>52100</v>
      </c>
      <c r="K550" s="123">
        <f t="shared" si="49"/>
        <v>52100</v>
      </c>
    </row>
    <row r="551" spans="2:11">
      <c r="B551" s="129"/>
      <c r="C551" s="3"/>
      <c r="D551" s="2"/>
      <c r="E551" s="2"/>
      <c r="F551" s="2"/>
      <c r="G551" s="2"/>
      <c r="H551" s="2"/>
      <c r="I551" s="2"/>
      <c r="J551" s="2"/>
      <c r="K551" s="2"/>
    </row>
    <row r="552" spans="2:11" ht="20.100000000000001" customHeight="1">
      <c r="B552" s="388" t="s">
        <v>698</v>
      </c>
      <c r="C552" s="3">
        <f t="shared" ref="C552:K552" si="50">C545-C550</f>
        <v>2092</v>
      </c>
      <c r="D552" s="3">
        <f t="shared" si="50"/>
        <v>5097</v>
      </c>
      <c r="E552" s="3">
        <f t="shared" si="50"/>
        <v>10</v>
      </c>
      <c r="F552" s="3">
        <f t="shared" si="50"/>
        <v>20260</v>
      </c>
      <c r="G552" s="3">
        <f t="shared" si="50"/>
        <v>-8890</v>
      </c>
      <c r="H552" s="3">
        <f t="shared" si="50"/>
        <v>-12490</v>
      </c>
      <c r="I552" s="3">
        <f t="shared" si="50"/>
        <v>-12490</v>
      </c>
      <c r="J552" s="3">
        <f t="shared" si="50"/>
        <v>-12490</v>
      </c>
      <c r="K552" s="3">
        <f t="shared" si="50"/>
        <v>-12490</v>
      </c>
    </row>
    <row r="553" spans="2:11">
      <c r="B553" s="130"/>
      <c r="C553" s="3"/>
      <c r="D553" s="2"/>
      <c r="E553" s="2"/>
      <c r="F553" s="2"/>
      <c r="G553" s="2"/>
      <c r="H553" s="2"/>
      <c r="I553" s="2"/>
      <c r="J553" s="2"/>
      <c r="K553" s="2"/>
    </row>
    <row r="554" spans="2:11" ht="20.100000000000001" customHeight="1" thickBot="1">
      <c r="B554" s="125" t="s">
        <v>699</v>
      </c>
      <c r="C554" s="80">
        <v>14807</v>
      </c>
      <c r="D554" s="80">
        <v>19904</v>
      </c>
      <c r="E554" s="80">
        <v>23999</v>
      </c>
      <c r="F554" s="80">
        <f>D554+F552</f>
        <v>40164</v>
      </c>
      <c r="G554" s="80">
        <f>F554+G552</f>
        <v>31274</v>
      </c>
      <c r="H554" s="80">
        <f>G554+H552</f>
        <v>18784</v>
      </c>
      <c r="I554" s="80">
        <f>H554+I552</f>
        <v>6294</v>
      </c>
      <c r="J554" s="80">
        <f>I554+J552</f>
        <v>-6196</v>
      </c>
      <c r="K554" s="80">
        <f>J554+K552</f>
        <v>-18686</v>
      </c>
    </row>
    <row r="555" spans="2:11" ht="15.75" thickTop="1">
      <c r="B555" s="131"/>
      <c r="C555" s="3"/>
      <c r="D555" s="3"/>
      <c r="E555" s="3"/>
      <c r="F555" s="3"/>
      <c r="G555" s="3"/>
      <c r="H555" s="2"/>
      <c r="I555" s="2"/>
      <c r="J555" s="2"/>
      <c r="K555" s="2"/>
    </row>
    <row r="556" spans="2:11">
      <c r="B556" s="131"/>
      <c r="C556" s="2"/>
      <c r="D556" s="2"/>
      <c r="E556" s="2"/>
      <c r="F556" s="2"/>
      <c r="G556" s="2"/>
      <c r="H556" s="2"/>
      <c r="I556" s="2"/>
      <c r="J556" s="2"/>
      <c r="K556" s="2"/>
    </row>
    <row r="557" spans="2:11">
      <c r="B557" s="1"/>
      <c r="C557" s="2"/>
      <c r="D557" s="2"/>
      <c r="E557" s="2"/>
      <c r="F557" s="2"/>
      <c r="G557" s="2"/>
      <c r="H557" s="2"/>
      <c r="I557" s="2"/>
      <c r="J557" s="2"/>
      <c r="K557" s="2"/>
    </row>
    <row r="558" spans="2:11">
      <c r="B558" s="1"/>
      <c r="C558" s="2"/>
      <c r="D558" s="2"/>
      <c r="E558" s="2"/>
      <c r="F558" s="2"/>
      <c r="G558" s="2"/>
      <c r="H558" s="2"/>
      <c r="I558" s="2"/>
      <c r="J558" s="2"/>
      <c r="K558" s="2"/>
    </row>
    <row r="559" spans="2:11">
      <c r="B559" s="1"/>
      <c r="C559" s="2"/>
      <c r="D559" s="2"/>
      <c r="E559" s="2"/>
      <c r="F559" s="2"/>
      <c r="G559" s="2"/>
      <c r="H559" s="2"/>
      <c r="I559" s="2"/>
      <c r="J559" s="2"/>
      <c r="K559" s="2"/>
    </row>
    <row r="560" spans="2:11">
      <c r="B560" s="1"/>
      <c r="C560" s="2"/>
      <c r="D560" s="2"/>
      <c r="E560" s="2"/>
      <c r="F560" s="2"/>
      <c r="G560" s="2"/>
      <c r="H560" s="2"/>
      <c r="I560" s="2"/>
      <c r="J560" s="2"/>
      <c r="K560" s="2"/>
    </row>
    <row r="561" spans="2:11">
      <c r="B561" s="1"/>
      <c r="C561" s="2"/>
      <c r="D561" s="2"/>
      <c r="E561" s="2"/>
      <c r="F561" s="2"/>
      <c r="G561" s="2"/>
      <c r="H561" s="2"/>
      <c r="I561" s="2"/>
      <c r="J561" s="2"/>
      <c r="K561" s="2"/>
    </row>
    <row r="562" spans="2:11">
      <c r="B562" s="1"/>
      <c r="C562" s="2"/>
      <c r="D562" s="2"/>
      <c r="E562" s="2"/>
      <c r="F562" s="2"/>
      <c r="G562" s="2"/>
      <c r="H562" s="2"/>
      <c r="I562" s="2"/>
      <c r="J562" s="2"/>
      <c r="K562" s="2"/>
    </row>
    <row r="563" spans="2:11">
      <c r="B563" s="1"/>
      <c r="C563" s="2"/>
      <c r="D563" s="2"/>
      <c r="E563" s="2"/>
      <c r="F563" s="2"/>
      <c r="G563" s="2"/>
      <c r="H563" s="2"/>
      <c r="I563" s="2"/>
      <c r="J563" s="2"/>
      <c r="K563" s="2"/>
    </row>
    <row r="564" spans="2:11">
      <c r="B564" s="1"/>
      <c r="C564" s="2"/>
      <c r="D564" s="2"/>
      <c r="E564" s="2"/>
      <c r="F564" s="2"/>
      <c r="G564" s="2"/>
      <c r="H564" s="2"/>
      <c r="I564" s="2"/>
      <c r="J564" s="2"/>
      <c r="K564" s="2"/>
    </row>
    <row r="565" spans="2:11">
      <c r="B565" s="1"/>
      <c r="C565" s="2"/>
      <c r="D565" s="2"/>
      <c r="E565" s="2"/>
      <c r="F565" s="2"/>
      <c r="G565" s="2"/>
      <c r="H565" s="2"/>
      <c r="I565" s="2"/>
      <c r="J565" s="2"/>
      <c r="K565" s="2"/>
    </row>
    <row r="566" spans="2:11">
      <c r="B566" s="1"/>
      <c r="C566" s="2"/>
      <c r="D566" s="2"/>
      <c r="E566" s="2"/>
      <c r="F566" s="2"/>
      <c r="G566" s="2"/>
      <c r="H566" s="2"/>
      <c r="I566" s="2"/>
      <c r="J566" s="2"/>
      <c r="K566" s="2"/>
    </row>
    <row r="567" spans="2:11">
      <c r="B567" s="1"/>
      <c r="C567" s="2"/>
      <c r="D567" s="2"/>
      <c r="E567" s="2"/>
      <c r="F567" s="2"/>
      <c r="G567" s="2"/>
      <c r="H567" s="2"/>
      <c r="I567" s="2"/>
      <c r="J567" s="2"/>
      <c r="K567" s="2"/>
    </row>
    <row r="568" spans="2:11">
      <c r="B568" s="1"/>
      <c r="C568" s="2"/>
      <c r="D568" s="2"/>
      <c r="E568" s="2"/>
      <c r="F568" s="2"/>
      <c r="G568" s="2"/>
      <c r="H568" s="2"/>
      <c r="I568" s="2"/>
      <c r="J568" s="2"/>
      <c r="K568" s="2"/>
    </row>
    <row r="569" spans="2:11">
      <c r="B569" s="1"/>
      <c r="C569" s="2"/>
      <c r="D569" s="2"/>
      <c r="E569" s="2"/>
      <c r="F569" s="2"/>
      <c r="G569" s="2"/>
      <c r="H569" s="2"/>
      <c r="I569" s="2"/>
      <c r="J569" s="2"/>
      <c r="K569" s="2"/>
    </row>
    <row r="571" spans="2:11" ht="18.75" customHeight="1">
      <c r="B571" s="895" t="s">
        <v>722</v>
      </c>
      <c r="C571" s="895"/>
      <c r="D571" s="895"/>
      <c r="E571" s="895"/>
      <c r="F571" s="895"/>
      <c r="G571" s="895"/>
      <c r="H571" s="895"/>
      <c r="I571" s="895"/>
      <c r="J571" s="895"/>
      <c r="K571" s="895"/>
    </row>
    <row r="572" spans="2:11">
      <c r="B572" s="64"/>
      <c r="C572" s="3"/>
      <c r="D572" s="2"/>
      <c r="E572" s="2"/>
      <c r="F572" s="2"/>
      <c r="G572" s="2"/>
      <c r="H572" s="2"/>
      <c r="I572" s="2"/>
      <c r="J572" s="2"/>
      <c r="K572" s="2"/>
    </row>
    <row r="573" spans="2:11" ht="12.75" customHeight="1">
      <c r="B573" s="886" t="s">
        <v>723</v>
      </c>
      <c r="C573" s="886"/>
      <c r="D573" s="886"/>
      <c r="E573" s="886"/>
      <c r="F573" s="886"/>
      <c r="G573" s="886"/>
      <c r="H573" s="886"/>
      <c r="I573" s="886"/>
      <c r="J573" s="886"/>
      <c r="K573" s="886"/>
    </row>
    <row r="574" spans="2:11" ht="18.75" customHeight="1">
      <c r="B574" s="886"/>
      <c r="C574" s="886"/>
      <c r="D574" s="886"/>
      <c r="E574" s="886"/>
      <c r="F574" s="886"/>
      <c r="G574" s="886"/>
      <c r="H574" s="886"/>
      <c r="I574" s="886"/>
      <c r="J574" s="886"/>
      <c r="K574" s="886"/>
    </row>
    <row r="575" spans="2:11">
      <c r="B575" s="418"/>
      <c r="C575" s="21"/>
      <c r="D575" s="21"/>
      <c r="E575" s="21"/>
      <c r="F575" s="21"/>
      <c r="G575" s="21"/>
      <c r="H575" s="21"/>
      <c r="I575" s="2"/>
      <c r="J575" s="2"/>
      <c r="K575" s="2"/>
    </row>
    <row r="576" spans="2:11">
      <c r="B576" s="5"/>
      <c r="C576" s="64"/>
      <c r="D576" s="65"/>
      <c r="E576" s="65" t="s">
        <v>834</v>
      </c>
      <c r="F576" s="1"/>
      <c r="G576" s="1"/>
      <c r="H576" s="1"/>
      <c r="I576" s="1"/>
      <c r="J576" s="1"/>
      <c r="K576" s="1"/>
    </row>
    <row r="577" spans="2:11">
      <c r="B577" s="65"/>
      <c r="C577" s="64" t="s">
        <v>243</v>
      </c>
      <c r="D577" s="64" t="s">
        <v>244</v>
      </c>
      <c r="E577" s="65" t="s">
        <v>679</v>
      </c>
      <c r="F577" s="65" t="s">
        <v>834</v>
      </c>
      <c r="G577" s="65" t="s">
        <v>915</v>
      </c>
      <c r="H577" s="65" t="s">
        <v>946</v>
      </c>
      <c r="I577" s="65" t="s">
        <v>947</v>
      </c>
      <c r="J577" s="65" t="s">
        <v>948</v>
      </c>
      <c r="K577" s="65" t="s">
        <v>949</v>
      </c>
    </row>
    <row r="578" spans="2:11" ht="15.75" thickBot="1">
      <c r="B578" s="135"/>
      <c r="C578" s="67" t="s">
        <v>1</v>
      </c>
      <c r="D578" s="67" t="s">
        <v>1</v>
      </c>
      <c r="E578" s="67" t="s">
        <v>638</v>
      </c>
      <c r="F578" s="67" t="s">
        <v>19</v>
      </c>
      <c r="G578" s="67" t="s">
        <v>679</v>
      </c>
      <c r="H578" s="67" t="s">
        <v>19</v>
      </c>
      <c r="I578" s="67" t="s">
        <v>19</v>
      </c>
      <c r="J578" s="67" t="s">
        <v>19</v>
      </c>
      <c r="K578" s="67" t="s">
        <v>19</v>
      </c>
    </row>
    <row r="579" spans="2:11">
      <c r="B579" s="63"/>
      <c r="C579" s="136"/>
      <c r="D579" s="2"/>
      <c r="E579" s="2"/>
      <c r="F579" s="2"/>
      <c r="G579" s="2"/>
      <c r="H579" s="2"/>
      <c r="I579" s="2"/>
      <c r="J579" s="2"/>
      <c r="K579" s="2"/>
    </row>
    <row r="580" spans="2:11">
      <c r="B580" s="127" t="s">
        <v>680</v>
      </c>
      <c r="C580" s="2"/>
      <c r="D580" s="2"/>
      <c r="E580" s="2"/>
      <c r="F580" s="2"/>
      <c r="G580" s="2"/>
      <c r="H580" s="2"/>
      <c r="I580" s="2"/>
      <c r="J580" s="2"/>
      <c r="K580" s="2"/>
    </row>
    <row r="581" spans="2:11" ht="20.100000000000001" customHeight="1">
      <c r="B581" s="384" t="s">
        <v>681</v>
      </c>
      <c r="C581" s="2">
        <f>'Budget Detail FY 2016-23'!L972</f>
        <v>143784</v>
      </c>
      <c r="D581" s="2">
        <f>'Budget Detail FY 2016-23'!M972</f>
        <v>215360</v>
      </c>
      <c r="E581" s="2">
        <f>'Budget Detail FY 2016-23'!N972</f>
        <v>225000</v>
      </c>
      <c r="F581" s="2">
        <f>'Budget Detail FY 2016-23'!O972</f>
        <v>198294</v>
      </c>
      <c r="G581" s="2">
        <f>'Budget Detail FY 2016-23'!P972</f>
        <v>246261</v>
      </c>
      <c r="H581" s="2">
        <f>'Budget Detail FY 2016-23'!Q972</f>
        <v>268732</v>
      </c>
      <c r="I581" s="2">
        <f>'Budget Detail FY 2016-23'!R972</f>
        <v>442258</v>
      </c>
      <c r="J581" s="2">
        <f>'Budget Detail FY 2016-23'!S972</f>
        <v>455526</v>
      </c>
      <c r="K581" s="2">
        <f>'Budget Detail FY 2016-23'!T972</f>
        <v>469192</v>
      </c>
    </row>
    <row r="582" spans="2:11" ht="20.100000000000001" customHeight="1">
      <c r="B582" s="385" t="s">
        <v>686</v>
      </c>
      <c r="C582" s="2">
        <f>'Budget Detail FY 2016-23'!L973</f>
        <v>5</v>
      </c>
      <c r="D582" s="2">
        <f>'Budget Detail FY 2016-23'!M973</f>
        <v>0</v>
      </c>
      <c r="E582" s="2">
        <f>'Budget Detail FY 2016-23'!N973</f>
        <v>0</v>
      </c>
      <c r="F582" s="2">
        <f>'Budget Detail FY 2016-23'!O973</f>
        <v>0</v>
      </c>
      <c r="G582" s="2">
        <f>'Budget Detail FY 2016-23'!P973</f>
        <v>0</v>
      </c>
      <c r="H582" s="2">
        <f>'Budget Detail FY 2016-23'!Q973</f>
        <v>0</v>
      </c>
      <c r="I582" s="2">
        <f>'Budget Detail FY 2016-23'!R973</f>
        <v>0</v>
      </c>
      <c r="J582" s="2">
        <f>'Budget Detail FY 2016-23'!S973</f>
        <v>0</v>
      </c>
      <c r="K582" s="2">
        <f>'Budget Detail FY 2016-23'!T973</f>
        <v>0</v>
      </c>
    </row>
    <row r="583" spans="2:11" ht="20.100000000000001" customHeight="1">
      <c r="B583" s="387" t="s">
        <v>689</v>
      </c>
      <c r="C583" s="2">
        <f>'Budget Detail FY 2016-23'!L974+'Budget Detail FY 2016-23'!L975</f>
        <v>1597288</v>
      </c>
      <c r="D583" s="2">
        <f>'Budget Detail FY 2016-23'!M974+'Budget Detail FY 2016-23'!M975</f>
        <v>0</v>
      </c>
      <c r="E583" s="2">
        <f>'Budget Detail FY 2016-23'!N974+'Budget Detail FY 2016-23'!N975</f>
        <v>0</v>
      </c>
      <c r="F583" s="2">
        <f>'Budget Detail FY 2016-23'!O974+'Budget Detail FY 2016-23'!O975</f>
        <v>0</v>
      </c>
      <c r="G583" s="2">
        <f>'Budget Detail FY 2016-23'!P974+'Budget Detail FY 2016-23'!P975</f>
        <v>0</v>
      </c>
      <c r="H583" s="2">
        <f>'Budget Detail FY 2016-23'!Q974+'Budget Detail FY 2016-23'!Q975</f>
        <v>0</v>
      </c>
      <c r="I583" s="2">
        <f>'Budget Detail FY 2016-23'!R974+'Budget Detail FY 2016-23'!R975</f>
        <v>0</v>
      </c>
      <c r="J583" s="2">
        <f>'Budget Detail FY 2016-23'!S974+'Budget Detail FY 2016-23'!S975</f>
        <v>0</v>
      </c>
      <c r="K583" s="2">
        <f>'Budget Detail FY 2016-23'!T974+'Budget Detail FY 2016-23'!T975</f>
        <v>0</v>
      </c>
    </row>
    <row r="584" spans="2:11" ht="20.100000000000001" customHeight="1" thickBot="1">
      <c r="B584" s="126" t="s">
        <v>690</v>
      </c>
      <c r="C584" s="123">
        <f>SUM(C581:C583)</f>
        <v>1741077</v>
      </c>
      <c r="D584" s="123">
        <f t="shared" ref="D584:K584" si="51">SUM(D581:D583)</f>
        <v>215360</v>
      </c>
      <c r="E584" s="123">
        <f t="shared" si="51"/>
        <v>225000</v>
      </c>
      <c r="F584" s="123">
        <f t="shared" si="51"/>
        <v>198294</v>
      </c>
      <c r="G584" s="123">
        <f t="shared" si="51"/>
        <v>246261</v>
      </c>
      <c r="H584" s="123">
        <f t="shared" si="51"/>
        <v>268732</v>
      </c>
      <c r="I584" s="123">
        <f t="shared" si="51"/>
        <v>442258</v>
      </c>
      <c r="J584" s="123">
        <f t="shared" si="51"/>
        <v>455526</v>
      </c>
      <c r="K584" s="123">
        <f t="shared" si="51"/>
        <v>469192</v>
      </c>
    </row>
    <row r="585" spans="2:11">
      <c r="B585" s="1"/>
      <c r="C585" s="2"/>
      <c r="D585" s="2"/>
      <c r="E585" s="2"/>
      <c r="F585" s="2"/>
      <c r="G585" s="2"/>
      <c r="H585" s="2"/>
      <c r="I585" s="2"/>
      <c r="J585" s="2"/>
      <c r="K585" s="2"/>
    </row>
    <row r="586" spans="2:11">
      <c r="B586" s="127" t="s">
        <v>484</v>
      </c>
      <c r="C586" s="2"/>
      <c r="D586" s="2"/>
      <c r="E586" s="2"/>
      <c r="F586" s="2"/>
      <c r="G586" s="2"/>
      <c r="H586" s="2"/>
      <c r="I586" s="2"/>
      <c r="J586" s="2"/>
      <c r="K586" s="2"/>
    </row>
    <row r="587" spans="2:11" ht="20.100000000000001" customHeight="1">
      <c r="B587" s="386" t="s">
        <v>693</v>
      </c>
      <c r="C587" s="2">
        <f>SUM('Budget Detail FY 2016-23'!L979:L983)</f>
        <v>16477</v>
      </c>
      <c r="D587" s="2">
        <f>SUM('Budget Detail FY 2016-23'!M979:M983)</f>
        <v>1940</v>
      </c>
      <c r="E587" s="2">
        <f>SUM('Budget Detail FY 2016-23'!N979:N983)</f>
        <v>13841</v>
      </c>
      <c r="F587" s="2">
        <f>SUM('Budget Detail FY 2016-23'!O979:O983)</f>
        <v>13362</v>
      </c>
      <c r="G587" s="2">
        <f>SUM('Budget Detail FY 2016-23'!P979:P983)</f>
        <v>713749</v>
      </c>
      <c r="H587" s="2">
        <f>SUM('Budget Detail FY 2016-23'!Q979:Q983)</f>
        <v>13749</v>
      </c>
      <c r="I587" s="2">
        <f>SUM('Budget Detail FY 2016-23'!R979:R983)</f>
        <v>13749</v>
      </c>
      <c r="J587" s="2">
        <f>SUM('Budget Detail FY 2016-23'!S979:S983)</f>
        <v>13749</v>
      </c>
      <c r="K587" s="2">
        <f>SUM('Budget Detail FY 2016-23'!T979:T983)</f>
        <v>13749</v>
      </c>
    </row>
    <row r="588" spans="2:11" ht="20.100000000000001" customHeight="1">
      <c r="B588" s="386" t="s">
        <v>626</v>
      </c>
      <c r="C588" s="2">
        <f>'Budget Detail FY 2016-23'!L985+'Budget Detail FY 2016-23'!L986+'Budget Detail FY 2016-23'!L988+'Budget Detail FY 2016-23'!L990+'Budget Detail FY 2016-23'!L991</f>
        <v>87743</v>
      </c>
      <c r="D588" s="2">
        <f>'Budget Detail FY 2016-23'!M985+'Budget Detail FY 2016-23'!M986+'Budget Detail FY 2016-23'!M988+'Budget Detail FY 2016-23'!M990+'Budget Detail FY 2016-23'!M991</f>
        <v>159227</v>
      </c>
      <c r="E588" s="2">
        <f>'Budget Detail FY 2016-23'!N985+'Budget Detail FY 2016-23'!N986+'Budget Detail FY 2016-23'!N988+'Budget Detail FY 2016-23'!N990+'Budget Detail FY 2016-23'!N991</f>
        <v>149675</v>
      </c>
      <c r="F588" s="2">
        <f>'Budget Detail FY 2016-23'!O985+'Budget Detail FY 2016-23'!O986+'Budget Detail FY 2016-23'!O988+'Budget Detail FY 2016-23'!O990+'Budget Detail FY 2016-23'!O991</f>
        <v>149675</v>
      </c>
      <c r="G588" s="2">
        <f>'Budget Detail FY 2016-23'!P985+'Budget Detail FY 2016-23'!P986+'Budget Detail FY 2016-23'!P988+'Budget Detail FY 2016-23'!P990+'Budget Detail FY 2016-23'!P991</f>
        <v>149358</v>
      </c>
      <c r="H588" s="2">
        <f>'Budget Detail FY 2016-23'!Q985+'Budget Detail FY 2016-23'!Q986+'Budget Detail FY 2016-23'!Q988+'Budget Detail FY 2016-23'!Q990+'Budget Detail FY 2016-23'!Q991</f>
        <v>209845</v>
      </c>
      <c r="I588" s="2">
        <f>'Budget Detail FY 2016-23'!R985+'Budget Detail FY 2016-23'!R986+'Budget Detail FY 2016-23'!R988+'Budget Detail FY 2016-23'!R990+'Budget Detail FY 2016-23'!R991</f>
        <v>208311</v>
      </c>
      <c r="J588" s="2">
        <f>'Budget Detail FY 2016-23'!S985+'Budget Detail FY 2016-23'!S986+'Budget Detail FY 2016-23'!S988+'Budget Detail FY 2016-23'!S990+'Budget Detail FY 2016-23'!S991</f>
        <v>209316</v>
      </c>
      <c r="K588" s="2">
        <f>'Budget Detail FY 2016-23'!T985+'Budget Detail FY 2016-23'!T986+'Budget Detail FY 2016-23'!T988+'Budget Detail FY 2016-23'!T990+'Budget Detail FY 2016-23'!T991</f>
        <v>208787</v>
      </c>
    </row>
    <row r="589" spans="2:11" ht="20.100000000000001" customHeight="1">
      <c r="B589" s="387" t="s">
        <v>696</v>
      </c>
      <c r="C589" s="2">
        <f>'Budget Detail FY 2016-23'!L993</f>
        <v>1581984</v>
      </c>
      <c r="D589" s="2">
        <f>'Budget Detail FY 2016-23'!M993</f>
        <v>0</v>
      </c>
      <c r="E589" s="2">
        <f>'Budget Detail FY 2016-23'!N993</f>
        <v>0</v>
      </c>
      <c r="F589" s="2">
        <f>'Budget Detail FY 2016-23'!O993</f>
        <v>0</v>
      </c>
      <c r="G589" s="2">
        <f>'Budget Detail FY 2016-23'!P993</f>
        <v>0</v>
      </c>
      <c r="H589" s="2">
        <f>'Budget Detail FY 2016-23'!Q993</f>
        <v>0</v>
      </c>
      <c r="I589" s="2">
        <f>'Budget Detail FY 2016-23'!R993</f>
        <v>0</v>
      </c>
      <c r="J589" s="2">
        <f>'Budget Detail FY 2016-23'!S993</f>
        <v>0</v>
      </c>
      <c r="K589" s="2">
        <f>'Budget Detail FY 2016-23'!T993</f>
        <v>0</v>
      </c>
    </row>
    <row r="590" spans="2:11" ht="20.100000000000001" customHeight="1" thickBot="1">
      <c r="B590" s="126" t="s">
        <v>697</v>
      </c>
      <c r="C590" s="123">
        <f>SUM(C587:C589)</f>
        <v>1686204</v>
      </c>
      <c r="D590" s="123">
        <f t="shared" ref="D590:K590" si="52">SUM(D587:D589)</f>
        <v>161167</v>
      </c>
      <c r="E590" s="123">
        <f t="shared" si="52"/>
        <v>163516</v>
      </c>
      <c r="F590" s="123">
        <f t="shared" si="52"/>
        <v>163037</v>
      </c>
      <c r="G590" s="123">
        <f t="shared" si="52"/>
        <v>863107</v>
      </c>
      <c r="H590" s="123">
        <f t="shared" si="52"/>
        <v>223594</v>
      </c>
      <c r="I590" s="123">
        <f t="shared" si="52"/>
        <v>222060</v>
      </c>
      <c r="J590" s="123">
        <f t="shared" si="52"/>
        <v>223065</v>
      </c>
      <c r="K590" s="123">
        <f t="shared" si="52"/>
        <v>222536</v>
      </c>
    </row>
    <row r="591" spans="2:11">
      <c r="B591" s="129"/>
      <c r="C591" s="3"/>
      <c r="D591" s="2"/>
      <c r="E591" s="2"/>
      <c r="F591" s="2"/>
      <c r="G591" s="2"/>
      <c r="H591" s="2"/>
      <c r="I591" s="2"/>
      <c r="J591" s="2"/>
      <c r="K591" s="2"/>
    </row>
    <row r="592" spans="2:11" ht="20.100000000000001" customHeight="1">
      <c r="B592" s="388" t="s">
        <v>698</v>
      </c>
      <c r="C592" s="3">
        <f t="shared" ref="C592:K592" si="53">+C584-C590</f>
        <v>54873</v>
      </c>
      <c r="D592" s="3">
        <f t="shared" si="53"/>
        <v>54193</v>
      </c>
      <c r="E592" s="3">
        <f t="shared" si="53"/>
        <v>61484</v>
      </c>
      <c r="F592" s="3">
        <f t="shared" si="53"/>
        <v>35257</v>
      </c>
      <c r="G592" s="3">
        <f t="shared" si="53"/>
        <v>-616846</v>
      </c>
      <c r="H592" s="3">
        <f t="shared" si="53"/>
        <v>45138</v>
      </c>
      <c r="I592" s="3">
        <f t="shared" si="53"/>
        <v>220198</v>
      </c>
      <c r="J592" s="3">
        <f t="shared" si="53"/>
        <v>232461</v>
      </c>
      <c r="K592" s="3">
        <f t="shared" si="53"/>
        <v>246656</v>
      </c>
    </row>
    <row r="593" spans="2:11">
      <c r="B593" s="130"/>
      <c r="C593" s="3"/>
      <c r="D593" s="2"/>
      <c r="E593" s="2"/>
      <c r="F593" s="2"/>
      <c r="G593" s="2"/>
      <c r="H593" s="2"/>
      <c r="I593" s="2"/>
      <c r="J593" s="2"/>
      <c r="K593" s="2"/>
    </row>
    <row r="594" spans="2:11" ht="20.100000000000001" customHeight="1" thickBot="1">
      <c r="B594" s="125" t="s">
        <v>699</v>
      </c>
      <c r="C594" s="80">
        <v>-549946</v>
      </c>
      <c r="D594" s="80">
        <v>-495754</v>
      </c>
      <c r="E594" s="80">
        <v>-434861</v>
      </c>
      <c r="F594" s="80">
        <f>D594+F592</f>
        <v>-460497</v>
      </c>
      <c r="G594" s="80">
        <f>F594+G592</f>
        <v>-1077343</v>
      </c>
      <c r="H594" s="80">
        <f>G594+H592</f>
        <v>-1032205</v>
      </c>
      <c r="I594" s="80">
        <f>H594+I592</f>
        <v>-812007</v>
      </c>
      <c r="J594" s="80">
        <f>I594+J592</f>
        <v>-579546</v>
      </c>
      <c r="K594" s="80">
        <f>J594+K592</f>
        <v>-332890</v>
      </c>
    </row>
    <row r="595" spans="2:11" ht="15.75" thickTop="1">
      <c r="B595" s="131"/>
      <c r="C595" s="3"/>
      <c r="D595" s="3"/>
      <c r="E595" s="3"/>
      <c r="F595" s="2"/>
      <c r="G595" s="2"/>
      <c r="H595" s="2"/>
      <c r="I595" s="2"/>
      <c r="J595" s="2"/>
      <c r="K595" s="2"/>
    </row>
    <row r="596" spans="2:11">
      <c r="B596" s="131"/>
      <c r="C596" s="3"/>
      <c r="D596" s="3"/>
      <c r="E596" s="3"/>
      <c r="F596" s="2"/>
      <c r="G596" s="2"/>
      <c r="H596" s="2"/>
      <c r="I596" s="2"/>
      <c r="J596" s="2"/>
      <c r="K596" s="2"/>
    </row>
    <row r="597" spans="2:11">
      <c r="B597" s="13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1"/>
      <c r="C606" s="2"/>
      <c r="D606" s="2"/>
      <c r="E606" s="2"/>
      <c r="F606" s="2"/>
      <c r="G606" s="2"/>
      <c r="H606" s="2"/>
      <c r="I606" s="2"/>
      <c r="J606" s="2"/>
      <c r="K606" s="2"/>
    </row>
    <row r="607" spans="2:11">
      <c r="B607" s="1"/>
      <c r="C607" s="2"/>
      <c r="D607" s="2"/>
      <c r="E607" s="2"/>
      <c r="F607" s="2"/>
      <c r="G607" s="2"/>
      <c r="H607" s="2"/>
      <c r="I607" s="2"/>
      <c r="J607" s="2"/>
      <c r="K607" s="2"/>
    </row>
    <row r="608" spans="2:11">
      <c r="B608" s="1"/>
      <c r="C608" s="2"/>
      <c r="D608" s="2"/>
      <c r="E608" s="2"/>
      <c r="F608" s="2"/>
      <c r="G608" s="2"/>
      <c r="H608" s="2"/>
      <c r="I608" s="2"/>
      <c r="J608" s="2"/>
      <c r="K608" s="2"/>
    </row>
    <row r="609" spans="2:11">
      <c r="B609" s="1"/>
      <c r="C609" s="2"/>
      <c r="D609" s="2"/>
      <c r="E609" s="2"/>
      <c r="F609" s="2"/>
      <c r="G609" s="2"/>
      <c r="H609" s="2"/>
      <c r="I609" s="2"/>
      <c r="J609" s="2"/>
      <c r="K609" s="2"/>
    </row>
    <row r="610" spans="2:11">
      <c r="B610" s="895" t="s">
        <v>724</v>
      </c>
      <c r="C610" s="895"/>
      <c r="D610" s="895"/>
      <c r="E610" s="895"/>
      <c r="F610" s="895"/>
      <c r="G610" s="895"/>
      <c r="H610" s="895"/>
      <c r="I610" s="895"/>
      <c r="J610" s="895"/>
      <c r="K610" s="895"/>
    </row>
    <row r="611" spans="2:11">
      <c r="B611" s="64"/>
      <c r="C611" s="3"/>
      <c r="D611" s="2"/>
      <c r="E611" s="2"/>
      <c r="F611" s="2"/>
      <c r="G611" s="2"/>
      <c r="H611" s="2"/>
      <c r="I611" s="2"/>
      <c r="J611" s="2"/>
      <c r="K611" s="2"/>
    </row>
    <row r="612" spans="2:11" ht="15" customHeight="1">
      <c r="B612" s="886" t="s">
        <v>725</v>
      </c>
      <c r="C612" s="886"/>
      <c r="D612" s="886"/>
      <c r="E612" s="886"/>
      <c r="F612" s="886"/>
      <c r="G612" s="886"/>
      <c r="H612" s="886"/>
      <c r="I612" s="886"/>
      <c r="J612" s="886"/>
      <c r="K612" s="886"/>
    </row>
    <row r="613" spans="2:11">
      <c r="B613" s="418"/>
      <c r="C613" s="21"/>
      <c r="D613" s="21"/>
      <c r="E613" s="21"/>
      <c r="F613" s="21"/>
      <c r="G613" s="21"/>
      <c r="H613" s="21"/>
      <c r="I613" s="2"/>
      <c r="J613" s="2"/>
      <c r="K613" s="2"/>
    </row>
    <row r="614" spans="2:11">
      <c r="B614" s="5"/>
      <c r="C614" s="64"/>
      <c r="D614" s="65"/>
      <c r="E614" s="65" t="s">
        <v>834</v>
      </c>
      <c r="F614" s="1"/>
      <c r="G614" s="1"/>
      <c r="H614" s="1"/>
      <c r="I614" s="1"/>
      <c r="J614" s="1"/>
      <c r="K614" s="1"/>
    </row>
    <row r="615" spans="2:11">
      <c r="B615" s="65"/>
      <c r="C615" s="64" t="s">
        <v>243</v>
      </c>
      <c r="D615" s="64" t="s">
        <v>244</v>
      </c>
      <c r="E615" s="65" t="s">
        <v>679</v>
      </c>
      <c r="F615" s="65" t="s">
        <v>834</v>
      </c>
      <c r="G615" s="65" t="s">
        <v>915</v>
      </c>
      <c r="H615" s="65" t="s">
        <v>946</v>
      </c>
      <c r="I615" s="65" t="s">
        <v>947</v>
      </c>
      <c r="J615" s="65" t="s">
        <v>948</v>
      </c>
      <c r="K615" s="65" t="s">
        <v>949</v>
      </c>
    </row>
    <row r="616" spans="2:11" ht="15.75" thickBot="1">
      <c r="B616" s="135"/>
      <c r="C616" s="67" t="s">
        <v>1</v>
      </c>
      <c r="D616" s="67" t="s">
        <v>1</v>
      </c>
      <c r="E616" s="67" t="s">
        <v>638</v>
      </c>
      <c r="F616" s="67" t="s">
        <v>19</v>
      </c>
      <c r="G616" s="67" t="s">
        <v>679</v>
      </c>
      <c r="H616" s="67" t="s">
        <v>19</v>
      </c>
      <c r="I616" s="67" t="s">
        <v>19</v>
      </c>
      <c r="J616" s="67" t="s">
        <v>19</v>
      </c>
      <c r="K616" s="67" t="s">
        <v>19</v>
      </c>
    </row>
    <row r="617" spans="2:11">
      <c r="B617" s="63"/>
      <c r="C617" s="136"/>
      <c r="D617" s="2"/>
      <c r="E617" s="2"/>
      <c r="F617" s="2"/>
      <c r="G617" s="2"/>
      <c r="H617" s="2"/>
      <c r="I617" s="2"/>
      <c r="J617" s="2"/>
      <c r="K617" s="2"/>
    </row>
    <row r="618" spans="2:11">
      <c r="B618" s="127" t="s">
        <v>680</v>
      </c>
      <c r="C618" s="2"/>
      <c r="D618" s="2"/>
      <c r="E618" s="2"/>
      <c r="F618" s="2"/>
      <c r="G618" s="2"/>
      <c r="H618" s="2"/>
      <c r="I618" s="2"/>
      <c r="J618" s="2"/>
      <c r="K618" s="2"/>
    </row>
    <row r="619" spans="2:11" ht="20.100000000000001" customHeight="1">
      <c r="B619" s="384" t="s">
        <v>681</v>
      </c>
      <c r="C619" s="2">
        <f>SUM('Budget Detail FY 2016-23'!L1003:L1003)</f>
        <v>68868</v>
      </c>
      <c r="D619" s="2">
        <f>SUM('Budget Detail FY 2016-23'!M1003:M1003)</f>
        <v>67307</v>
      </c>
      <c r="E619" s="2">
        <f>SUM('Budget Detail FY 2016-23'!N1003:N1003)</f>
        <v>70000</v>
      </c>
      <c r="F619" s="2">
        <f>SUM('Budget Detail FY 2016-23'!O1003:O1003)</f>
        <v>76186</v>
      </c>
      <c r="G619" s="2">
        <f>SUM('Budget Detail FY 2016-23'!P1003:P1003)</f>
        <v>80000</v>
      </c>
      <c r="H619" s="2">
        <f>SUM('Budget Detail FY 2016-23'!Q1003:Q1003)</f>
        <v>85000</v>
      </c>
      <c r="I619" s="2">
        <f>SUM('Budget Detail FY 2016-23'!R1003:R1003)</f>
        <v>85000</v>
      </c>
      <c r="J619" s="2">
        <f>SUM('Budget Detail FY 2016-23'!S1003:S1003)</f>
        <v>90000</v>
      </c>
      <c r="K619" s="2">
        <f>SUM('Budget Detail FY 2016-23'!T1003:T1003)</f>
        <v>90000</v>
      </c>
    </row>
    <row r="620" spans="2:11" ht="20.100000000000001" customHeight="1">
      <c r="B620" s="384" t="s">
        <v>682</v>
      </c>
      <c r="C620" s="2">
        <f>'Budget Detail FY 2016-23'!L1004</f>
        <v>0</v>
      </c>
      <c r="D620" s="2">
        <f>'Budget Detail FY 2016-23'!M1004</f>
        <v>0</v>
      </c>
      <c r="E620" s="2">
        <f>'Budget Detail FY 2016-23'!N1004</f>
        <v>0</v>
      </c>
      <c r="F620" s="2">
        <f>'Budget Detail FY 2016-23'!O1004</f>
        <v>0</v>
      </c>
      <c r="G620" s="2">
        <f>'Budget Detail FY 2016-23'!P1004</f>
        <v>50536</v>
      </c>
      <c r="H620" s="2">
        <f>'Budget Detail FY 2016-23'!Q1004</f>
        <v>40432</v>
      </c>
      <c r="I620" s="2">
        <f>'Budget Detail FY 2016-23'!R1004</f>
        <v>0</v>
      </c>
      <c r="J620" s="2">
        <f>'Budget Detail FY 2016-23'!S1004</f>
        <v>0</v>
      </c>
      <c r="K620" s="2">
        <f>'Budget Detail FY 2016-23'!T1004</f>
        <v>0</v>
      </c>
    </row>
    <row r="621" spans="2:11" ht="20.100000000000001" customHeight="1">
      <c r="B621" s="385" t="s">
        <v>686</v>
      </c>
      <c r="C621" s="2">
        <f>'Budget Detail FY 2016-23'!L1005</f>
        <v>3</v>
      </c>
      <c r="D621" s="2">
        <f>'Budget Detail FY 2016-23'!M1005</f>
        <v>0</v>
      </c>
      <c r="E621" s="2">
        <f>'Budget Detail FY 2016-23'!N1005</f>
        <v>0</v>
      </c>
      <c r="F621" s="2">
        <f>'Budget Detail FY 2016-23'!O1005</f>
        <v>0</v>
      </c>
      <c r="G621" s="2">
        <f>'Budget Detail FY 2016-23'!P1005</f>
        <v>0</v>
      </c>
      <c r="H621" s="2">
        <f>'Budget Detail FY 2016-23'!Q1005</f>
        <v>0</v>
      </c>
      <c r="I621" s="2">
        <f>'Budget Detail FY 2016-23'!R1005</f>
        <v>0</v>
      </c>
      <c r="J621" s="2">
        <f>'Budget Detail FY 2016-23'!S1005</f>
        <v>0</v>
      </c>
      <c r="K621" s="2">
        <f>'Budget Detail FY 2016-23'!T1005</f>
        <v>0</v>
      </c>
    </row>
    <row r="622" spans="2:11" ht="20.100000000000001" customHeight="1">
      <c r="B622" s="385" t="s">
        <v>688</v>
      </c>
      <c r="C622" s="2">
        <f>'Budget Detail FY 2016-23'!L1006</f>
        <v>236</v>
      </c>
      <c r="D622" s="2">
        <f>'Budget Detail FY 2016-23'!M1006</f>
        <v>1456</v>
      </c>
      <c r="E622" s="2">
        <f>'Budget Detail FY 2016-23'!N1006</f>
        <v>0</v>
      </c>
      <c r="F622" s="2">
        <f>'Budget Detail FY 2016-23'!O1006</f>
        <v>0</v>
      </c>
      <c r="G622" s="2">
        <f>'Budget Detail FY 2016-23'!P1006</f>
        <v>0</v>
      </c>
      <c r="H622" s="2">
        <f>'Budget Detail FY 2016-23'!Q1006</f>
        <v>0</v>
      </c>
      <c r="I622" s="2">
        <f>'Budget Detail FY 2016-23'!R1006</f>
        <v>0</v>
      </c>
      <c r="J622" s="2">
        <f>'Budget Detail FY 2016-23'!S1006</f>
        <v>0</v>
      </c>
      <c r="K622" s="2">
        <f>'Budget Detail FY 2016-23'!T1006</f>
        <v>0</v>
      </c>
    </row>
    <row r="623" spans="2:11" ht="20.100000000000001" customHeight="1" thickBot="1">
      <c r="B623" s="126" t="s">
        <v>690</v>
      </c>
      <c r="C623" s="123">
        <f t="shared" ref="C623:K623" si="54">SUM(C619:C622)</f>
        <v>69107</v>
      </c>
      <c r="D623" s="123">
        <f t="shared" si="54"/>
        <v>68763</v>
      </c>
      <c r="E623" s="123">
        <f t="shared" si="54"/>
        <v>70000</v>
      </c>
      <c r="F623" s="123">
        <f t="shared" si="54"/>
        <v>76186</v>
      </c>
      <c r="G623" s="123">
        <f t="shared" si="54"/>
        <v>130536</v>
      </c>
      <c r="H623" s="123">
        <f t="shared" si="54"/>
        <v>125432</v>
      </c>
      <c r="I623" s="123">
        <f t="shared" si="54"/>
        <v>85000</v>
      </c>
      <c r="J623" s="123">
        <f t="shared" si="54"/>
        <v>90000</v>
      </c>
      <c r="K623" s="123">
        <f t="shared" si="54"/>
        <v>90000</v>
      </c>
    </row>
    <row r="624" spans="2:11">
      <c r="B624" s="1"/>
      <c r="C624" s="2"/>
      <c r="D624" s="2"/>
      <c r="E624" s="2"/>
      <c r="F624" s="2"/>
      <c r="G624" s="2"/>
      <c r="H624" s="2"/>
      <c r="I624" s="2"/>
      <c r="J624" s="2"/>
      <c r="K624" s="2"/>
    </row>
    <row r="625" spans="2:11" ht="15" customHeight="1">
      <c r="B625" s="127" t="s">
        <v>484</v>
      </c>
      <c r="C625" s="2"/>
      <c r="D625" s="2"/>
      <c r="E625" s="2"/>
      <c r="F625" s="2"/>
      <c r="G625" s="2"/>
      <c r="H625" s="2"/>
      <c r="I625" s="2"/>
      <c r="J625" s="2"/>
      <c r="K625" s="2"/>
    </row>
    <row r="626" spans="2:11" ht="20.100000000000001" customHeight="1">
      <c r="B626" s="386" t="s">
        <v>693</v>
      </c>
      <c r="C626" s="2">
        <f>SUM('Budget Detail FY 2016-23'!L1010:L1013)</f>
        <v>17830</v>
      </c>
      <c r="D626" s="2">
        <f>SUM('Budget Detail FY 2016-23'!M1010:M1013)</f>
        <v>32016</v>
      </c>
      <c r="E626" s="2">
        <f>SUM('Budget Detail FY 2016-23'!N1010:N1013)</f>
        <v>65659</v>
      </c>
      <c r="F626" s="2">
        <f>SUM('Budget Detail FY 2016-23'!O1010:O1013)</f>
        <v>71288</v>
      </c>
      <c r="G626" s="2">
        <f>SUM('Budget Detail FY 2016-23'!P1010:P1013)</f>
        <v>72533</v>
      </c>
      <c r="H626" s="2">
        <f>SUM('Budget Detail FY 2016-23'!Q1010:Q1013)</f>
        <v>67533</v>
      </c>
      <c r="I626" s="2">
        <f>SUM('Budget Detail FY 2016-23'!R1010:R1013)</f>
        <v>67533</v>
      </c>
      <c r="J626" s="2">
        <f>SUM('Budget Detail FY 2016-23'!S1010:S1013)</f>
        <v>67533</v>
      </c>
      <c r="K626" s="2">
        <f>SUM('Budget Detail FY 2016-23'!T1010:T1013)</f>
        <v>67533</v>
      </c>
    </row>
    <row r="627" spans="2:11" ht="20.100000000000001" customHeight="1">
      <c r="B627" s="386" t="s">
        <v>695</v>
      </c>
      <c r="C627" s="2">
        <f>SUM('Budget Detail FY 2016-23'!L1014:L1019)</f>
        <v>36668</v>
      </c>
      <c r="D627" s="2">
        <f>SUM('Budget Detail FY 2016-23'!M1014:M1019)</f>
        <v>192894</v>
      </c>
      <c r="E627" s="2">
        <f>SUM('Budget Detail FY 2016-23'!N1014:N1019)</f>
        <v>1067083</v>
      </c>
      <c r="F627" s="2">
        <f>SUM('Budget Detail FY 2016-23'!O1014:O1019)</f>
        <v>1008027</v>
      </c>
      <c r="G627" s="2">
        <f>SUM('Budget Detail FY 2016-23'!P1014:P1019)</f>
        <v>120910</v>
      </c>
      <c r="H627" s="2">
        <f>SUM('Budget Detail FY 2016-23'!Q1014:Q1019)</f>
        <v>244744</v>
      </c>
      <c r="I627" s="2">
        <f>SUM('Budget Detail FY 2016-23'!R1014:R1019)</f>
        <v>17420</v>
      </c>
      <c r="J627" s="2">
        <f>SUM('Budget Detail FY 2016-23'!S1014:S1019)</f>
        <v>17420</v>
      </c>
      <c r="K627" s="2">
        <f>SUM('Budget Detail FY 2016-23'!T1014:T1019)</f>
        <v>12473</v>
      </c>
    </row>
    <row r="628" spans="2:11" ht="20.100000000000001" customHeight="1">
      <c r="B628" s="386" t="s">
        <v>626</v>
      </c>
      <c r="C628" s="2">
        <f>'Budget Detail FY 2016-23'!L1021+'Budget Detail FY 2016-23'!L1022</f>
        <v>0</v>
      </c>
      <c r="D628" s="2">
        <f>'Budget Detail FY 2016-23'!M1021+'Budget Detail FY 2016-23'!M1022</f>
        <v>0</v>
      </c>
      <c r="E628" s="2">
        <f>'Budget Detail FY 2016-23'!N1021+'Budget Detail FY 2016-23'!N1022</f>
        <v>0</v>
      </c>
      <c r="F628" s="2">
        <f>'Budget Detail FY 2016-23'!O1021+'Budget Detail FY 2016-23'!O1022</f>
        <v>0</v>
      </c>
      <c r="G628" s="2">
        <f>'Budget Detail FY 2016-23'!P1021+'Budget Detail FY 2016-23'!P1022</f>
        <v>225800</v>
      </c>
      <c r="H628" s="2">
        <f>'Budget Detail FY 2016-23'!Q1021+'Budget Detail FY 2016-23'!Q1022</f>
        <v>218250</v>
      </c>
      <c r="I628" s="2">
        <f>'Budget Detail FY 2016-23'!R1021+'Budget Detail FY 2016-23'!R1022</f>
        <v>212200</v>
      </c>
      <c r="J628" s="2">
        <f>'Budget Detail FY 2016-23'!S1021+'Budget Detail FY 2016-23'!S1022</f>
        <v>206084</v>
      </c>
      <c r="K628" s="2">
        <f>'Budget Detail FY 2016-23'!T1021+'Budget Detail FY 2016-23'!T1022</f>
        <v>0</v>
      </c>
    </row>
    <row r="629" spans="2:11" ht="20.100000000000001" customHeight="1" thickBot="1">
      <c r="B629" s="126" t="s">
        <v>697</v>
      </c>
      <c r="C629" s="123">
        <f t="shared" ref="C629:K629" si="55">SUM(C626:C628)</f>
        <v>54498</v>
      </c>
      <c r="D629" s="123">
        <f t="shared" si="55"/>
        <v>224910</v>
      </c>
      <c r="E629" s="123">
        <f t="shared" si="55"/>
        <v>1132742</v>
      </c>
      <c r="F629" s="123">
        <f t="shared" si="55"/>
        <v>1079315</v>
      </c>
      <c r="G629" s="123">
        <f t="shared" si="55"/>
        <v>419243</v>
      </c>
      <c r="H629" s="123">
        <f t="shared" si="55"/>
        <v>530527</v>
      </c>
      <c r="I629" s="123">
        <f t="shared" si="55"/>
        <v>297153</v>
      </c>
      <c r="J629" s="123">
        <f t="shared" si="55"/>
        <v>291037</v>
      </c>
      <c r="K629" s="123">
        <f t="shared" si="55"/>
        <v>80006</v>
      </c>
    </row>
    <row r="630" spans="2:11">
      <c r="B630" s="129"/>
      <c r="C630" s="3"/>
      <c r="D630" s="2"/>
      <c r="E630" s="2"/>
      <c r="F630" s="2"/>
      <c r="G630" s="2"/>
      <c r="H630" s="2"/>
      <c r="I630" s="2"/>
      <c r="J630" s="2"/>
      <c r="K630" s="2"/>
    </row>
    <row r="631" spans="2:11" ht="20.100000000000001" customHeight="1">
      <c r="B631" s="388" t="s">
        <v>698</v>
      </c>
      <c r="C631" s="3">
        <f t="shared" ref="C631:K631" si="56">+C623-C629</f>
        <v>14609</v>
      </c>
      <c r="D631" s="3">
        <f t="shared" si="56"/>
        <v>-156147</v>
      </c>
      <c r="E631" s="3">
        <f t="shared" si="56"/>
        <v>-1062742</v>
      </c>
      <c r="F631" s="3">
        <f t="shared" si="56"/>
        <v>-1003129</v>
      </c>
      <c r="G631" s="3">
        <f t="shared" si="56"/>
        <v>-288707</v>
      </c>
      <c r="H631" s="3">
        <f t="shared" si="56"/>
        <v>-405095</v>
      </c>
      <c r="I631" s="3">
        <f t="shared" si="56"/>
        <v>-212153</v>
      </c>
      <c r="J631" s="3">
        <f t="shared" si="56"/>
        <v>-201037</v>
      </c>
      <c r="K631" s="3">
        <f t="shared" si="56"/>
        <v>9994</v>
      </c>
    </row>
    <row r="632" spans="2:11">
      <c r="B632" s="130"/>
      <c r="C632" s="3"/>
      <c r="D632" s="2"/>
      <c r="E632" s="2"/>
      <c r="F632" s="2"/>
      <c r="G632" s="2"/>
      <c r="H632" s="2"/>
      <c r="I632" s="2"/>
      <c r="J632" s="2"/>
      <c r="K632" s="2"/>
    </row>
    <row r="633" spans="2:11" ht="20.100000000000001" customHeight="1" thickBot="1">
      <c r="B633" s="125" t="s">
        <v>699</v>
      </c>
      <c r="C633" s="80">
        <v>253703</v>
      </c>
      <c r="D633" s="80">
        <v>97556</v>
      </c>
      <c r="E633" s="80">
        <v>-681353</v>
      </c>
      <c r="F633" s="80">
        <f>D633+F631</f>
        <v>-905573</v>
      </c>
      <c r="G633" s="80">
        <f>F633+G631</f>
        <v>-1194280</v>
      </c>
      <c r="H633" s="80">
        <f>G633+H631</f>
        <v>-1599375</v>
      </c>
      <c r="I633" s="80">
        <f>H633+I631</f>
        <v>-1811528</v>
      </c>
      <c r="J633" s="80">
        <f>I633+J631</f>
        <v>-2012565</v>
      </c>
      <c r="K633" s="80">
        <f>J633+K631</f>
        <v>-2002571</v>
      </c>
    </row>
    <row r="634" spans="2:11" ht="15.75" thickTop="1">
      <c r="B634" s="131"/>
      <c r="C634" s="3"/>
      <c r="D634" s="3"/>
      <c r="E634" s="3"/>
      <c r="F634" s="2"/>
      <c r="G634" s="2"/>
      <c r="H634" s="2"/>
      <c r="I634" s="2"/>
      <c r="J634" s="2"/>
      <c r="K634" s="2"/>
    </row>
    <row r="635" spans="2:11">
      <c r="B635" s="131"/>
      <c r="C635" s="3"/>
      <c r="D635" s="3"/>
      <c r="E635" s="3"/>
      <c r="F635" s="2"/>
      <c r="G635" s="2"/>
      <c r="H635" s="2"/>
      <c r="I635" s="2"/>
      <c r="J635" s="2"/>
      <c r="K635" s="2"/>
    </row>
    <row r="636" spans="2:11">
      <c r="B636" s="131"/>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c r="B646" s="1"/>
      <c r="C646" s="2"/>
      <c r="D646" s="2"/>
      <c r="E646" s="2"/>
      <c r="F646" s="2"/>
      <c r="G646" s="2"/>
      <c r="H646" s="2"/>
      <c r="I646" s="2"/>
      <c r="J646" s="2"/>
      <c r="K646" s="2"/>
    </row>
    <row r="647" spans="2:11">
      <c r="B647" s="1"/>
      <c r="C647" s="2"/>
      <c r="D647" s="2"/>
      <c r="E647" s="2"/>
      <c r="F647" s="2"/>
      <c r="G647" s="2"/>
      <c r="H647" s="2"/>
      <c r="I647" s="2"/>
      <c r="J647" s="2"/>
      <c r="K647" s="2"/>
    </row>
    <row r="648" spans="2:11">
      <c r="B648" s="1"/>
      <c r="C648" s="2"/>
      <c r="D648" s="2"/>
      <c r="E648" s="2"/>
      <c r="F648" s="2"/>
      <c r="G648" s="2"/>
      <c r="H648" s="2"/>
      <c r="I648" s="2"/>
      <c r="J648" s="2"/>
      <c r="K648" s="2"/>
    </row>
    <row r="649" spans="2:11">
      <c r="B649" s="895" t="s">
        <v>1337</v>
      </c>
      <c r="C649" s="895"/>
      <c r="D649" s="895"/>
      <c r="E649" s="895"/>
      <c r="F649" s="895"/>
      <c r="G649" s="895"/>
      <c r="H649" s="895"/>
      <c r="I649" s="895"/>
      <c r="J649" s="895"/>
      <c r="K649" s="895"/>
    </row>
    <row r="650" spans="2:11">
      <c r="B650" s="64"/>
      <c r="C650" s="3"/>
      <c r="D650" s="2"/>
      <c r="E650" s="2"/>
      <c r="F650" s="2"/>
      <c r="G650" s="2"/>
      <c r="H650" s="2"/>
      <c r="I650" s="2"/>
      <c r="J650" s="2"/>
      <c r="K650" s="2"/>
    </row>
    <row r="651" spans="2:11">
      <c r="B651" s="886" t="s">
        <v>1413</v>
      </c>
      <c r="C651" s="886"/>
      <c r="D651" s="886"/>
      <c r="E651" s="886"/>
      <c r="F651" s="886"/>
      <c r="G651" s="886"/>
      <c r="H651" s="886"/>
      <c r="I651" s="886"/>
      <c r="J651" s="886"/>
      <c r="K651" s="886"/>
    </row>
    <row r="652" spans="2:11">
      <c r="B652" s="712"/>
      <c r="C652" s="21"/>
      <c r="D652" s="21"/>
      <c r="E652" s="21"/>
      <c r="F652" s="21"/>
      <c r="G652" s="21"/>
      <c r="H652" s="21"/>
      <c r="I652" s="2"/>
      <c r="J652" s="2"/>
      <c r="K652" s="2"/>
    </row>
    <row r="653" spans="2:11">
      <c r="B653" s="5"/>
      <c r="C653" s="64"/>
      <c r="D653" s="65"/>
      <c r="E653" s="65" t="s">
        <v>834</v>
      </c>
      <c r="F653" s="1"/>
      <c r="G653" s="1"/>
      <c r="H653" s="1"/>
      <c r="I653" s="1"/>
      <c r="J653" s="1"/>
      <c r="K653" s="1"/>
    </row>
    <row r="654" spans="2:11">
      <c r="B654" s="65"/>
      <c r="C654" s="64" t="s">
        <v>243</v>
      </c>
      <c r="D654" s="64" t="s">
        <v>244</v>
      </c>
      <c r="E654" s="65" t="s">
        <v>679</v>
      </c>
      <c r="F654" s="65" t="s">
        <v>834</v>
      </c>
      <c r="G654" s="65" t="s">
        <v>915</v>
      </c>
      <c r="H654" s="65" t="s">
        <v>946</v>
      </c>
      <c r="I654" s="65" t="s">
        <v>947</v>
      </c>
      <c r="J654" s="65" t="s">
        <v>948</v>
      </c>
      <c r="K654" s="65" t="s">
        <v>949</v>
      </c>
    </row>
    <row r="655" spans="2:11" ht="15.75" thickBot="1">
      <c r="B655" s="135"/>
      <c r="C655" s="67" t="s">
        <v>1</v>
      </c>
      <c r="D655" s="67" t="s">
        <v>1</v>
      </c>
      <c r="E655" s="67" t="s">
        <v>638</v>
      </c>
      <c r="F655" s="67" t="s">
        <v>19</v>
      </c>
      <c r="G655" s="67" t="s">
        <v>679</v>
      </c>
      <c r="H655" s="67" t="s">
        <v>19</v>
      </c>
      <c r="I655" s="67" t="s">
        <v>19</v>
      </c>
      <c r="J655" s="67" t="s">
        <v>19</v>
      </c>
      <c r="K655" s="67" t="s">
        <v>19</v>
      </c>
    </row>
    <row r="656" spans="2:11">
      <c r="B656" s="63"/>
      <c r="C656" s="136"/>
      <c r="D656" s="2"/>
      <c r="E656" s="2"/>
      <c r="F656" s="2"/>
      <c r="G656" s="2"/>
      <c r="H656" s="2"/>
      <c r="I656" s="2"/>
      <c r="J656" s="2"/>
      <c r="K656" s="2"/>
    </row>
    <row r="657" spans="2:11">
      <c r="B657" s="127" t="s">
        <v>680</v>
      </c>
      <c r="C657" s="2"/>
      <c r="D657" s="2"/>
      <c r="E657" s="2"/>
      <c r="F657" s="2"/>
      <c r="G657" s="2"/>
      <c r="H657" s="2"/>
      <c r="I657" s="2"/>
      <c r="J657" s="2"/>
      <c r="K657" s="2"/>
    </row>
    <row r="658" spans="2:11" ht="20.100000000000001" customHeight="1">
      <c r="B658" s="384" t="s">
        <v>681</v>
      </c>
      <c r="C658" s="2">
        <f>'Budget Detail FY 2016-23'!L1032</f>
        <v>0</v>
      </c>
      <c r="D658" s="2">
        <f>'Budget Detail FY 2016-23'!M1032</f>
        <v>0</v>
      </c>
      <c r="E658" s="2">
        <f>'Budget Detail FY 2016-23'!N1032</f>
        <v>0</v>
      </c>
      <c r="F658" s="2">
        <f>'Budget Detail FY 2016-23'!O1032</f>
        <v>0</v>
      </c>
      <c r="G658" s="2">
        <f>'Budget Detail FY 2016-23'!P1032</f>
        <v>0</v>
      </c>
      <c r="H658" s="2">
        <f>'Budget Detail FY 2016-23'!Q1032</f>
        <v>0</v>
      </c>
      <c r="I658" s="2">
        <f>'Budget Detail FY 2016-23'!R1032</f>
        <v>0</v>
      </c>
      <c r="J658" s="2">
        <f>'Budget Detail FY 2016-23'!S1032</f>
        <v>0</v>
      </c>
      <c r="K658" s="2">
        <f>'Budget Detail FY 2016-23'!T1032</f>
        <v>0</v>
      </c>
    </row>
    <row r="659" spans="2:11" ht="20.100000000000001" customHeight="1">
      <c r="B659" s="385" t="s">
        <v>686</v>
      </c>
      <c r="C659" s="2">
        <f>'Budget Detail FY 2016-23'!L1033</f>
        <v>0</v>
      </c>
      <c r="D659" s="2">
        <f>'Budget Detail FY 2016-23'!M1033</f>
        <v>0</v>
      </c>
      <c r="E659" s="2">
        <f>'Budget Detail FY 2016-23'!N1033</f>
        <v>0</v>
      </c>
      <c r="F659" s="2">
        <f>'Budget Detail FY 2016-23'!O1033</f>
        <v>0</v>
      </c>
      <c r="G659" s="2">
        <f>'Budget Detail FY 2016-23'!P1033</f>
        <v>0</v>
      </c>
      <c r="H659" s="2">
        <f>'Budget Detail FY 2016-23'!Q1033</f>
        <v>0</v>
      </c>
      <c r="I659" s="2">
        <f>'Budget Detail FY 2016-23'!R1033</f>
        <v>0</v>
      </c>
      <c r="J659" s="2">
        <f>'Budget Detail FY 2016-23'!S1033</f>
        <v>0</v>
      </c>
      <c r="K659" s="2">
        <f>'Budget Detail FY 2016-23'!T1033</f>
        <v>0</v>
      </c>
    </row>
    <row r="660" spans="2:11" ht="15.75" thickBot="1">
      <c r="B660" s="126" t="s">
        <v>690</v>
      </c>
      <c r="C660" s="123">
        <f t="shared" ref="C660:K660" si="57">SUM(C658:C659)</f>
        <v>0</v>
      </c>
      <c r="D660" s="123">
        <f t="shared" si="57"/>
        <v>0</v>
      </c>
      <c r="E660" s="123">
        <f t="shared" si="57"/>
        <v>0</v>
      </c>
      <c r="F660" s="123">
        <f t="shared" si="57"/>
        <v>0</v>
      </c>
      <c r="G660" s="123">
        <f t="shared" si="57"/>
        <v>0</v>
      </c>
      <c r="H660" s="123">
        <f t="shared" si="57"/>
        <v>0</v>
      </c>
      <c r="I660" s="123">
        <f t="shared" si="57"/>
        <v>0</v>
      </c>
      <c r="J660" s="123">
        <f t="shared" si="57"/>
        <v>0</v>
      </c>
      <c r="K660" s="123">
        <f t="shared" si="57"/>
        <v>0</v>
      </c>
    </row>
    <row r="661" spans="2:11">
      <c r="B661" s="1"/>
      <c r="C661" s="2"/>
      <c r="D661" s="2"/>
      <c r="E661" s="2"/>
      <c r="F661" s="2"/>
      <c r="G661" s="2"/>
      <c r="H661" s="2"/>
      <c r="I661" s="2"/>
      <c r="J661" s="2"/>
      <c r="K661" s="2"/>
    </row>
    <row r="662" spans="2:11">
      <c r="B662" s="127" t="s">
        <v>484</v>
      </c>
      <c r="C662" s="2"/>
      <c r="D662" s="2"/>
      <c r="E662" s="2"/>
      <c r="F662" s="2"/>
      <c r="G662" s="2"/>
      <c r="H662" s="2"/>
      <c r="I662" s="2"/>
      <c r="J662" s="2"/>
      <c r="K662" s="2"/>
    </row>
    <row r="663" spans="2:11" ht="20.100000000000001" customHeight="1">
      <c r="B663" s="386" t="s">
        <v>693</v>
      </c>
      <c r="C663" s="2">
        <f>'Budget Detail FY 2016-23'!L1037+'Budget Detail FY 2016-23'!L1038+'Budget Detail FY 2016-23'!L1039</f>
        <v>0</v>
      </c>
      <c r="D663" s="2">
        <f>'Budget Detail FY 2016-23'!M1037+'Budget Detail FY 2016-23'!M1038+'Budget Detail FY 2016-23'!M1039</f>
        <v>0</v>
      </c>
      <c r="E663" s="2">
        <f>'Budget Detail FY 2016-23'!N1037+'Budget Detail FY 2016-23'!N1038+'Budget Detail FY 2016-23'!N1039</f>
        <v>0</v>
      </c>
      <c r="F663" s="2">
        <f>'Budget Detail FY 2016-23'!O1037+'Budget Detail FY 2016-23'!O1038+'Budget Detail FY 2016-23'!O1039</f>
        <v>0</v>
      </c>
      <c r="G663" s="2">
        <f>'Budget Detail FY 2016-23'!P1037+'Budget Detail FY 2016-23'!P1038+'Budget Detail FY 2016-23'!P1039</f>
        <v>10000</v>
      </c>
      <c r="H663" s="2">
        <f>'Budget Detail FY 2016-23'!Q1037+'Budget Detail FY 2016-23'!Q1038+'Budget Detail FY 2016-23'!Q1039</f>
        <v>0</v>
      </c>
      <c r="I663" s="2">
        <f>'Budget Detail FY 2016-23'!R1037+'Budget Detail FY 2016-23'!R1038+'Budget Detail FY 2016-23'!R1039</f>
        <v>0</v>
      </c>
      <c r="J663" s="2">
        <f>'Budget Detail FY 2016-23'!S1037+'Budget Detail FY 2016-23'!S1038+'Budget Detail FY 2016-23'!S1039</f>
        <v>0</v>
      </c>
      <c r="K663" s="2">
        <f>'Budget Detail FY 2016-23'!T1037+'Budget Detail FY 2016-23'!T1038+'Budget Detail FY 2016-23'!T1039</f>
        <v>0</v>
      </c>
    </row>
    <row r="664" spans="2:11" ht="20.100000000000001" customHeight="1">
      <c r="B664" s="386" t="s">
        <v>695</v>
      </c>
      <c r="C664" s="2">
        <f>'Budget Detail FY 2016-23'!L1040</f>
        <v>0</v>
      </c>
      <c r="D664" s="2">
        <f>'Budget Detail FY 2016-23'!M1040</f>
        <v>0</v>
      </c>
      <c r="E664" s="2">
        <f>'Budget Detail FY 2016-23'!N1040</f>
        <v>0</v>
      </c>
      <c r="F664" s="2">
        <f>'Budget Detail FY 2016-23'!O1040</f>
        <v>0</v>
      </c>
      <c r="G664" s="2">
        <f>'Budget Detail FY 2016-23'!P1040</f>
        <v>0</v>
      </c>
      <c r="H664" s="2">
        <f>'Budget Detail FY 2016-23'!Q1040</f>
        <v>0</v>
      </c>
      <c r="I664" s="2">
        <f>'Budget Detail FY 2016-23'!R1040</f>
        <v>0</v>
      </c>
      <c r="J664" s="2">
        <f>'Budget Detail FY 2016-23'!S1040</f>
        <v>0</v>
      </c>
      <c r="K664" s="2">
        <f>'Budget Detail FY 2016-23'!T1040</f>
        <v>0</v>
      </c>
    </row>
    <row r="665" spans="2:11" ht="15.75" thickBot="1">
      <c r="B665" s="126" t="s">
        <v>697</v>
      </c>
      <c r="C665" s="123">
        <f t="shared" ref="C665:K665" si="58">SUM(C663:C664)</f>
        <v>0</v>
      </c>
      <c r="D665" s="123">
        <f t="shared" si="58"/>
        <v>0</v>
      </c>
      <c r="E665" s="123">
        <f t="shared" si="58"/>
        <v>0</v>
      </c>
      <c r="F665" s="123">
        <f t="shared" si="58"/>
        <v>0</v>
      </c>
      <c r="G665" s="123">
        <f t="shared" si="58"/>
        <v>10000</v>
      </c>
      <c r="H665" s="123">
        <f t="shared" si="58"/>
        <v>0</v>
      </c>
      <c r="I665" s="123">
        <f t="shared" si="58"/>
        <v>0</v>
      </c>
      <c r="J665" s="123">
        <f t="shared" si="58"/>
        <v>0</v>
      </c>
      <c r="K665" s="123">
        <f t="shared" si="58"/>
        <v>0</v>
      </c>
    </row>
    <row r="666" spans="2:11">
      <c r="B666" s="129"/>
      <c r="C666" s="3"/>
      <c r="D666" s="2"/>
      <c r="E666" s="2"/>
      <c r="F666" s="2"/>
      <c r="G666" s="2"/>
      <c r="H666" s="2"/>
      <c r="I666" s="2"/>
      <c r="J666" s="2"/>
      <c r="K666" s="2"/>
    </row>
    <row r="667" spans="2:11" ht="20.100000000000001" customHeight="1">
      <c r="B667" s="388" t="s">
        <v>698</v>
      </c>
      <c r="C667" s="3">
        <f t="shared" ref="C667:K667" si="59">+C660-C665</f>
        <v>0</v>
      </c>
      <c r="D667" s="3">
        <f t="shared" si="59"/>
        <v>0</v>
      </c>
      <c r="E667" s="3">
        <f t="shared" si="59"/>
        <v>0</v>
      </c>
      <c r="F667" s="3">
        <f t="shared" si="59"/>
        <v>0</v>
      </c>
      <c r="G667" s="3">
        <f t="shared" si="59"/>
        <v>-10000</v>
      </c>
      <c r="H667" s="3">
        <f t="shared" si="59"/>
        <v>0</v>
      </c>
      <c r="I667" s="3">
        <f t="shared" si="59"/>
        <v>0</v>
      </c>
      <c r="J667" s="3">
        <f t="shared" si="59"/>
        <v>0</v>
      </c>
      <c r="K667" s="3">
        <f t="shared" si="59"/>
        <v>0</v>
      </c>
    </row>
    <row r="668" spans="2:11">
      <c r="B668" s="130"/>
      <c r="C668" s="3"/>
      <c r="D668" s="2"/>
      <c r="E668" s="2"/>
      <c r="F668" s="2"/>
      <c r="G668" s="2"/>
      <c r="H668" s="2"/>
      <c r="I668" s="2"/>
      <c r="J668" s="2"/>
      <c r="K668" s="2"/>
    </row>
    <row r="669" spans="2:11" ht="20.100000000000001" customHeight="1" thickBot="1">
      <c r="B669" s="125" t="s">
        <v>699</v>
      </c>
      <c r="C669" s="80">
        <v>0</v>
      </c>
      <c r="D669" s="80">
        <v>0</v>
      </c>
      <c r="E669" s="80">
        <v>0</v>
      </c>
      <c r="F669" s="80">
        <f>D669+F667</f>
        <v>0</v>
      </c>
      <c r="G669" s="80">
        <f>F669+G667</f>
        <v>-10000</v>
      </c>
      <c r="H669" s="80">
        <f>G669+H667</f>
        <v>-10000</v>
      </c>
      <c r="I669" s="80">
        <f>H669+I667</f>
        <v>-10000</v>
      </c>
      <c r="J669" s="80">
        <f>I669+J667</f>
        <v>-10000</v>
      </c>
      <c r="K669" s="80">
        <f>J669+K667</f>
        <v>-10000</v>
      </c>
    </row>
    <row r="670" spans="2:11" ht="15.75" thickTop="1">
      <c r="B670" s="131"/>
      <c r="C670" s="3"/>
      <c r="D670" s="3"/>
      <c r="E670" s="3"/>
      <c r="F670" s="2"/>
      <c r="G670" s="2"/>
      <c r="H670" s="2"/>
      <c r="I670" s="2"/>
      <c r="J670" s="2"/>
      <c r="K670" s="2"/>
    </row>
    <row r="671" spans="2:11">
      <c r="B671" s="131"/>
      <c r="C671" s="3"/>
      <c r="D671" s="3"/>
      <c r="E671" s="3"/>
      <c r="F671" s="2"/>
      <c r="G671" s="2"/>
      <c r="H671" s="2"/>
      <c r="I671" s="2"/>
      <c r="J671" s="2"/>
      <c r="K671" s="2"/>
    </row>
    <row r="672" spans="2:11">
      <c r="B672" s="131"/>
      <c r="C672" s="2"/>
      <c r="D672" s="2"/>
      <c r="E672" s="2"/>
      <c r="F672" s="2"/>
      <c r="G672" s="2"/>
      <c r="H672" s="2"/>
      <c r="I672" s="2"/>
      <c r="J672" s="2"/>
      <c r="K672" s="2"/>
    </row>
    <row r="673" spans="1:11">
      <c r="B673" s="1"/>
      <c r="C673" s="2"/>
      <c r="D673" s="2"/>
      <c r="E673" s="2"/>
      <c r="F673" s="2"/>
      <c r="G673" s="2"/>
      <c r="H673" s="2"/>
      <c r="I673" s="2"/>
      <c r="J673" s="2"/>
      <c r="K673" s="2"/>
    </row>
    <row r="674" spans="1:11">
      <c r="B674" s="1"/>
      <c r="C674" s="2"/>
      <c r="D674" s="2"/>
      <c r="E674" s="2"/>
      <c r="F674" s="2"/>
      <c r="G674" s="2"/>
      <c r="H674" s="2"/>
      <c r="I674" s="2"/>
      <c r="J674" s="2"/>
      <c r="K674" s="2"/>
    </row>
    <row r="675" spans="1:11">
      <c r="B675" s="1"/>
      <c r="C675" s="2"/>
      <c r="D675" s="2"/>
      <c r="E675" s="2"/>
      <c r="F675" s="2"/>
      <c r="G675" s="2"/>
      <c r="H675" s="2"/>
      <c r="I675" s="2"/>
      <c r="J675" s="2"/>
      <c r="K675" s="2"/>
    </row>
    <row r="676" spans="1:11">
      <c r="B676" s="1"/>
      <c r="C676" s="2"/>
      <c r="D676" s="2"/>
      <c r="E676" s="2"/>
      <c r="F676" s="2"/>
      <c r="G676" s="2"/>
      <c r="H676" s="2"/>
      <c r="I676" s="2"/>
      <c r="J676" s="2"/>
      <c r="K676" s="2"/>
    </row>
    <row r="677" spans="1:11">
      <c r="B677" s="1"/>
      <c r="C677" s="2"/>
      <c r="D677" s="2"/>
      <c r="E677" s="2"/>
      <c r="F677" s="2"/>
      <c r="G677" s="2"/>
      <c r="H677" s="2"/>
      <c r="I677" s="2"/>
      <c r="J677" s="2"/>
      <c r="K677" s="2"/>
    </row>
    <row r="678" spans="1:11">
      <c r="B678" s="1"/>
      <c r="C678" s="2"/>
      <c r="D678" s="2"/>
      <c r="E678" s="2"/>
      <c r="F678" s="2"/>
      <c r="G678" s="2"/>
      <c r="H678" s="2"/>
      <c r="I678" s="2"/>
      <c r="J678" s="2"/>
      <c r="K678" s="2"/>
    </row>
    <row r="679" spans="1:11">
      <c r="B679" s="1"/>
      <c r="C679" s="2"/>
      <c r="D679" s="2"/>
      <c r="E679" s="2"/>
      <c r="F679" s="2"/>
      <c r="G679" s="2"/>
      <c r="H679" s="2"/>
      <c r="I679" s="2"/>
      <c r="J679" s="2"/>
      <c r="K679" s="2"/>
    </row>
    <row r="680" spans="1:11">
      <c r="B680" s="1"/>
      <c r="C680" s="2"/>
      <c r="D680" s="2"/>
      <c r="E680" s="2"/>
      <c r="F680" s="2"/>
      <c r="G680" s="2"/>
      <c r="H680" s="2"/>
      <c r="I680" s="2"/>
      <c r="J680" s="2"/>
      <c r="K680" s="2"/>
    </row>
    <row r="681" spans="1:11">
      <c r="B681" s="1"/>
      <c r="C681" s="2"/>
      <c r="D681" s="2"/>
      <c r="E681" s="2"/>
      <c r="F681" s="2"/>
      <c r="G681" s="2"/>
      <c r="H681" s="2"/>
      <c r="I681" s="2"/>
      <c r="J681" s="2"/>
      <c r="K681" s="2"/>
    </row>
    <row r="682" spans="1:11">
      <c r="B682" s="1"/>
      <c r="C682" s="2"/>
      <c r="D682" s="2"/>
      <c r="E682" s="2"/>
      <c r="F682" s="2"/>
      <c r="G682" s="2"/>
      <c r="H682" s="2"/>
      <c r="I682" s="2"/>
      <c r="J682" s="2"/>
      <c r="K682" s="2"/>
    </row>
    <row r="683" spans="1:11">
      <c r="B683" s="1"/>
      <c r="C683" s="2"/>
      <c r="D683" s="2"/>
      <c r="E683" s="2"/>
      <c r="F683" s="2"/>
      <c r="G683" s="2"/>
      <c r="H683" s="2"/>
      <c r="I683" s="2"/>
      <c r="J683" s="2"/>
      <c r="K683" s="2"/>
    </row>
    <row r="684" spans="1:11">
      <c r="B684" s="1"/>
      <c r="C684" s="2"/>
      <c r="D684" s="2"/>
      <c r="E684" s="2"/>
      <c r="F684" s="2"/>
      <c r="G684" s="2"/>
      <c r="H684" s="2"/>
      <c r="I684" s="2"/>
      <c r="J684" s="2"/>
      <c r="K684" s="2"/>
    </row>
    <row r="685" spans="1:11">
      <c r="A685" s="1"/>
      <c r="B685" s="895" t="s">
        <v>941</v>
      </c>
      <c r="C685" s="895"/>
      <c r="D685" s="895"/>
      <c r="E685" s="895"/>
      <c r="F685" s="895"/>
      <c r="G685" s="895"/>
      <c r="H685" s="895"/>
      <c r="I685" s="895"/>
      <c r="J685" s="895"/>
      <c r="K685" s="895"/>
    </row>
    <row r="686" spans="1:11" ht="7.5" customHeight="1">
      <c r="A686" s="1"/>
      <c r="B686" s="64"/>
      <c r="C686" s="3"/>
      <c r="D686" s="2"/>
      <c r="E686" s="2"/>
      <c r="F686" s="2"/>
      <c r="G686" s="2"/>
      <c r="H686" s="2"/>
      <c r="I686" s="2"/>
      <c r="J686" s="2"/>
      <c r="K686" s="2"/>
    </row>
    <row r="687" spans="1:11" ht="15" customHeight="1">
      <c r="A687" s="1"/>
      <c r="B687" s="886" t="s">
        <v>1321</v>
      </c>
      <c r="C687" s="886"/>
      <c r="D687" s="886"/>
      <c r="E687" s="886"/>
      <c r="F687" s="886"/>
      <c r="G687" s="886"/>
      <c r="H687" s="886"/>
      <c r="I687" s="886"/>
      <c r="J687" s="886"/>
      <c r="K687" s="886"/>
    </row>
    <row r="688" spans="1:11">
      <c r="A688" s="1"/>
      <c r="B688" s="886"/>
      <c r="C688" s="886"/>
      <c r="D688" s="886"/>
      <c r="E688" s="886"/>
      <c r="F688" s="886"/>
      <c r="G688" s="886"/>
      <c r="H688" s="886"/>
      <c r="I688" s="886"/>
      <c r="J688" s="886"/>
      <c r="K688" s="886"/>
    </row>
    <row r="689" spans="1:11">
      <c r="A689" s="1"/>
      <c r="B689" s="886"/>
      <c r="C689" s="886"/>
      <c r="D689" s="886"/>
      <c r="E689" s="886"/>
      <c r="F689" s="886"/>
      <c r="G689" s="886"/>
      <c r="H689" s="886"/>
      <c r="I689" s="886"/>
      <c r="J689" s="886"/>
      <c r="K689" s="886"/>
    </row>
    <row r="690" spans="1:11">
      <c r="A690" s="1"/>
      <c r="B690" s="886"/>
      <c r="C690" s="886"/>
      <c r="D690" s="886"/>
      <c r="E690" s="886"/>
      <c r="F690" s="886"/>
      <c r="G690" s="886"/>
      <c r="H690" s="886"/>
      <c r="I690" s="886"/>
      <c r="J690" s="886"/>
      <c r="K690" s="886"/>
    </row>
    <row r="691" spans="1:11">
      <c r="A691" s="1"/>
      <c r="B691" s="5"/>
      <c r="C691" s="64"/>
      <c r="D691" s="65"/>
      <c r="E691" s="65" t="s">
        <v>834</v>
      </c>
      <c r="F691" s="1"/>
      <c r="G691" s="1"/>
      <c r="H691" s="1"/>
      <c r="I691" s="1"/>
      <c r="J691" s="1"/>
      <c r="K691" s="1"/>
    </row>
    <row r="692" spans="1:11">
      <c r="A692" s="1"/>
      <c r="B692" s="65"/>
      <c r="C692" s="64" t="s">
        <v>243</v>
      </c>
      <c r="D692" s="64" t="s">
        <v>244</v>
      </c>
      <c r="E692" s="65" t="s">
        <v>679</v>
      </c>
      <c r="F692" s="65" t="s">
        <v>834</v>
      </c>
      <c r="G692" s="65" t="s">
        <v>915</v>
      </c>
      <c r="H692" s="65" t="s">
        <v>946</v>
      </c>
      <c r="I692" s="65" t="s">
        <v>947</v>
      </c>
      <c r="J692" s="65" t="s">
        <v>948</v>
      </c>
      <c r="K692" s="65" t="s">
        <v>949</v>
      </c>
    </row>
    <row r="693" spans="1:11" ht="15.75" thickBot="1">
      <c r="A693" s="1"/>
      <c r="B693" s="135"/>
      <c r="C693" s="67" t="s">
        <v>1</v>
      </c>
      <c r="D693" s="67" t="s">
        <v>1</v>
      </c>
      <c r="E693" s="67" t="s">
        <v>638</v>
      </c>
      <c r="F693" s="67" t="s">
        <v>19</v>
      </c>
      <c r="G693" s="67" t="s">
        <v>679</v>
      </c>
      <c r="H693" s="67" t="s">
        <v>19</v>
      </c>
      <c r="I693" s="67" t="s">
        <v>19</v>
      </c>
      <c r="J693" s="67" t="s">
        <v>19</v>
      </c>
      <c r="K693" s="67" t="s">
        <v>19</v>
      </c>
    </row>
    <row r="694" spans="1:11">
      <c r="A694" s="1"/>
      <c r="B694" s="63"/>
      <c r="C694" s="136"/>
      <c r="D694" s="2"/>
      <c r="E694" s="2"/>
      <c r="F694" s="2"/>
      <c r="G694" s="2"/>
      <c r="H694" s="2"/>
      <c r="I694" s="2"/>
      <c r="J694" s="2"/>
      <c r="K694" s="2"/>
    </row>
    <row r="695" spans="1:11">
      <c r="A695" s="1"/>
      <c r="B695" s="127" t="s">
        <v>680</v>
      </c>
      <c r="C695" s="2"/>
      <c r="D695" s="2"/>
      <c r="E695" s="2"/>
      <c r="F695" s="2"/>
      <c r="G695" s="2"/>
      <c r="H695" s="2"/>
      <c r="I695" s="2"/>
      <c r="J695" s="2"/>
      <c r="K695" s="2"/>
    </row>
    <row r="696" spans="1:11" ht="20.100000000000001" customHeight="1">
      <c r="A696" s="1"/>
      <c r="B696" s="384" t="s">
        <v>681</v>
      </c>
      <c r="C696" s="2">
        <f t="shared" ref="C696:K696" si="60">C11+C57+C93+C280+C581+C619</f>
        <v>10734104</v>
      </c>
      <c r="D696" s="2">
        <f t="shared" si="60"/>
        <v>11093920</v>
      </c>
      <c r="E696" s="2">
        <f t="shared" si="60"/>
        <v>11216905</v>
      </c>
      <c r="F696" s="2">
        <f t="shared" si="60"/>
        <v>11208324</v>
      </c>
      <c r="G696" s="2">
        <f t="shared" si="60"/>
        <v>11369492</v>
      </c>
      <c r="H696" s="2">
        <f t="shared" si="60"/>
        <v>11581687</v>
      </c>
      <c r="I696" s="2">
        <f t="shared" si="60"/>
        <v>11942841</v>
      </c>
      <c r="J696" s="2">
        <f t="shared" si="60"/>
        <v>12147856</v>
      </c>
      <c r="K696" s="2">
        <f t="shared" si="60"/>
        <v>12230590</v>
      </c>
    </row>
    <row r="697" spans="1:11" ht="20.100000000000001" customHeight="1">
      <c r="A697" s="1"/>
      <c r="B697" s="384" t="s">
        <v>682</v>
      </c>
      <c r="C697" s="2">
        <f t="shared" ref="C697:K697" si="61">C12+C128+C167+C411+C620</f>
        <v>3013271</v>
      </c>
      <c r="D697" s="2">
        <f t="shared" si="61"/>
        <v>3256276</v>
      </c>
      <c r="E697" s="2">
        <f t="shared" si="61"/>
        <v>3071862</v>
      </c>
      <c r="F697" s="2">
        <f t="shared" si="61"/>
        <v>3051900</v>
      </c>
      <c r="G697" s="2">
        <f t="shared" si="61"/>
        <v>3796314</v>
      </c>
      <c r="H697" s="2">
        <f t="shared" si="61"/>
        <v>3144984</v>
      </c>
      <c r="I697" s="2">
        <f t="shared" si="61"/>
        <v>3166925</v>
      </c>
      <c r="J697" s="2">
        <f t="shared" si="61"/>
        <v>3230446</v>
      </c>
      <c r="K697" s="2">
        <f t="shared" si="61"/>
        <v>3295137</v>
      </c>
    </row>
    <row r="698" spans="1:11" ht="20.100000000000001" customHeight="1">
      <c r="A698" s="1"/>
      <c r="B698" s="385" t="s">
        <v>683</v>
      </c>
      <c r="C698" s="2">
        <f>C13+C168+C281+C317+C363+C412+C214-'Budget Detail FY 2016-23'!L499-'Budget Detail FY 2016-23'!L500-'Budget Detail FY 2016-23'!L452</f>
        <v>698623</v>
      </c>
      <c r="D698" s="2">
        <f>D13+D168+D281+D317+D363+D412+D214-'Budget Detail FY 2016-23'!M499-'Budget Detail FY 2016-23'!M500-'Budget Detail FY 2016-23'!M452</f>
        <v>926915</v>
      </c>
      <c r="E698" s="2">
        <f>E13+E168+E281+E317+E363+E412+E214-'Budget Detail FY 2016-23'!N499-'Budget Detail FY 2016-23'!N500-'Budget Detail FY 2016-23'!N452</f>
        <v>402000</v>
      </c>
      <c r="F698" s="2">
        <f>F13+F168+F281+F317+F363+F412+F214-'Budget Detail FY 2016-23'!O499-'Budget Detail FY 2016-23'!O500-'Budget Detail FY 2016-23'!O452</f>
        <v>658000</v>
      </c>
      <c r="G698" s="2">
        <f>G13+G168+G281+G317+G363+G412+G214-'Budget Detail FY 2016-23'!P499-'Budget Detail FY 2016-23'!P500-'Budget Detail FY 2016-23'!P452</f>
        <v>548100</v>
      </c>
      <c r="H698" s="2">
        <f>H13+H168+H281+H317+H363+H412+H214-'Budget Detail FY 2016-23'!Q499-'Budget Detail FY 2016-23'!Q500-'Budget Detail FY 2016-23'!Q452</f>
        <v>512050</v>
      </c>
      <c r="I698" s="2">
        <f>I13+I168+I281+I317+I363+I412+I214-'Budget Detail FY 2016-23'!R499-'Budget Detail FY 2016-23'!R500-'Budget Detail FY 2016-23'!R452</f>
        <v>512050</v>
      </c>
      <c r="J698" s="2">
        <f>J13+J168+J281+J317+J363+J412+J214-'Budget Detail FY 2016-23'!S499-'Budget Detail FY 2016-23'!S500-'Budget Detail FY 2016-23'!S452</f>
        <v>512050</v>
      </c>
      <c r="K698" s="2">
        <f>K13+K168+K281+K317+K363+K412+K214-'Budget Detail FY 2016-23'!T499-'Budget Detail FY 2016-23'!T500-'Budget Detail FY 2016-23'!T452</f>
        <v>512050</v>
      </c>
    </row>
    <row r="699" spans="1:11" ht="20.100000000000001" customHeight="1">
      <c r="A699" s="1"/>
      <c r="B699" s="385" t="s">
        <v>684</v>
      </c>
      <c r="C699" s="2">
        <f>C14+'Budget Detail FY 2016-23'!L454+'Budget Detail FY 2016-23'!L455+'Budget Detail FY 2016-23'!L456</f>
        <v>135013</v>
      </c>
      <c r="D699" s="2">
        <f>D14+'Budget Detail FY 2016-23'!M454+'Budget Detail FY 2016-23'!M455+'Budget Detail FY 2016-23'!M456</f>
        <v>146858</v>
      </c>
      <c r="E699" s="2">
        <f>E14+'Budget Detail FY 2016-23'!N454+'Budget Detail FY 2016-23'!N455+'Budget Detail FY 2016-23'!N456</f>
        <v>147925</v>
      </c>
      <c r="F699" s="2">
        <f>F14+'Budget Detail FY 2016-23'!O454+'Budget Detail FY 2016-23'!O455+'Budget Detail FY 2016-23'!O456</f>
        <v>132245</v>
      </c>
      <c r="G699" s="2">
        <f>G14+'Budget Detail FY 2016-23'!P454+'Budget Detail FY 2016-23'!P455+'Budget Detail FY 2016-23'!P456</f>
        <v>137100</v>
      </c>
      <c r="H699" s="2">
        <f>H14+'Budget Detail FY 2016-23'!Q454+'Budget Detail FY 2016-23'!Q455+'Budget Detail FY 2016-23'!Q456</f>
        <v>137100</v>
      </c>
      <c r="I699" s="2">
        <f>I14+'Budget Detail FY 2016-23'!R454+'Budget Detail FY 2016-23'!R455+'Budget Detail FY 2016-23'!R456</f>
        <v>137100</v>
      </c>
      <c r="J699" s="2">
        <f>J14+'Budget Detail FY 2016-23'!S454+'Budget Detail FY 2016-23'!S455+'Budget Detail FY 2016-23'!S456</f>
        <v>137100</v>
      </c>
      <c r="K699" s="2">
        <f>K14+'Budget Detail FY 2016-23'!T454+'Budget Detail FY 2016-23'!T455+'Budget Detail FY 2016-23'!T456</f>
        <v>137100</v>
      </c>
    </row>
    <row r="700" spans="1:11" ht="20.100000000000001" customHeight="1">
      <c r="A700" s="1"/>
      <c r="B700" s="385" t="s">
        <v>685</v>
      </c>
      <c r="C700" s="2">
        <f>C15+C169+C318+C364+'Budget Detail FY 2016-23'!L457+'Budget Detail FY 2016-23'!L459+'Budget Detail FY 2016-23'!L460</f>
        <v>7250288</v>
      </c>
      <c r="D700" s="2">
        <f>D15+D169+D318+D364+'Budget Detail FY 2016-23'!M457+'Budget Detail FY 2016-23'!M459+'Budget Detail FY 2016-23'!M460</f>
        <v>7590425</v>
      </c>
      <c r="E700" s="2">
        <f>E15+E169+E318+E364+'Budget Detail FY 2016-23'!N457+'Budget Detail FY 2016-23'!N459+'Budget Detail FY 2016-23'!N460</f>
        <v>7666955</v>
      </c>
      <c r="F700" s="2">
        <f>F15+F169+F318+F364+'Budget Detail FY 2016-23'!O457+'Budget Detail FY 2016-23'!O459+'Budget Detail FY 2016-23'!O460</f>
        <v>8324179</v>
      </c>
      <c r="G700" s="2">
        <f>G15+G169+G318+G364+'Budget Detail FY 2016-23'!P457+'Budget Detail FY 2016-23'!P459+'Budget Detail FY 2016-23'!P460</f>
        <v>8183706</v>
      </c>
      <c r="H700" s="2">
        <f>H15+H169+H318+H364+'Budget Detail FY 2016-23'!Q457+'Budget Detail FY 2016-23'!Q459+'Budget Detail FY 2016-23'!Q460</f>
        <v>8358825</v>
      </c>
      <c r="I700" s="2">
        <f>I15+I169+I318+I364+'Budget Detail FY 2016-23'!R457+'Budget Detail FY 2016-23'!R459+'Budget Detail FY 2016-23'!R460</f>
        <v>8581506</v>
      </c>
      <c r="J700" s="2">
        <f>J15+J169+J318+J364+'Budget Detail FY 2016-23'!S457+'Budget Detail FY 2016-23'!S459+'Budget Detail FY 2016-23'!S460</f>
        <v>8824254</v>
      </c>
      <c r="K700" s="2">
        <f>K15+K169+K318+K364+'Budget Detail FY 2016-23'!T457+'Budget Detail FY 2016-23'!T459+'Budget Detail FY 2016-23'!T460</f>
        <v>9075364</v>
      </c>
    </row>
    <row r="701" spans="1:11" ht="20.100000000000001" customHeight="1">
      <c r="A701" s="1"/>
      <c r="B701" s="385" t="s">
        <v>686</v>
      </c>
      <c r="C701" s="2">
        <f t="shared" ref="C701:K701" si="62">C16+C58+C94+C129+C170+C282+C319+C365+C582+C621</f>
        <v>15542</v>
      </c>
      <c r="D701" s="2">
        <f t="shared" si="62"/>
        <v>64084</v>
      </c>
      <c r="E701" s="2">
        <f t="shared" si="62"/>
        <v>23750</v>
      </c>
      <c r="F701" s="2">
        <f t="shared" si="62"/>
        <v>74250</v>
      </c>
      <c r="G701" s="2">
        <f t="shared" si="62"/>
        <v>34250</v>
      </c>
      <c r="H701" s="2">
        <f t="shared" si="62"/>
        <v>17250</v>
      </c>
      <c r="I701" s="2">
        <f t="shared" si="62"/>
        <v>10250</v>
      </c>
      <c r="J701" s="2">
        <f t="shared" si="62"/>
        <v>8750</v>
      </c>
      <c r="K701" s="2">
        <f t="shared" si="62"/>
        <v>10000</v>
      </c>
    </row>
    <row r="702" spans="1:11" ht="20.100000000000001" customHeight="1">
      <c r="A702" s="1"/>
      <c r="B702" s="385" t="s">
        <v>687</v>
      </c>
      <c r="C702" s="2">
        <f t="shared" ref="C702:K702" si="63">C17+C130+C171+C320+C366+C414</f>
        <v>522018</v>
      </c>
      <c r="D702" s="2">
        <f t="shared" si="63"/>
        <v>365501</v>
      </c>
      <c r="E702" s="2">
        <f t="shared" si="63"/>
        <v>527617</v>
      </c>
      <c r="F702" s="2">
        <f t="shared" si="63"/>
        <v>437564</v>
      </c>
      <c r="G702" s="2">
        <f t="shared" si="63"/>
        <v>1164077</v>
      </c>
      <c r="H702" s="2">
        <f t="shared" si="63"/>
        <v>62549</v>
      </c>
      <c r="I702" s="2">
        <f t="shared" si="63"/>
        <v>62549</v>
      </c>
      <c r="J702" s="2">
        <f t="shared" si="63"/>
        <v>55000</v>
      </c>
      <c r="K702" s="2">
        <f t="shared" si="63"/>
        <v>226600</v>
      </c>
    </row>
    <row r="703" spans="1:11" ht="20.100000000000001" customHeight="1">
      <c r="A703" s="1"/>
      <c r="B703" s="385" t="s">
        <v>716</v>
      </c>
      <c r="C703" s="2">
        <f>C413</f>
        <v>121962</v>
      </c>
      <c r="D703" s="2">
        <f t="shared" ref="D703:K703" si="64">D413</f>
        <v>47753</v>
      </c>
      <c r="E703" s="2">
        <f t="shared" si="64"/>
        <v>88000</v>
      </c>
      <c r="F703" s="2">
        <f t="shared" si="64"/>
        <v>205796</v>
      </c>
      <c r="G703" s="2">
        <f t="shared" si="64"/>
        <v>11639</v>
      </c>
      <c r="H703" s="2">
        <f t="shared" si="64"/>
        <v>11638</v>
      </c>
      <c r="I703" s="2">
        <f t="shared" si="64"/>
        <v>0</v>
      </c>
      <c r="J703" s="2">
        <f t="shared" si="64"/>
        <v>0</v>
      </c>
      <c r="K703" s="2">
        <f t="shared" si="64"/>
        <v>0</v>
      </c>
    </row>
    <row r="704" spans="1:11" ht="20.100000000000001" customHeight="1">
      <c r="A704" s="1"/>
      <c r="B704" s="385" t="s">
        <v>688</v>
      </c>
      <c r="C704" s="2">
        <f>C18+C321+'Budget Detail FY 2016-23'!L464+'Budget Detail FY 2016-23'!L465+C622+C172</f>
        <v>83969</v>
      </c>
      <c r="D704" s="2">
        <f>D18+D321+'Budget Detail FY 2016-23'!M464+'Budget Detail FY 2016-23'!M465+D622+D172</f>
        <v>87704</v>
      </c>
      <c r="E704" s="2">
        <f>E18+E321+'Budget Detail FY 2016-23'!N464+'Budget Detail FY 2016-23'!N465+E622+E172</f>
        <v>84332</v>
      </c>
      <c r="F704" s="2">
        <f>F18+F321+'Budget Detail FY 2016-23'!O464+'Budget Detail FY 2016-23'!O465+F622+F172</f>
        <v>84384</v>
      </c>
      <c r="G704" s="2">
        <f>G18+G321+'Budget Detail FY 2016-23'!P464+'Budget Detail FY 2016-23'!P465+G622+G172</f>
        <v>88241</v>
      </c>
      <c r="H704" s="2">
        <f>H18+H321+'Budget Detail FY 2016-23'!Q464+'Budget Detail FY 2016-23'!Q465+H622+H172</f>
        <v>89491</v>
      </c>
      <c r="I704" s="2">
        <f>I18+I321+'Budget Detail FY 2016-23'!R464+'Budget Detail FY 2016-23'!R465+I622+I172</f>
        <v>90766</v>
      </c>
      <c r="J704" s="2">
        <f>J18+J321+'Budget Detail FY 2016-23'!S464+'Budget Detail FY 2016-23'!S465+J622+J172</f>
        <v>92066</v>
      </c>
      <c r="K704" s="2">
        <f>K18+K321+'Budget Detail FY 2016-23'!T464+'Budget Detail FY 2016-23'!T465+K622+K172</f>
        <v>93392</v>
      </c>
    </row>
    <row r="705" spans="1:11" ht="20.100000000000001" customHeight="1">
      <c r="A705" s="1"/>
      <c r="B705" s="385" t="s">
        <v>689</v>
      </c>
      <c r="C705" s="2">
        <f>C19+C173+C283+C322+C367+'Budget Detail FY 2016-23'!L467+'Budget Detail FY 2016-23'!L468+C583+C131+C415</f>
        <v>7525100</v>
      </c>
      <c r="D705" s="2">
        <f>D19+D173+D283+D322+D367+'Budget Detail FY 2016-23'!M467+'Budget Detail FY 2016-23'!M468+D583+D131+D415</f>
        <v>7852410</v>
      </c>
      <c r="E705" s="2">
        <f>E19+E173+E283+E322+E367+'Budget Detail FY 2016-23'!N467+'Budget Detail FY 2016-23'!N468+E583+E131+E415</f>
        <v>2866200</v>
      </c>
      <c r="F705" s="2">
        <f>F19+F173+F283+F322+F367+'Budget Detail FY 2016-23'!O467+'Budget Detail FY 2016-23'!O468+F583+F131+F415</f>
        <v>2885737</v>
      </c>
      <c r="G705" s="2">
        <f>G19+G173+G283+G322+G367+'Budget Detail FY 2016-23'!P467+'Budget Detail FY 2016-23'!P468+G583+G131+G415</f>
        <v>1585849</v>
      </c>
      <c r="H705" s="2">
        <f>H19+H173+H283+H322+H367+'Budget Detail FY 2016-23'!Q467+'Budget Detail FY 2016-23'!Q468+H583+H131+H415</f>
        <v>1122129</v>
      </c>
      <c r="I705" s="2">
        <f>I19+I173+I283+I322+I367+'Budget Detail FY 2016-23'!R467+'Budget Detail FY 2016-23'!R468+I583+I131+I415</f>
        <v>1099231</v>
      </c>
      <c r="J705" s="2">
        <f>J19+J173+J283+J322+J367+'Budget Detail FY 2016-23'!S467+'Budget Detail FY 2016-23'!S468+J583+J131+J415</f>
        <v>1514322</v>
      </c>
      <c r="K705" s="2">
        <f>K19+K173+K283+K322+K367+'Budget Detail FY 2016-23'!T467+'Budget Detail FY 2016-23'!T468+K583+K131+K415</f>
        <v>1654134</v>
      </c>
    </row>
    <row r="706" spans="1:11" ht="20.100000000000001" customHeight="1" thickBot="1">
      <c r="A706" s="1"/>
      <c r="B706" s="126" t="s">
        <v>690</v>
      </c>
      <c r="C706" s="123">
        <f t="shared" ref="C706:K706" si="65">SUM(C696:C705)</f>
        <v>30099890</v>
      </c>
      <c r="D706" s="123">
        <f t="shared" si="65"/>
        <v>31431846</v>
      </c>
      <c r="E706" s="123">
        <f t="shared" si="65"/>
        <v>26095546</v>
      </c>
      <c r="F706" s="123">
        <f t="shared" si="65"/>
        <v>27062379</v>
      </c>
      <c r="G706" s="123">
        <f t="shared" si="65"/>
        <v>26918768</v>
      </c>
      <c r="H706" s="123">
        <f t="shared" si="65"/>
        <v>25037703</v>
      </c>
      <c r="I706" s="123">
        <f t="shared" si="65"/>
        <v>25603218</v>
      </c>
      <c r="J706" s="123">
        <f t="shared" si="65"/>
        <v>26521844</v>
      </c>
      <c r="K706" s="123">
        <f t="shared" si="65"/>
        <v>27234367</v>
      </c>
    </row>
    <row r="707" spans="1:11" ht="7.5" customHeight="1">
      <c r="A707" s="1"/>
      <c r="B707" s="1"/>
      <c r="C707" s="2"/>
      <c r="D707" s="2"/>
      <c r="E707" s="2"/>
      <c r="F707" s="2"/>
      <c r="G707" s="2"/>
      <c r="H707" s="2"/>
      <c r="I707" s="2"/>
      <c r="J707" s="2"/>
      <c r="K707" s="2"/>
    </row>
    <row r="708" spans="1:11">
      <c r="A708" s="1"/>
      <c r="B708" s="127" t="s">
        <v>484</v>
      </c>
      <c r="C708" s="2"/>
      <c r="D708" s="2"/>
      <c r="E708" s="2"/>
      <c r="F708" s="2"/>
      <c r="G708" s="2"/>
      <c r="H708" s="2"/>
      <c r="I708" s="2"/>
      <c r="J708" s="2"/>
      <c r="K708" s="2"/>
    </row>
    <row r="709" spans="1:11" ht="20.100000000000001" customHeight="1">
      <c r="A709" s="1"/>
      <c r="B709" s="386" t="s">
        <v>691</v>
      </c>
      <c r="C709" s="2">
        <f t="shared" ref="C709:K709" si="66">C23+C326+C371</f>
        <v>4539879</v>
      </c>
      <c r="D709" s="2">
        <f t="shared" si="66"/>
        <v>4816133</v>
      </c>
      <c r="E709" s="2">
        <f t="shared" si="66"/>
        <v>5272179</v>
      </c>
      <c r="F709" s="2">
        <f t="shared" si="66"/>
        <v>5218733</v>
      </c>
      <c r="G709" s="2">
        <f t="shared" si="66"/>
        <v>5577267</v>
      </c>
      <c r="H709" s="2">
        <f t="shared" si="66"/>
        <v>5724153</v>
      </c>
      <c r="I709" s="2">
        <f t="shared" si="66"/>
        <v>5884713</v>
      </c>
      <c r="J709" s="2">
        <f t="shared" si="66"/>
        <v>6050093</v>
      </c>
      <c r="K709" s="2">
        <f t="shared" si="66"/>
        <v>6220434</v>
      </c>
    </row>
    <row r="710" spans="1:11" ht="20.100000000000001" customHeight="1">
      <c r="A710" s="1"/>
      <c r="B710" s="386" t="s">
        <v>692</v>
      </c>
      <c r="C710" s="2">
        <f t="shared" ref="C710:K710" si="67">C24+C327+C372</f>
        <v>2771286</v>
      </c>
      <c r="D710" s="2">
        <f t="shared" si="67"/>
        <v>2976086</v>
      </c>
      <c r="E710" s="2">
        <f t="shared" si="67"/>
        <v>3469312</v>
      </c>
      <c r="F710" s="2">
        <f t="shared" si="67"/>
        <v>3268462</v>
      </c>
      <c r="G710" s="2">
        <f t="shared" si="67"/>
        <v>3427605</v>
      </c>
      <c r="H710" s="2">
        <f t="shared" si="67"/>
        <v>3629915</v>
      </c>
      <c r="I710" s="2">
        <f t="shared" si="67"/>
        <v>3847652</v>
      </c>
      <c r="J710" s="2">
        <f t="shared" si="67"/>
        <v>4073215</v>
      </c>
      <c r="K710" s="2">
        <f t="shared" si="67"/>
        <v>4310368</v>
      </c>
    </row>
    <row r="711" spans="1:11" ht="20.100000000000001" customHeight="1">
      <c r="A711" s="1"/>
      <c r="B711" s="386" t="s">
        <v>693</v>
      </c>
      <c r="C711" s="2">
        <f t="shared" ref="C711:K711" si="68">C25+C62+C98+C135+C177+C223+C233+C287+C328+C373+C419+C587+C626+C663</f>
        <v>6040730</v>
      </c>
      <c r="D711" s="2">
        <f t="shared" si="68"/>
        <v>6085913</v>
      </c>
      <c r="E711" s="2">
        <f t="shared" si="68"/>
        <v>6262540</v>
      </c>
      <c r="F711" s="2">
        <f t="shared" si="68"/>
        <v>6342186</v>
      </c>
      <c r="G711" s="2">
        <f t="shared" si="68"/>
        <v>6960165</v>
      </c>
      <c r="H711" s="2">
        <f t="shared" si="68"/>
        <v>6213698</v>
      </c>
      <c r="I711" s="2">
        <f t="shared" si="68"/>
        <v>6133776</v>
      </c>
      <c r="J711" s="2">
        <f t="shared" si="68"/>
        <v>6226197</v>
      </c>
      <c r="K711" s="2">
        <f t="shared" si="68"/>
        <v>6203011</v>
      </c>
    </row>
    <row r="712" spans="1:11" ht="20.100000000000001" customHeight="1">
      <c r="A712" s="1"/>
      <c r="B712" s="386" t="s">
        <v>694</v>
      </c>
      <c r="C712" s="2">
        <f t="shared" ref="C712:K712" si="69">C26+C136+C178+C234+C329+C374</f>
        <v>666617</v>
      </c>
      <c r="D712" s="2">
        <f t="shared" si="69"/>
        <v>710397</v>
      </c>
      <c r="E712" s="2">
        <f t="shared" si="69"/>
        <v>897274</v>
      </c>
      <c r="F712" s="2">
        <f t="shared" si="69"/>
        <v>889603</v>
      </c>
      <c r="G712" s="2">
        <f t="shared" si="69"/>
        <v>855526</v>
      </c>
      <c r="H712" s="2">
        <f t="shared" si="69"/>
        <v>900792</v>
      </c>
      <c r="I712" s="2">
        <f t="shared" si="69"/>
        <v>917345</v>
      </c>
      <c r="J712" s="2">
        <f t="shared" si="69"/>
        <v>934725</v>
      </c>
      <c r="K712" s="2">
        <f t="shared" si="69"/>
        <v>952975</v>
      </c>
    </row>
    <row r="713" spans="1:11" ht="20.100000000000001" customHeight="1">
      <c r="A713" s="1"/>
      <c r="B713" s="386" t="s">
        <v>695</v>
      </c>
      <c r="C713" s="2">
        <f t="shared" ref="C713:K713" si="70">C137+C179+C224+C235+C330+C375+C420+C627+C588</f>
        <v>4997968</v>
      </c>
      <c r="D713" s="2">
        <f t="shared" si="70"/>
        <v>7581817</v>
      </c>
      <c r="E713" s="2">
        <f t="shared" si="70"/>
        <v>6318725</v>
      </c>
      <c r="F713" s="2">
        <f t="shared" si="70"/>
        <v>6671441</v>
      </c>
      <c r="G713" s="2">
        <f t="shared" si="70"/>
        <v>5264247</v>
      </c>
      <c r="H713" s="2">
        <f t="shared" si="70"/>
        <v>3084670</v>
      </c>
      <c r="I713" s="2">
        <f t="shared" si="70"/>
        <v>2194685</v>
      </c>
      <c r="J713" s="2">
        <f t="shared" si="70"/>
        <v>2172392</v>
      </c>
      <c r="K713" s="2">
        <f t="shared" si="70"/>
        <v>1837166</v>
      </c>
    </row>
    <row r="714" spans="1:11" ht="20.100000000000001" customHeight="1">
      <c r="A714" s="1"/>
      <c r="B714" s="387" t="s">
        <v>1184</v>
      </c>
      <c r="C714" s="2">
        <f t="shared" ref="C714:K714" si="71">C376</f>
        <v>32890</v>
      </c>
      <c r="D714" s="2">
        <f t="shared" si="71"/>
        <v>33872</v>
      </c>
      <c r="E714" s="2">
        <f t="shared" si="71"/>
        <v>34888</v>
      </c>
      <c r="F714" s="2">
        <f t="shared" si="71"/>
        <v>34888</v>
      </c>
      <c r="G714" s="2">
        <f t="shared" si="71"/>
        <v>35938</v>
      </c>
      <c r="H714" s="2">
        <f t="shared" si="71"/>
        <v>30076</v>
      </c>
      <c r="I714" s="2">
        <f t="shared" si="71"/>
        <v>0</v>
      </c>
      <c r="J714" s="2">
        <f t="shared" si="71"/>
        <v>0</v>
      </c>
      <c r="K714" s="2">
        <f t="shared" si="71"/>
        <v>0</v>
      </c>
    </row>
    <row r="715" spans="1:11" ht="20.100000000000001" customHeight="1">
      <c r="A715" s="1"/>
      <c r="B715" s="387" t="s">
        <v>626</v>
      </c>
      <c r="C715" s="2">
        <f t="shared" ref="C715:K715" si="72">C180+C236+C288+C331+C377+C628</f>
        <v>3799830</v>
      </c>
      <c r="D715" s="2">
        <f t="shared" si="72"/>
        <v>4110569</v>
      </c>
      <c r="E715" s="2">
        <f t="shared" si="72"/>
        <v>4016012</v>
      </c>
      <c r="F715" s="2">
        <f t="shared" si="72"/>
        <v>4016012</v>
      </c>
      <c r="G715" s="2">
        <f t="shared" si="72"/>
        <v>4441530</v>
      </c>
      <c r="H715" s="2">
        <f t="shared" si="72"/>
        <v>4648610</v>
      </c>
      <c r="I715" s="2">
        <f t="shared" si="72"/>
        <v>4533836</v>
      </c>
      <c r="J715" s="2">
        <f t="shared" si="72"/>
        <v>4037748</v>
      </c>
      <c r="K715" s="2">
        <f t="shared" si="72"/>
        <v>3672885</v>
      </c>
    </row>
    <row r="716" spans="1:11" ht="20.100000000000001" customHeight="1">
      <c r="A716" s="1"/>
      <c r="B716" s="387" t="s">
        <v>696</v>
      </c>
      <c r="C716" s="2">
        <f t="shared" ref="C716:K716" si="73">C27+C181+C378+C589+C332</f>
        <v>4119003</v>
      </c>
      <c r="D716" s="2">
        <f t="shared" si="73"/>
        <v>8927076</v>
      </c>
      <c r="E716" s="2">
        <f t="shared" si="73"/>
        <v>4199519</v>
      </c>
      <c r="F716" s="2">
        <f t="shared" si="73"/>
        <v>4215613</v>
      </c>
      <c r="G716" s="2">
        <f t="shared" si="73"/>
        <v>2885727</v>
      </c>
      <c r="H716" s="2">
        <f t="shared" si="73"/>
        <v>2629201</v>
      </c>
      <c r="I716" s="2">
        <f t="shared" si="73"/>
        <v>2666540</v>
      </c>
      <c r="J716" s="2">
        <f t="shared" si="73"/>
        <v>3142764</v>
      </c>
      <c r="K716" s="2">
        <f t="shared" si="73"/>
        <v>3357646</v>
      </c>
    </row>
    <row r="717" spans="1:11" ht="20.100000000000001" customHeight="1" thickBot="1">
      <c r="A717" s="1"/>
      <c r="B717" s="126" t="s">
        <v>697</v>
      </c>
      <c r="C717" s="123">
        <f t="shared" ref="C717:K717" si="74">SUM(C709:C716)</f>
        <v>26968203</v>
      </c>
      <c r="D717" s="123">
        <f t="shared" si="74"/>
        <v>35241863</v>
      </c>
      <c r="E717" s="123">
        <f t="shared" si="74"/>
        <v>30470449</v>
      </c>
      <c r="F717" s="123">
        <f t="shared" si="74"/>
        <v>30656938</v>
      </c>
      <c r="G717" s="123">
        <f t="shared" si="74"/>
        <v>29448005</v>
      </c>
      <c r="H717" s="123">
        <f t="shared" si="74"/>
        <v>26861115</v>
      </c>
      <c r="I717" s="123">
        <f t="shared" si="74"/>
        <v>26178547</v>
      </c>
      <c r="J717" s="123">
        <f t="shared" si="74"/>
        <v>26637134</v>
      </c>
      <c r="K717" s="123">
        <f t="shared" si="74"/>
        <v>26554485</v>
      </c>
    </row>
    <row r="718" spans="1:11" s="422" customFormat="1">
      <c r="A718" s="1"/>
      <c r="B718" s="129"/>
      <c r="C718" s="3"/>
      <c r="D718" s="2"/>
      <c r="E718" s="2"/>
      <c r="F718" s="2"/>
      <c r="G718" s="2"/>
      <c r="H718" s="2"/>
      <c r="I718" s="2"/>
      <c r="J718" s="2"/>
      <c r="K718" s="2"/>
    </row>
    <row r="719" spans="1:11" ht="15" customHeight="1">
      <c r="A719" s="1"/>
      <c r="B719" s="388" t="s">
        <v>698</v>
      </c>
      <c r="C719" s="3">
        <f t="shared" ref="C719:K719" si="75">+C706-C717</f>
        <v>3131687</v>
      </c>
      <c r="D719" s="3">
        <f t="shared" si="75"/>
        <v>-3810017</v>
      </c>
      <c r="E719" s="3">
        <f t="shared" si="75"/>
        <v>-4374903</v>
      </c>
      <c r="F719" s="3">
        <f t="shared" si="75"/>
        <v>-3594559</v>
      </c>
      <c r="G719" s="3">
        <f t="shared" si="75"/>
        <v>-2529237</v>
      </c>
      <c r="H719" s="3">
        <f t="shared" si="75"/>
        <v>-1823412</v>
      </c>
      <c r="I719" s="3">
        <f t="shared" si="75"/>
        <v>-575329</v>
      </c>
      <c r="J719" s="3">
        <f t="shared" si="75"/>
        <v>-115290</v>
      </c>
      <c r="K719" s="3">
        <f t="shared" si="75"/>
        <v>679882</v>
      </c>
    </row>
    <row r="720" spans="1:11" s="422" customFormat="1">
      <c r="A720" s="1"/>
      <c r="B720" s="130"/>
      <c r="C720" s="3"/>
      <c r="D720" s="2"/>
      <c r="E720" s="2"/>
      <c r="F720" s="2"/>
      <c r="G720" s="2"/>
      <c r="H720" s="2"/>
      <c r="I720" s="2"/>
      <c r="J720" s="2"/>
      <c r="K720" s="2"/>
    </row>
    <row r="721" spans="1:11" ht="15" customHeight="1" thickBot="1">
      <c r="A721" s="1"/>
      <c r="B721" s="125" t="s">
        <v>699</v>
      </c>
      <c r="C721" s="80">
        <v>16227120</v>
      </c>
      <c r="D721" s="80">
        <v>12417105</v>
      </c>
      <c r="E721" s="80">
        <v>8050660</v>
      </c>
      <c r="F721" s="80">
        <f>D721+F719</f>
        <v>8822546</v>
      </c>
      <c r="G721" s="80">
        <f>F721+G719</f>
        <v>6293309</v>
      </c>
      <c r="H721" s="80">
        <f>G721+H719</f>
        <v>4469897</v>
      </c>
      <c r="I721" s="80">
        <f>H721+I719</f>
        <v>3894568</v>
      </c>
      <c r="J721" s="80">
        <f>I721+J719</f>
        <v>3779278</v>
      </c>
      <c r="K721" s="80">
        <f>J721+K719</f>
        <v>4459160</v>
      </c>
    </row>
    <row r="722" spans="1:11" s="422" customFormat="1" ht="15.75" thickTop="1">
      <c r="A722" s="1"/>
      <c r="B722" s="131"/>
      <c r="C722" s="132">
        <f t="shared" ref="C722:K722" si="76">+C721/C717</f>
        <v>0.60171306186029527</v>
      </c>
      <c r="D722" s="132">
        <f t="shared" si="76"/>
        <v>0.352339630853227</v>
      </c>
      <c r="E722" s="132">
        <f t="shared" si="76"/>
        <v>0.26421205673733261</v>
      </c>
      <c r="F722" s="132">
        <f t="shared" si="76"/>
        <v>0.28778301342423696</v>
      </c>
      <c r="G722" s="132">
        <f t="shared" si="76"/>
        <v>0.21370917995972902</v>
      </c>
      <c r="H722" s="132">
        <f t="shared" si="76"/>
        <v>0.16640772358109482</v>
      </c>
      <c r="I722" s="132">
        <f t="shared" si="76"/>
        <v>0.148769448510645</v>
      </c>
      <c r="J722" s="132">
        <f t="shared" si="76"/>
        <v>0.14188005361237435</v>
      </c>
      <c r="K722" s="132">
        <f t="shared" si="76"/>
        <v>0.1679249286890708</v>
      </c>
    </row>
    <row r="724" spans="1:11">
      <c r="A724" s="1"/>
      <c r="B724" s="131"/>
      <c r="C724" s="132"/>
      <c r="D724" s="132"/>
      <c r="E724" s="132"/>
      <c r="F724" s="132"/>
      <c r="G724" s="132"/>
      <c r="H724" s="132"/>
      <c r="I724" s="132"/>
      <c r="J724" s="132"/>
      <c r="K724" s="132"/>
    </row>
    <row r="725" spans="1:11" ht="7.5" customHeight="1">
      <c r="A725" s="1"/>
      <c r="B725" s="131"/>
      <c r="C725" s="2"/>
      <c r="D725" s="2"/>
      <c r="E725" s="2"/>
      <c r="F725" s="2"/>
      <c r="G725" s="2"/>
      <c r="H725" s="2"/>
      <c r="I725" s="2"/>
      <c r="J725" s="2"/>
      <c r="K725" s="2"/>
    </row>
    <row r="726" spans="1:11">
      <c r="A726" s="1"/>
      <c r="B726" s="1"/>
      <c r="C726" s="2"/>
      <c r="D726" s="2"/>
      <c r="E726" s="2"/>
      <c r="F726" s="2"/>
      <c r="G726" s="2"/>
      <c r="H726" s="2"/>
      <c r="I726" s="2"/>
      <c r="J726" s="2"/>
      <c r="K726" s="2"/>
    </row>
    <row r="727" spans="1:11">
      <c r="A727" s="1"/>
      <c r="B727" s="1"/>
      <c r="C727" s="2"/>
      <c r="D727" s="2"/>
      <c r="E727" s="2"/>
      <c r="F727" s="2"/>
      <c r="G727" s="2"/>
      <c r="H727" s="2"/>
      <c r="I727" s="2"/>
      <c r="J727" s="2"/>
      <c r="K727" s="2"/>
    </row>
    <row r="728" spans="1:11">
      <c r="A728" s="1"/>
      <c r="B728" s="1"/>
      <c r="C728" s="2"/>
      <c r="D728" s="2"/>
      <c r="E728" s="2"/>
      <c r="F728" s="2"/>
      <c r="G728" s="2"/>
      <c r="H728" s="2"/>
      <c r="I728" s="2"/>
      <c r="J728" s="2"/>
      <c r="K728" s="2"/>
    </row>
    <row r="729" spans="1:11">
      <c r="A729" s="1"/>
      <c r="B729" s="1"/>
      <c r="C729" s="2"/>
      <c r="D729" s="2"/>
      <c r="E729" s="2"/>
      <c r="F729" s="2"/>
      <c r="G729" s="2"/>
      <c r="H729" s="2"/>
      <c r="I729" s="2"/>
      <c r="J729" s="2"/>
      <c r="K729" s="2"/>
    </row>
    <row r="730" spans="1:11">
      <c r="A730" s="1"/>
      <c r="B730" s="1"/>
      <c r="C730" s="2"/>
      <c r="D730" s="2"/>
      <c r="E730" s="2"/>
      <c r="F730" s="2"/>
      <c r="G730" s="2"/>
      <c r="H730" s="2"/>
      <c r="I730" s="2"/>
      <c r="J730" s="2"/>
      <c r="K730" s="2"/>
    </row>
    <row r="731" spans="1:11">
      <c r="A731" s="1"/>
      <c r="B731" s="1"/>
      <c r="C731" s="2"/>
      <c r="D731" s="2"/>
      <c r="E731" s="2"/>
      <c r="F731" s="2"/>
      <c r="G731" s="2"/>
      <c r="H731" s="2"/>
      <c r="I731" s="2"/>
      <c r="J731" s="2"/>
      <c r="K731" s="2"/>
    </row>
    <row r="732" spans="1:11">
      <c r="A732" s="1"/>
      <c r="B732" s="1"/>
      <c r="C732" s="2"/>
      <c r="D732" s="2"/>
      <c r="E732" s="2"/>
      <c r="F732" s="2"/>
      <c r="G732" s="2"/>
      <c r="H732" s="2"/>
      <c r="I732" s="2"/>
      <c r="J732" s="2"/>
      <c r="K732" s="2"/>
    </row>
    <row r="733" spans="1:11">
      <c r="A733" s="1"/>
      <c r="B733" s="1"/>
      <c r="C733" s="2"/>
      <c r="D733" s="2"/>
      <c r="E733" s="2"/>
      <c r="F733" s="2"/>
      <c r="G733" s="2"/>
      <c r="H733" s="2"/>
      <c r="I733" s="2"/>
      <c r="J733" s="2"/>
      <c r="K733" s="2"/>
    </row>
    <row r="734" spans="1:11">
      <c r="A734" s="1"/>
      <c r="B734" s="1"/>
      <c r="C734" s="2"/>
      <c r="D734" s="2"/>
      <c r="E734" s="2"/>
      <c r="F734" s="2"/>
      <c r="G734" s="2"/>
      <c r="H734" s="2"/>
      <c r="I734" s="2"/>
      <c r="J734" s="2"/>
      <c r="K734" s="2"/>
    </row>
    <row r="735" spans="1:11">
      <c r="A735" s="1"/>
      <c r="B735" s="1"/>
      <c r="C735" s="2"/>
      <c r="D735" s="2"/>
      <c r="E735" s="2"/>
      <c r="F735" s="2"/>
      <c r="G735" s="2"/>
      <c r="H735" s="2"/>
      <c r="I735" s="2"/>
      <c r="J735" s="2"/>
      <c r="K735" s="2"/>
    </row>
    <row r="737" spans="2:11">
      <c r="B737" s="895" t="s">
        <v>942</v>
      </c>
      <c r="C737" s="895"/>
      <c r="D737" s="895"/>
      <c r="E737" s="895"/>
      <c r="F737" s="895"/>
      <c r="G737" s="895"/>
      <c r="H737" s="895"/>
      <c r="I737" s="895"/>
      <c r="J737" s="895"/>
      <c r="K737" s="895"/>
    </row>
    <row r="738" spans="2:11" ht="7.5" customHeight="1">
      <c r="B738" s="64"/>
      <c r="C738" s="3"/>
      <c r="D738" s="2"/>
      <c r="E738" s="2"/>
      <c r="F738" s="2"/>
      <c r="G738" s="2"/>
      <c r="H738" s="2"/>
      <c r="I738" s="2"/>
      <c r="J738" s="2"/>
      <c r="K738" s="2"/>
    </row>
    <row r="739" spans="2:11">
      <c r="B739" s="886" t="s">
        <v>1322</v>
      </c>
      <c r="C739" s="886"/>
      <c r="D739" s="886"/>
      <c r="E739" s="886"/>
      <c r="F739" s="886"/>
      <c r="G739" s="886"/>
      <c r="H739" s="886"/>
      <c r="I739" s="886"/>
      <c r="J739" s="886"/>
      <c r="K739" s="886"/>
    </row>
    <row r="740" spans="2:11">
      <c r="B740" s="886"/>
      <c r="C740" s="886"/>
      <c r="D740" s="886"/>
      <c r="E740" s="886"/>
      <c r="F740" s="886"/>
      <c r="G740" s="886"/>
      <c r="H740" s="886"/>
      <c r="I740" s="886"/>
      <c r="J740" s="886"/>
      <c r="K740" s="886"/>
    </row>
    <row r="741" spans="2:11">
      <c r="B741" s="886"/>
      <c r="C741" s="886"/>
      <c r="D741" s="886"/>
      <c r="E741" s="886"/>
      <c r="F741" s="886"/>
      <c r="G741" s="886"/>
      <c r="H741" s="886"/>
      <c r="I741" s="886"/>
      <c r="J741" s="886"/>
      <c r="K741" s="886"/>
    </row>
    <row r="742" spans="2:11" ht="7.5" customHeight="1">
      <c r="B742" s="418"/>
      <c r="C742" s="418"/>
      <c r="D742" s="418"/>
      <c r="E742" s="418"/>
      <c r="F742" s="418"/>
      <c r="G742" s="418"/>
      <c r="H742" s="418"/>
      <c r="I742" s="418"/>
      <c r="J742" s="418"/>
      <c r="K742" s="418"/>
    </row>
    <row r="743" spans="2:11">
      <c r="B743" s="5"/>
      <c r="C743" s="64"/>
      <c r="D743" s="65"/>
      <c r="E743" s="65" t="s">
        <v>834</v>
      </c>
      <c r="F743" s="1"/>
      <c r="G743" s="1"/>
      <c r="H743" s="1"/>
      <c r="I743" s="1"/>
      <c r="J743" s="1"/>
      <c r="K743" s="1"/>
    </row>
    <row r="744" spans="2:11">
      <c r="B744" s="65"/>
      <c r="C744" s="64" t="s">
        <v>243</v>
      </c>
      <c r="D744" s="64" t="s">
        <v>244</v>
      </c>
      <c r="E744" s="65" t="s">
        <v>679</v>
      </c>
      <c r="F744" s="65" t="s">
        <v>834</v>
      </c>
      <c r="G744" s="65" t="s">
        <v>915</v>
      </c>
      <c r="H744" s="65" t="s">
        <v>946</v>
      </c>
      <c r="I744" s="65" t="s">
        <v>947</v>
      </c>
      <c r="J744" s="65" t="s">
        <v>948</v>
      </c>
      <c r="K744" s="65" t="s">
        <v>949</v>
      </c>
    </row>
    <row r="745" spans="2:11" ht="15.75" thickBot="1">
      <c r="B745" s="135"/>
      <c r="C745" s="67" t="s">
        <v>1</v>
      </c>
      <c r="D745" s="67" t="s">
        <v>1</v>
      </c>
      <c r="E745" s="67" t="s">
        <v>638</v>
      </c>
      <c r="F745" s="67" t="s">
        <v>19</v>
      </c>
      <c r="G745" s="67" t="s">
        <v>679</v>
      </c>
      <c r="H745" s="67" t="s">
        <v>19</v>
      </c>
      <c r="I745" s="67" t="s">
        <v>19</v>
      </c>
      <c r="J745" s="67" t="s">
        <v>19</v>
      </c>
      <c r="K745" s="67" t="s">
        <v>19</v>
      </c>
    </row>
    <row r="746" spans="2:11" ht="7.5" customHeight="1">
      <c r="B746" s="63"/>
      <c r="C746" s="136"/>
      <c r="D746" s="2"/>
      <c r="E746" s="2"/>
      <c r="F746" s="2"/>
      <c r="G746" s="2"/>
      <c r="H746" s="2"/>
      <c r="I746" s="2"/>
      <c r="J746" s="2"/>
      <c r="K746" s="2"/>
    </row>
    <row r="747" spans="2:11">
      <c r="B747" s="127" t="s">
        <v>680</v>
      </c>
      <c r="C747" s="2"/>
      <c r="D747" s="2"/>
      <c r="E747" s="2"/>
      <c r="F747" s="2"/>
      <c r="G747" s="2"/>
      <c r="H747" s="2"/>
      <c r="I747" s="2"/>
      <c r="J747" s="2"/>
      <c r="K747" s="2"/>
    </row>
    <row r="748" spans="2:11" ht="20.100000000000001" customHeight="1">
      <c r="B748" s="384" t="s">
        <v>681</v>
      </c>
      <c r="C748" s="2">
        <f>C494</f>
        <v>1369150</v>
      </c>
      <c r="D748" s="2">
        <f t="shared" ref="D748:K748" si="77">D494</f>
        <v>1372091</v>
      </c>
      <c r="E748" s="2">
        <f t="shared" si="77"/>
        <v>1403263</v>
      </c>
      <c r="F748" s="2">
        <f t="shared" si="77"/>
        <v>1402659</v>
      </c>
      <c r="G748" s="2">
        <f t="shared" si="77"/>
        <v>1464606</v>
      </c>
      <c r="H748" s="2">
        <f t="shared" si="77"/>
        <v>1482968</v>
      </c>
      <c r="I748" s="2">
        <f t="shared" si="77"/>
        <v>1526762</v>
      </c>
      <c r="J748" s="2">
        <f t="shared" si="77"/>
        <v>1553892</v>
      </c>
      <c r="K748" s="2">
        <f t="shared" si="77"/>
        <v>1575253</v>
      </c>
    </row>
    <row r="749" spans="2:11" ht="20.100000000000001" customHeight="1">
      <c r="B749" s="384" t="s">
        <v>682</v>
      </c>
      <c r="C749" s="2">
        <f>C495</f>
        <v>26475</v>
      </c>
      <c r="D749" s="2">
        <f t="shared" ref="D749:K749" si="78">D495</f>
        <v>18958</v>
      </c>
      <c r="E749" s="2">
        <f t="shared" si="78"/>
        <v>22450</v>
      </c>
      <c r="F749" s="2">
        <f t="shared" si="78"/>
        <v>18388</v>
      </c>
      <c r="G749" s="2">
        <f t="shared" si="78"/>
        <v>18350</v>
      </c>
      <c r="H749" s="2">
        <f t="shared" si="78"/>
        <v>18350</v>
      </c>
      <c r="I749" s="2">
        <f t="shared" si="78"/>
        <v>18350</v>
      </c>
      <c r="J749" s="2">
        <f t="shared" si="78"/>
        <v>18350</v>
      </c>
      <c r="K749" s="2">
        <f t="shared" si="78"/>
        <v>18350</v>
      </c>
    </row>
    <row r="750" spans="2:11" ht="20.100000000000001" customHeight="1">
      <c r="B750" s="385" t="s">
        <v>683</v>
      </c>
      <c r="C750" s="2">
        <f>C542</f>
        <v>36100</v>
      </c>
      <c r="D750" s="2">
        <f t="shared" ref="D750:K750" si="79">D542</f>
        <v>53650</v>
      </c>
      <c r="E750" s="2">
        <f t="shared" si="79"/>
        <v>35000</v>
      </c>
      <c r="F750" s="2">
        <f t="shared" si="79"/>
        <v>70000</v>
      </c>
      <c r="G750" s="2">
        <f t="shared" si="79"/>
        <v>43200</v>
      </c>
      <c r="H750" s="2">
        <f t="shared" si="79"/>
        <v>39600</v>
      </c>
      <c r="I750" s="2">
        <f t="shared" si="79"/>
        <v>39600</v>
      </c>
      <c r="J750" s="2">
        <f t="shared" si="79"/>
        <v>39600</v>
      </c>
      <c r="K750" s="2">
        <f t="shared" si="79"/>
        <v>39600</v>
      </c>
    </row>
    <row r="751" spans="2:11" ht="20.100000000000001" customHeight="1">
      <c r="B751" s="385" t="s">
        <v>684</v>
      </c>
      <c r="C751" s="2">
        <f>C496</f>
        <v>8081</v>
      </c>
      <c r="D751" s="2">
        <f t="shared" ref="D751:K751" si="80">D496</f>
        <v>7355</v>
      </c>
      <c r="E751" s="2">
        <f t="shared" si="80"/>
        <v>8000</v>
      </c>
      <c r="F751" s="2">
        <f t="shared" si="80"/>
        <v>9000</v>
      </c>
      <c r="G751" s="2">
        <f t="shared" si="80"/>
        <v>8500</v>
      </c>
      <c r="H751" s="2">
        <f t="shared" si="80"/>
        <v>8500</v>
      </c>
      <c r="I751" s="2">
        <f t="shared" si="80"/>
        <v>8500</v>
      </c>
      <c r="J751" s="2">
        <f t="shared" si="80"/>
        <v>8500</v>
      </c>
      <c r="K751" s="2">
        <f t="shared" si="80"/>
        <v>8500</v>
      </c>
    </row>
    <row r="752" spans="2:11" ht="20.100000000000001" customHeight="1">
      <c r="B752" s="385" t="s">
        <v>685</v>
      </c>
      <c r="C752" s="2">
        <f>C497</f>
        <v>9191</v>
      </c>
      <c r="D752" s="2">
        <f t="shared" ref="D752:K752" si="81">D497</f>
        <v>10208</v>
      </c>
      <c r="E752" s="2">
        <f t="shared" si="81"/>
        <v>10000</v>
      </c>
      <c r="F752" s="2">
        <f t="shared" si="81"/>
        <v>13300</v>
      </c>
      <c r="G752" s="2">
        <f t="shared" si="81"/>
        <v>11500</v>
      </c>
      <c r="H752" s="2">
        <f t="shared" si="81"/>
        <v>11500</v>
      </c>
      <c r="I752" s="2">
        <f t="shared" si="81"/>
        <v>11500</v>
      </c>
      <c r="J752" s="2">
        <f t="shared" si="81"/>
        <v>11500</v>
      </c>
      <c r="K752" s="2">
        <f t="shared" si="81"/>
        <v>11500</v>
      </c>
    </row>
    <row r="753" spans="2:11" ht="20.100000000000001" customHeight="1">
      <c r="B753" s="385" t="s">
        <v>686</v>
      </c>
      <c r="C753" s="2">
        <f t="shared" ref="C753:K753" si="82">C498+C543</f>
        <v>567</v>
      </c>
      <c r="D753" s="2">
        <f t="shared" si="82"/>
        <v>1606</v>
      </c>
      <c r="E753" s="2">
        <f t="shared" si="82"/>
        <v>810</v>
      </c>
      <c r="F753" s="2">
        <f t="shared" si="82"/>
        <v>2010</v>
      </c>
      <c r="G753" s="2">
        <f t="shared" si="82"/>
        <v>1760</v>
      </c>
      <c r="H753" s="2">
        <f t="shared" si="82"/>
        <v>1560</v>
      </c>
      <c r="I753" s="2">
        <f t="shared" si="82"/>
        <v>1410</v>
      </c>
      <c r="J753" s="2">
        <f t="shared" si="82"/>
        <v>1310</v>
      </c>
      <c r="K753" s="2">
        <f t="shared" si="82"/>
        <v>1210</v>
      </c>
    </row>
    <row r="754" spans="2:11" ht="20.100000000000001" customHeight="1">
      <c r="B754" s="385" t="s">
        <v>687</v>
      </c>
      <c r="C754" s="2">
        <f>'Budget Detail FY 2016-23'!L890</f>
        <v>0</v>
      </c>
      <c r="D754" s="2">
        <f>'Budget Detail FY 2016-23'!M890</f>
        <v>2141</v>
      </c>
      <c r="E754" s="2">
        <f>'Budget Detail FY 2016-23'!N890</f>
        <v>0</v>
      </c>
      <c r="F754" s="2">
        <f>'Budget Detail FY 2016-23'!O890</f>
        <v>691</v>
      </c>
      <c r="G754" s="2">
        <f>'Budget Detail FY 2016-23'!P890</f>
        <v>0</v>
      </c>
      <c r="H754" s="2">
        <f>'Budget Detail FY 2016-23'!Q890</f>
        <v>0</v>
      </c>
      <c r="I754" s="2">
        <f>'Budget Detail FY 2016-23'!R890</f>
        <v>0</v>
      </c>
      <c r="J754" s="2">
        <f>'Budget Detail FY 2016-23'!S890</f>
        <v>0</v>
      </c>
      <c r="K754" s="2">
        <f>'Budget Detail FY 2016-23'!T890</f>
        <v>0</v>
      </c>
    </row>
    <row r="755" spans="2:11" ht="20.100000000000001" customHeight="1">
      <c r="B755" s="385" t="s">
        <v>688</v>
      </c>
      <c r="C755" s="2">
        <f t="shared" ref="C755:K755" si="83">C500+C544</f>
        <v>5250</v>
      </c>
      <c r="D755" s="2">
        <f t="shared" si="83"/>
        <v>7229</v>
      </c>
      <c r="E755" s="2">
        <f t="shared" si="83"/>
        <v>5500</v>
      </c>
      <c r="F755" s="2">
        <f t="shared" si="83"/>
        <v>6750</v>
      </c>
      <c r="G755" s="2">
        <f t="shared" si="83"/>
        <v>6750</v>
      </c>
      <c r="H755" s="2">
        <f t="shared" si="83"/>
        <v>6750</v>
      </c>
      <c r="I755" s="2">
        <f t="shared" si="83"/>
        <v>6750</v>
      </c>
      <c r="J755" s="2">
        <f t="shared" si="83"/>
        <v>6750</v>
      </c>
      <c r="K755" s="2">
        <f t="shared" si="83"/>
        <v>6750</v>
      </c>
    </row>
    <row r="756" spans="2:11" ht="20.100000000000001" customHeight="1">
      <c r="B756" s="387" t="s">
        <v>689</v>
      </c>
      <c r="C756" s="2">
        <f>C501</f>
        <v>25928</v>
      </c>
      <c r="D756" s="2">
        <f t="shared" ref="D756:K756" si="84">D501</f>
        <v>24044</v>
      </c>
      <c r="E756" s="2">
        <f t="shared" si="84"/>
        <v>26440</v>
      </c>
      <c r="F756" s="2">
        <f t="shared" si="84"/>
        <v>23793</v>
      </c>
      <c r="G756" s="2">
        <f t="shared" si="84"/>
        <v>25179</v>
      </c>
      <c r="H756" s="2">
        <f t="shared" si="84"/>
        <v>26645</v>
      </c>
      <c r="I756" s="2">
        <f t="shared" si="84"/>
        <v>28199</v>
      </c>
      <c r="J756" s="2">
        <f t="shared" si="84"/>
        <v>29846</v>
      </c>
      <c r="K756" s="2">
        <f t="shared" si="84"/>
        <v>31592</v>
      </c>
    </row>
    <row r="757" spans="2:11" ht="20.100000000000001" customHeight="1" thickBot="1">
      <c r="B757" s="126" t="s">
        <v>690</v>
      </c>
      <c r="C757" s="123">
        <f t="shared" ref="C757:K757" si="85">SUM(C748:C756)</f>
        <v>1480742</v>
      </c>
      <c r="D757" s="123">
        <f t="shared" si="85"/>
        <v>1497282</v>
      </c>
      <c r="E757" s="123">
        <f t="shared" si="85"/>
        <v>1511463</v>
      </c>
      <c r="F757" s="123">
        <f t="shared" si="85"/>
        <v>1546591</v>
      </c>
      <c r="G757" s="123">
        <f t="shared" si="85"/>
        <v>1579845</v>
      </c>
      <c r="H757" s="123">
        <f t="shared" si="85"/>
        <v>1595873</v>
      </c>
      <c r="I757" s="123">
        <f t="shared" si="85"/>
        <v>1641071</v>
      </c>
      <c r="J757" s="123">
        <f t="shared" si="85"/>
        <v>1669748</v>
      </c>
      <c r="K757" s="123">
        <f t="shared" si="85"/>
        <v>1692755</v>
      </c>
    </row>
    <row r="758" spans="2:11" ht="7.5" customHeight="1">
      <c r="B758" s="1"/>
      <c r="C758" s="2"/>
      <c r="D758" s="2"/>
      <c r="E758" s="2"/>
      <c r="F758" s="2"/>
      <c r="G758" s="2"/>
      <c r="H758" s="2"/>
      <c r="I758" s="2"/>
      <c r="J758" s="2"/>
      <c r="K758" s="2"/>
    </row>
    <row r="759" spans="2:11">
      <c r="B759" s="127" t="s">
        <v>484</v>
      </c>
      <c r="C759" s="2"/>
      <c r="D759" s="2"/>
      <c r="E759" s="2"/>
      <c r="F759" s="2"/>
      <c r="G759" s="2"/>
      <c r="H759" s="2"/>
      <c r="I759" s="2"/>
      <c r="J759" s="2"/>
      <c r="K759" s="2"/>
    </row>
    <row r="760" spans="2:11" ht="20.100000000000001" customHeight="1">
      <c r="B760" s="386" t="s">
        <v>691</v>
      </c>
      <c r="C760" s="2">
        <f>C505</f>
        <v>391904</v>
      </c>
      <c r="D760" s="2">
        <f t="shared" ref="D760:K760" si="86">D505</f>
        <v>411502</v>
      </c>
      <c r="E760" s="2">
        <f t="shared" si="86"/>
        <v>456517</v>
      </c>
      <c r="F760" s="2">
        <f t="shared" si="86"/>
        <v>405000</v>
      </c>
      <c r="G760" s="2">
        <f t="shared" si="86"/>
        <v>422698</v>
      </c>
      <c r="H760" s="2">
        <f t="shared" si="86"/>
        <v>435379</v>
      </c>
      <c r="I760" s="2">
        <f t="shared" si="86"/>
        <v>448440</v>
      </c>
      <c r="J760" s="2">
        <f t="shared" si="86"/>
        <v>461894</v>
      </c>
      <c r="K760" s="2">
        <f t="shared" si="86"/>
        <v>475750</v>
      </c>
    </row>
    <row r="761" spans="2:11" ht="20.100000000000001" customHeight="1">
      <c r="B761" s="386" t="s">
        <v>692</v>
      </c>
      <c r="C761" s="2">
        <f>C506</f>
        <v>151698</v>
      </c>
      <c r="D761" s="2">
        <f t="shared" ref="D761:K761" si="87">D506</f>
        <v>158182</v>
      </c>
      <c r="E761" s="2">
        <f t="shared" si="87"/>
        <v>180757</v>
      </c>
      <c r="F761" s="2">
        <f t="shared" si="87"/>
        <v>151460</v>
      </c>
      <c r="G761" s="2">
        <f t="shared" si="87"/>
        <v>166150</v>
      </c>
      <c r="H761" s="2">
        <f t="shared" si="87"/>
        <v>176569</v>
      </c>
      <c r="I761" s="2">
        <f t="shared" si="87"/>
        <v>187744</v>
      </c>
      <c r="J761" s="2">
        <f t="shared" si="87"/>
        <v>199742</v>
      </c>
      <c r="K761" s="2">
        <f t="shared" si="87"/>
        <v>212575</v>
      </c>
    </row>
    <row r="762" spans="2:11" ht="20.100000000000001" customHeight="1">
      <c r="B762" s="386" t="s">
        <v>693</v>
      </c>
      <c r="C762" s="2">
        <f t="shared" ref="C762:K762" si="88">C507+C548</f>
        <v>98854</v>
      </c>
      <c r="D762" s="2">
        <f t="shared" si="88"/>
        <v>108253</v>
      </c>
      <c r="E762" s="2">
        <f t="shared" si="88"/>
        <v>145380</v>
      </c>
      <c r="F762" s="2">
        <f t="shared" si="88"/>
        <v>145889</v>
      </c>
      <c r="G762" s="2">
        <f t="shared" si="88"/>
        <v>149340</v>
      </c>
      <c r="H762" s="2">
        <f t="shared" si="88"/>
        <v>147912</v>
      </c>
      <c r="I762" s="2">
        <f t="shared" si="88"/>
        <v>148519</v>
      </c>
      <c r="J762" s="2">
        <f t="shared" si="88"/>
        <v>149162</v>
      </c>
      <c r="K762" s="2">
        <f t="shared" si="88"/>
        <v>149844</v>
      </c>
    </row>
    <row r="763" spans="2:11" ht="20.100000000000001" customHeight="1">
      <c r="B763" s="386" t="s">
        <v>694</v>
      </c>
      <c r="C763" s="2">
        <f t="shared" ref="C763:K763" si="89">C508+C549</f>
        <v>53675</v>
      </c>
      <c r="D763" s="2">
        <f t="shared" si="89"/>
        <v>71778</v>
      </c>
      <c r="E763" s="2">
        <f t="shared" si="89"/>
        <v>52500</v>
      </c>
      <c r="F763" s="2">
        <f t="shared" si="89"/>
        <v>67250</v>
      </c>
      <c r="G763" s="2">
        <f t="shared" si="89"/>
        <v>69800</v>
      </c>
      <c r="H763" s="2">
        <f t="shared" si="89"/>
        <v>69800</v>
      </c>
      <c r="I763" s="2">
        <f t="shared" si="89"/>
        <v>69800</v>
      </c>
      <c r="J763" s="2">
        <f t="shared" si="89"/>
        <v>69800</v>
      </c>
      <c r="K763" s="2">
        <f t="shared" si="89"/>
        <v>69800</v>
      </c>
    </row>
    <row r="764" spans="2:11" ht="20.100000000000001" customHeight="1">
      <c r="B764" s="387" t="s">
        <v>626</v>
      </c>
      <c r="C764" s="2">
        <f>C509</f>
        <v>749846</v>
      </c>
      <c r="D764" s="2">
        <f t="shared" ref="D764:K764" si="90">D509</f>
        <v>752771</v>
      </c>
      <c r="E764" s="2">
        <f t="shared" si="90"/>
        <v>760396</v>
      </c>
      <c r="F764" s="2">
        <f t="shared" si="90"/>
        <v>760396</v>
      </c>
      <c r="G764" s="2">
        <f t="shared" si="90"/>
        <v>792101</v>
      </c>
      <c r="H764" s="2">
        <f t="shared" si="90"/>
        <v>797013</v>
      </c>
      <c r="I764" s="2">
        <f t="shared" si="90"/>
        <v>827088</v>
      </c>
      <c r="J764" s="2">
        <f t="shared" si="90"/>
        <v>840225</v>
      </c>
      <c r="K764" s="2">
        <f t="shared" si="90"/>
        <v>847313</v>
      </c>
    </row>
    <row r="765" spans="2:11" ht="20.100000000000001" customHeight="1" thickBot="1">
      <c r="B765" s="126" t="s">
        <v>697</v>
      </c>
      <c r="C765" s="123">
        <f t="shared" ref="C765:K765" si="91">SUM(C760:C764)</f>
        <v>1445977</v>
      </c>
      <c r="D765" s="123">
        <f t="shared" si="91"/>
        <v>1502486</v>
      </c>
      <c r="E765" s="123">
        <f t="shared" si="91"/>
        <v>1595550</v>
      </c>
      <c r="F765" s="123">
        <f t="shared" si="91"/>
        <v>1529995</v>
      </c>
      <c r="G765" s="123">
        <f t="shared" si="91"/>
        <v>1600089</v>
      </c>
      <c r="H765" s="123">
        <f t="shared" si="91"/>
        <v>1626673</v>
      </c>
      <c r="I765" s="123">
        <f t="shared" si="91"/>
        <v>1681591</v>
      </c>
      <c r="J765" s="123">
        <f t="shared" si="91"/>
        <v>1720823</v>
      </c>
      <c r="K765" s="123">
        <f t="shared" si="91"/>
        <v>1755282</v>
      </c>
    </row>
    <row r="766" spans="2:11" ht="7.5" customHeight="1">
      <c r="B766" s="129"/>
      <c r="C766" s="3"/>
      <c r="D766" s="2"/>
      <c r="E766" s="2"/>
      <c r="F766" s="2"/>
      <c r="G766" s="2"/>
      <c r="H766" s="2"/>
      <c r="I766" s="2"/>
      <c r="J766" s="2"/>
      <c r="K766" s="2"/>
    </row>
    <row r="767" spans="2:11" ht="20.100000000000001" customHeight="1">
      <c r="B767" s="388" t="s">
        <v>698</v>
      </c>
      <c r="C767" s="3">
        <f t="shared" ref="C767:K767" si="92">+C757-C765</f>
        <v>34765</v>
      </c>
      <c r="D767" s="3">
        <f t="shared" si="92"/>
        <v>-5204</v>
      </c>
      <c r="E767" s="3">
        <f t="shared" si="92"/>
        <v>-84087</v>
      </c>
      <c r="F767" s="3">
        <f t="shared" si="92"/>
        <v>16596</v>
      </c>
      <c r="G767" s="3">
        <f t="shared" si="92"/>
        <v>-20244</v>
      </c>
      <c r="H767" s="3">
        <f t="shared" si="92"/>
        <v>-30800</v>
      </c>
      <c r="I767" s="3">
        <f t="shared" si="92"/>
        <v>-40520</v>
      </c>
      <c r="J767" s="3">
        <f t="shared" si="92"/>
        <v>-51075</v>
      </c>
      <c r="K767" s="3">
        <f t="shared" si="92"/>
        <v>-62527</v>
      </c>
    </row>
    <row r="768" spans="2:11" ht="7.5" customHeight="1">
      <c r="B768" s="130"/>
      <c r="C768" s="3"/>
      <c r="D768" s="2"/>
      <c r="E768" s="2"/>
      <c r="F768" s="2"/>
      <c r="G768" s="2"/>
      <c r="H768" s="2"/>
      <c r="I768" s="2"/>
      <c r="J768" s="2"/>
      <c r="K768" s="2"/>
    </row>
    <row r="769" spans="2:11" ht="20.100000000000001" customHeight="1" thickBot="1">
      <c r="B769" s="125" t="s">
        <v>699</v>
      </c>
      <c r="C769" s="80">
        <v>514162</v>
      </c>
      <c r="D769" s="80">
        <v>508961</v>
      </c>
      <c r="E769" s="80">
        <v>420471</v>
      </c>
      <c r="F769" s="80">
        <f>D769+F767</f>
        <v>525557</v>
      </c>
      <c r="G769" s="80">
        <f>F769+G767</f>
        <v>505313</v>
      </c>
      <c r="H769" s="80">
        <f>G769+H767</f>
        <v>474513</v>
      </c>
      <c r="I769" s="80">
        <f>H769+I767</f>
        <v>433993</v>
      </c>
      <c r="J769" s="80">
        <f>I769+J767</f>
        <v>382918</v>
      </c>
      <c r="K769" s="80">
        <f>J769+K767</f>
        <v>320391</v>
      </c>
    </row>
    <row r="770" spans="2:11" ht="15.75" thickTop="1">
      <c r="B770" s="131"/>
      <c r="C770" s="132">
        <f t="shared" ref="C770:K770" si="93">+C769/C765</f>
        <v>0.35558103621288584</v>
      </c>
      <c r="D770" s="132">
        <f t="shared" si="93"/>
        <v>0.33874591843118673</v>
      </c>
      <c r="E770" s="132">
        <f t="shared" si="93"/>
        <v>0.2635273103318605</v>
      </c>
      <c r="F770" s="132">
        <f t="shared" si="93"/>
        <v>0.34350242974650241</v>
      </c>
      <c r="G770" s="132">
        <f t="shared" si="93"/>
        <v>0.31580305845487344</v>
      </c>
      <c r="H770" s="132">
        <f t="shared" si="93"/>
        <v>0.29170767572831169</v>
      </c>
      <c r="I770" s="132">
        <f t="shared" si="93"/>
        <v>0.25808475425950783</v>
      </c>
      <c r="J770" s="132">
        <f t="shared" si="93"/>
        <v>0.22252027082390227</v>
      </c>
      <c r="K770" s="132">
        <f t="shared" si="93"/>
        <v>0.18252964480921013</v>
      </c>
    </row>
    <row r="771" spans="2:11">
      <c r="B771" s="131"/>
      <c r="C771" s="132"/>
      <c r="D771" s="132"/>
      <c r="E771" s="132"/>
      <c r="F771" s="132"/>
      <c r="G771" s="132"/>
      <c r="H771" s="132"/>
      <c r="I771" s="132"/>
      <c r="J771" s="132"/>
      <c r="K771" s="132"/>
    </row>
    <row r="772" spans="2:11" ht="7.5" customHeight="1">
      <c r="B772" s="131"/>
      <c r="C772" s="141"/>
      <c r="D772" s="141"/>
      <c r="E772" s="141"/>
      <c r="F772" s="141"/>
      <c r="G772" s="141"/>
      <c r="H772" s="141"/>
      <c r="I772" s="141"/>
      <c r="J772" s="141"/>
      <c r="K772" s="141"/>
    </row>
    <row r="773" spans="2:11">
      <c r="B773" s="131"/>
      <c r="C773" s="2"/>
      <c r="D773" s="2"/>
      <c r="E773" s="2"/>
      <c r="F773" s="2"/>
      <c r="G773" s="2"/>
      <c r="H773" s="2"/>
      <c r="I773" s="2"/>
      <c r="J773" s="2"/>
      <c r="K773" s="2"/>
    </row>
    <row r="774" spans="2:11">
      <c r="B774" s="1"/>
      <c r="C774" s="2"/>
      <c r="D774" s="2"/>
      <c r="E774" s="2"/>
      <c r="F774" s="2"/>
      <c r="G774" s="2"/>
      <c r="H774" s="2"/>
      <c r="I774" s="2"/>
      <c r="J774" s="2"/>
      <c r="K774" s="2"/>
    </row>
    <row r="775" spans="2:11">
      <c r="B775" s="1"/>
      <c r="C775" s="2"/>
      <c r="D775" s="2"/>
      <c r="E775" s="2"/>
      <c r="F775" s="2"/>
      <c r="G775" s="2"/>
      <c r="H775" s="2"/>
      <c r="I775" s="2"/>
      <c r="J775" s="2"/>
      <c r="K775" s="2"/>
    </row>
    <row r="776" spans="2:11">
      <c r="B776" s="1"/>
      <c r="C776" s="2"/>
      <c r="D776" s="2"/>
      <c r="E776" s="2"/>
      <c r="F776" s="2"/>
      <c r="G776" s="2"/>
      <c r="H776" s="2"/>
      <c r="I776" s="2"/>
      <c r="J776" s="2"/>
      <c r="K776" s="2"/>
    </row>
    <row r="777" spans="2:11">
      <c r="B777" s="1"/>
      <c r="C777" s="2"/>
      <c r="D777" s="2"/>
      <c r="E777" s="2"/>
      <c r="F777" s="2"/>
      <c r="G777" s="2"/>
      <c r="H777" s="2"/>
      <c r="I777" s="2"/>
      <c r="J777" s="2"/>
      <c r="K777" s="2"/>
    </row>
    <row r="778" spans="2:11">
      <c r="B778" s="1"/>
      <c r="C778" s="2"/>
      <c r="D778" s="2"/>
      <c r="E778" s="2"/>
      <c r="F778" s="2"/>
      <c r="G778" s="2"/>
      <c r="H778" s="2"/>
      <c r="I778" s="2"/>
      <c r="J778" s="2"/>
      <c r="K778" s="2"/>
    </row>
    <row r="779" spans="2:11">
      <c r="B779" s="1"/>
      <c r="C779" s="2"/>
      <c r="D779" s="2"/>
      <c r="E779" s="2"/>
      <c r="F779" s="2"/>
      <c r="G779" s="2"/>
      <c r="H779" s="2"/>
      <c r="I779" s="2"/>
      <c r="J779" s="2"/>
      <c r="K779" s="2"/>
    </row>
    <row r="780" spans="2:11">
      <c r="B780" s="1"/>
      <c r="C780" s="2"/>
      <c r="D780" s="2"/>
      <c r="E780" s="2"/>
      <c r="F780" s="2"/>
      <c r="G780" s="2"/>
      <c r="H780" s="2"/>
      <c r="I780" s="2"/>
      <c r="J780" s="2"/>
      <c r="K780" s="2"/>
    </row>
    <row r="781" spans="2:11">
      <c r="B781" s="1"/>
      <c r="C781" s="2"/>
      <c r="D781" s="2"/>
      <c r="E781" s="2"/>
      <c r="F781" s="2"/>
      <c r="G781" s="2"/>
      <c r="H781" s="2"/>
      <c r="I781" s="2"/>
      <c r="J781" s="2"/>
      <c r="K781" s="2"/>
    </row>
    <row r="782" spans="2:11">
      <c r="B782" s="1"/>
      <c r="C782" s="2"/>
      <c r="D782" s="2"/>
      <c r="E782" s="2"/>
      <c r="F782" s="2"/>
      <c r="G782" s="2"/>
      <c r="H782" s="2"/>
      <c r="I782" s="2"/>
      <c r="J782" s="2"/>
      <c r="K782" s="2"/>
    </row>
    <row r="783" spans="2:11">
      <c r="B783" s="1"/>
      <c r="C783" s="2"/>
      <c r="D783" s="2"/>
      <c r="E783" s="2"/>
      <c r="F783" s="2"/>
      <c r="G783" s="2"/>
      <c r="H783" s="2"/>
      <c r="I783" s="2"/>
      <c r="J783" s="2"/>
      <c r="K783" s="2"/>
    </row>
    <row r="784" spans="2:11">
      <c r="B784" s="1"/>
      <c r="C784" s="2"/>
      <c r="D784" s="2"/>
      <c r="E784" s="2"/>
      <c r="F784" s="2"/>
      <c r="G784" s="2"/>
      <c r="H784" s="2"/>
      <c r="I784" s="2"/>
      <c r="J784" s="2"/>
      <c r="K784" s="2"/>
    </row>
    <row r="785" spans="2:11">
      <c r="B785" s="1"/>
      <c r="C785" s="2"/>
      <c r="D785" s="2"/>
      <c r="E785" s="2"/>
      <c r="F785" s="2"/>
      <c r="G785" s="2"/>
      <c r="H785" s="2"/>
      <c r="I785" s="2"/>
      <c r="J785" s="2"/>
      <c r="K785" s="2"/>
    </row>
    <row r="786" spans="2:11">
      <c r="B786" s="895" t="s">
        <v>943</v>
      </c>
      <c r="C786" s="895"/>
      <c r="D786" s="895"/>
      <c r="E786" s="895"/>
      <c r="F786" s="895"/>
      <c r="G786" s="895"/>
      <c r="H786" s="895"/>
      <c r="I786" s="895"/>
      <c r="J786" s="895"/>
      <c r="K786" s="895"/>
    </row>
    <row r="787" spans="2:11" ht="7.5" customHeight="1">
      <c r="B787" s="64"/>
      <c r="C787" s="3"/>
      <c r="D787" s="2"/>
      <c r="E787" s="2"/>
      <c r="F787" s="2"/>
      <c r="G787" s="2"/>
      <c r="H787" s="2"/>
      <c r="I787" s="2"/>
      <c r="J787" s="2"/>
      <c r="K787" s="2"/>
    </row>
    <row r="788" spans="2:11">
      <c r="B788" s="886" t="s">
        <v>1323</v>
      </c>
      <c r="C788" s="886"/>
      <c r="D788" s="886"/>
      <c r="E788" s="886"/>
      <c r="F788" s="886"/>
      <c r="G788" s="886"/>
      <c r="H788" s="886"/>
      <c r="I788" s="886"/>
      <c r="J788" s="886"/>
      <c r="K788" s="886"/>
    </row>
    <row r="789" spans="2:11">
      <c r="B789" s="886"/>
      <c r="C789" s="886"/>
      <c r="D789" s="886"/>
      <c r="E789" s="886"/>
      <c r="F789" s="886"/>
      <c r="G789" s="886"/>
      <c r="H789" s="886"/>
      <c r="I789" s="886"/>
      <c r="J789" s="886"/>
      <c r="K789" s="886"/>
    </row>
    <row r="790" spans="2:11">
      <c r="B790" s="886"/>
      <c r="C790" s="886"/>
      <c r="D790" s="886"/>
      <c r="E790" s="886"/>
      <c r="F790" s="886"/>
      <c r="G790" s="886"/>
      <c r="H790" s="886"/>
      <c r="I790" s="886"/>
      <c r="J790" s="886"/>
      <c r="K790" s="886"/>
    </row>
    <row r="791" spans="2:11">
      <c r="B791" s="886"/>
      <c r="C791" s="886"/>
      <c r="D791" s="886"/>
      <c r="E791" s="886"/>
      <c r="F791" s="886"/>
      <c r="G791" s="886"/>
      <c r="H791" s="886"/>
      <c r="I791" s="886"/>
      <c r="J791" s="886"/>
      <c r="K791" s="886"/>
    </row>
    <row r="792" spans="2:11">
      <c r="B792" s="5"/>
      <c r="C792" s="64"/>
      <c r="D792" s="65"/>
      <c r="E792" s="65" t="s">
        <v>834</v>
      </c>
      <c r="F792" s="1"/>
      <c r="G792" s="1"/>
      <c r="H792" s="1"/>
      <c r="I792" s="1"/>
      <c r="J792" s="1"/>
      <c r="K792" s="1"/>
    </row>
    <row r="793" spans="2:11">
      <c r="B793" s="65"/>
      <c r="C793" s="64" t="s">
        <v>243</v>
      </c>
      <c r="D793" s="64" t="s">
        <v>244</v>
      </c>
      <c r="E793" s="65" t="s">
        <v>679</v>
      </c>
      <c r="F793" s="65" t="s">
        <v>834</v>
      </c>
      <c r="G793" s="65" t="s">
        <v>915</v>
      </c>
      <c r="H793" s="65" t="s">
        <v>946</v>
      </c>
      <c r="I793" s="65" t="s">
        <v>947</v>
      </c>
      <c r="J793" s="65" t="s">
        <v>948</v>
      </c>
      <c r="K793" s="65" t="s">
        <v>949</v>
      </c>
    </row>
    <row r="794" spans="2:11" ht="15.75" thickBot="1">
      <c r="B794" s="135"/>
      <c r="C794" s="67" t="s">
        <v>1</v>
      </c>
      <c r="D794" s="67" t="s">
        <v>1</v>
      </c>
      <c r="E794" s="67" t="s">
        <v>638</v>
      </c>
      <c r="F794" s="67" t="s">
        <v>19</v>
      </c>
      <c r="G794" s="67" t="s">
        <v>679</v>
      </c>
      <c r="H794" s="67" t="s">
        <v>19</v>
      </c>
      <c r="I794" s="67" t="s">
        <v>19</v>
      </c>
      <c r="J794" s="67" t="s">
        <v>19</v>
      </c>
      <c r="K794" s="67" t="s">
        <v>19</v>
      </c>
    </row>
    <row r="795" spans="2:11">
      <c r="B795" s="63"/>
      <c r="C795" s="136"/>
      <c r="D795" s="2"/>
      <c r="E795" s="2"/>
      <c r="F795" s="2"/>
      <c r="G795" s="2"/>
      <c r="H795" s="2"/>
      <c r="I795" s="2"/>
      <c r="J795" s="2"/>
      <c r="K795" s="2"/>
    </row>
    <row r="796" spans="2:11">
      <c r="B796" s="127" t="s">
        <v>680</v>
      </c>
      <c r="C796" s="2"/>
      <c r="D796" s="2"/>
      <c r="E796" s="2"/>
      <c r="F796" s="2"/>
      <c r="G796" s="2"/>
      <c r="H796" s="2"/>
      <c r="I796" s="2"/>
      <c r="J796" s="2"/>
      <c r="K796" s="2"/>
    </row>
    <row r="797" spans="2:11" ht="20.100000000000001" customHeight="1">
      <c r="B797" s="384" t="s">
        <v>682</v>
      </c>
      <c r="C797" s="2">
        <f>C452</f>
        <v>0</v>
      </c>
      <c r="D797" s="2">
        <f t="shared" ref="D797:K797" si="94">D452</f>
        <v>0</v>
      </c>
      <c r="E797" s="2">
        <f t="shared" si="94"/>
        <v>0</v>
      </c>
      <c r="F797" s="2">
        <f t="shared" si="94"/>
        <v>0</v>
      </c>
      <c r="G797" s="2">
        <f t="shared" si="94"/>
        <v>81815</v>
      </c>
      <c r="H797" s="2">
        <f t="shared" si="94"/>
        <v>0</v>
      </c>
      <c r="I797" s="2">
        <f t="shared" si="94"/>
        <v>0</v>
      </c>
      <c r="J797" s="2">
        <f t="shared" si="94"/>
        <v>0</v>
      </c>
      <c r="K797" s="2">
        <f t="shared" si="94"/>
        <v>0</v>
      </c>
    </row>
    <row r="798" spans="2:11" ht="20.100000000000001" customHeight="1">
      <c r="B798" s="385" t="s">
        <v>685</v>
      </c>
      <c r="C798" s="2">
        <f>C453+'Budget Detail FY 2016-23'!L452+'Budget Detail FY 2016-23'!L461</f>
        <v>410094</v>
      </c>
      <c r="D798" s="2">
        <f>D453+'Budget Detail FY 2016-23'!M452+'Budget Detail FY 2016-23'!M461</f>
        <v>533884</v>
      </c>
      <c r="E798" s="2">
        <f>E453+'Budget Detail FY 2016-23'!N452+'Budget Detail FY 2016-23'!N461</f>
        <v>397500</v>
      </c>
      <c r="F798" s="2">
        <f>F453+'Budget Detail FY 2016-23'!O452+'Budget Detail FY 2016-23'!O461</f>
        <v>521186</v>
      </c>
      <c r="G798" s="2">
        <f>G453+'Budget Detail FY 2016-23'!P452+'Budget Detail FY 2016-23'!P461</f>
        <v>436000</v>
      </c>
      <c r="H798" s="2">
        <f>H453+'Budget Detail FY 2016-23'!Q452+'Budget Detail FY 2016-23'!Q461</f>
        <v>435500</v>
      </c>
      <c r="I798" s="2">
        <f>I453+'Budget Detail FY 2016-23'!R452+'Budget Detail FY 2016-23'!R461</f>
        <v>435500</v>
      </c>
      <c r="J798" s="2">
        <f>J453+'Budget Detail FY 2016-23'!S452+'Budget Detail FY 2016-23'!S461</f>
        <v>435500</v>
      </c>
      <c r="K798" s="2">
        <f>K453+'Budget Detail FY 2016-23'!T452+'Budget Detail FY 2016-23'!T461</f>
        <v>435500</v>
      </c>
    </row>
    <row r="799" spans="2:11" ht="20.100000000000001" customHeight="1">
      <c r="B799" s="385" t="s">
        <v>686</v>
      </c>
      <c r="C799" s="2">
        <f>C454+'Budget Detail FY 2016-23'!L463</f>
        <v>412</v>
      </c>
      <c r="D799" s="2">
        <f>D454+'Budget Detail FY 2016-23'!M463</f>
        <v>414</v>
      </c>
      <c r="E799" s="2">
        <f>E454+'Budget Detail FY 2016-23'!N463</f>
        <v>430</v>
      </c>
      <c r="F799" s="2">
        <f>F454+'Budget Detail FY 2016-23'!O463</f>
        <v>650</v>
      </c>
      <c r="G799" s="2">
        <f>G454+'Budget Detail FY 2016-23'!P463</f>
        <v>650</v>
      </c>
      <c r="H799" s="2">
        <f>H454+'Budget Detail FY 2016-23'!Q463</f>
        <v>650</v>
      </c>
      <c r="I799" s="2">
        <f>I454+'Budget Detail FY 2016-23'!R463</f>
        <v>650</v>
      </c>
      <c r="J799" s="2">
        <f>J454+'Budget Detail FY 2016-23'!S463</f>
        <v>650</v>
      </c>
      <c r="K799" s="2">
        <f>K454+'Budget Detail FY 2016-23'!T463</f>
        <v>650</v>
      </c>
    </row>
    <row r="800" spans="2:11" ht="20.100000000000001" customHeight="1">
      <c r="B800" s="385" t="s">
        <v>687</v>
      </c>
      <c r="C800" s="2">
        <f>C455</f>
        <v>12890</v>
      </c>
      <c r="D800" s="2">
        <f t="shared" ref="D800:K800" si="95">D455</f>
        <v>3002</v>
      </c>
      <c r="E800" s="2">
        <f t="shared" si="95"/>
        <v>0</v>
      </c>
      <c r="F800" s="2">
        <f t="shared" si="95"/>
        <v>174</v>
      </c>
      <c r="G800" s="2">
        <f t="shared" si="95"/>
        <v>0</v>
      </c>
      <c r="H800" s="2">
        <f t="shared" si="95"/>
        <v>0</v>
      </c>
      <c r="I800" s="2">
        <f t="shared" si="95"/>
        <v>0</v>
      </c>
      <c r="J800" s="2">
        <f t="shared" si="95"/>
        <v>0</v>
      </c>
      <c r="K800" s="2">
        <f t="shared" si="95"/>
        <v>0</v>
      </c>
    </row>
    <row r="801" spans="2:11" ht="20.100000000000001" customHeight="1">
      <c r="B801" s="385" t="s">
        <v>688</v>
      </c>
      <c r="C801" s="2">
        <f>C456</f>
        <v>219704</v>
      </c>
      <c r="D801" s="2">
        <f t="shared" ref="D801:K801" si="96">D456</f>
        <v>209970</v>
      </c>
      <c r="E801" s="2">
        <f t="shared" si="96"/>
        <v>196000</v>
      </c>
      <c r="F801" s="2">
        <f t="shared" si="96"/>
        <v>232319</v>
      </c>
      <c r="G801" s="2">
        <f t="shared" si="96"/>
        <v>201000</v>
      </c>
      <c r="H801" s="2">
        <f t="shared" si="96"/>
        <v>201000</v>
      </c>
      <c r="I801" s="2">
        <f t="shared" si="96"/>
        <v>201000</v>
      </c>
      <c r="J801" s="2">
        <f t="shared" si="96"/>
        <v>201000</v>
      </c>
      <c r="K801" s="2">
        <f t="shared" si="96"/>
        <v>201000</v>
      </c>
    </row>
    <row r="802" spans="2:11" ht="20.100000000000001" customHeight="1">
      <c r="B802" s="385" t="s">
        <v>689</v>
      </c>
      <c r="C802" s="2">
        <f>C457+'Budget Detail FY 2016-23'!L469</f>
        <v>1077631</v>
      </c>
      <c r="D802" s="2">
        <f>D457+'Budget Detail FY 2016-23'!M469</f>
        <v>1366810</v>
      </c>
      <c r="E802" s="2">
        <f>E457+'Budget Detail FY 2016-23'!N469</f>
        <v>1308583</v>
      </c>
      <c r="F802" s="2">
        <f>F457+'Budget Detail FY 2016-23'!O469</f>
        <v>1308583</v>
      </c>
      <c r="G802" s="2">
        <f>G457+'Budget Detail FY 2016-23'!P469</f>
        <v>1274699</v>
      </c>
      <c r="H802" s="2">
        <f>H457+'Budget Detail FY 2016-23'!Q469</f>
        <v>1480427</v>
      </c>
      <c r="I802" s="2">
        <f>I457+'Budget Detail FY 2016-23'!R469</f>
        <v>1539110</v>
      </c>
      <c r="J802" s="2">
        <f>J457+'Budget Detail FY 2016-23'!S469</f>
        <v>1598596</v>
      </c>
      <c r="K802" s="2">
        <f>K457+'Budget Detail FY 2016-23'!T469</f>
        <v>1671920</v>
      </c>
    </row>
    <row r="803" spans="2:11" ht="20.100000000000001" customHeight="1" thickBot="1">
      <c r="B803" s="126" t="s">
        <v>690</v>
      </c>
      <c r="C803" s="123">
        <f>SUM(C797:C802)</f>
        <v>1720731</v>
      </c>
      <c r="D803" s="123">
        <f t="shared" ref="D803:K803" si="97">SUM(D797:D802)</f>
        <v>2114080</v>
      </c>
      <c r="E803" s="123">
        <f t="shared" si="97"/>
        <v>1902513</v>
      </c>
      <c r="F803" s="123">
        <f t="shared" si="97"/>
        <v>2062912</v>
      </c>
      <c r="G803" s="123">
        <f t="shared" si="97"/>
        <v>1994164</v>
      </c>
      <c r="H803" s="123">
        <f t="shared" si="97"/>
        <v>2117577</v>
      </c>
      <c r="I803" s="123">
        <f t="shared" si="97"/>
        <v>2176260</v>
      </c>
      <c r="J803" s="123">
        <f t="shared" si="97"/>
        <v>2235746</v>
      </c>
      <c r="K803" s="123">
        <f t="shared" si="97"/>
        <v>2309070</v>
      </c>
    </row>
    <row r="804" spans="2:11" ht="7.5" customHeight="1">
      <c r="B804" s="1"/>
      <c r="C804" s="2"/>
      <c r="D804" s="2"/>
      <c r="E804" s="2"/>
      <c r="F804" s="2"/>
      <c r="G804" s="2"/>
      <c r="H804" s="2"/>
      <c r="I804" s="2"/>
      <c r="J804" s="2"/>
      <c r="K804" s="2"/>
    </row>
    <row r="805" spans="2:11">
      <c r="B805" s="127" t="s">
        <v>484</v>
      </c>
      <c r="C805" s="2"/>
      <c r="D805" s="2"/>
      <c r="E805" s="2"/>
      <c r="F805" s="2"/>
      <c r="G805" s="2"/>
      <c r="H805" s="2"/>
      <c r="I805" s="2"/>
      <c r="J805" s="2"/>
      <c r="K805" s="2"/>
    </row>
    <row r="806" spans="2:11" ht="20.100000000000001" customHeight="1">
      <c r="B806" s="386" t="s">
        <v>691</v>
      </c>
      <c r="C806" s="2">
        <f>C461</f>
        <v>723194</v>
      </c>
      <c r="D806" s="2">
        <f t="shared" ref="D806:K806" si="98">D461</f>
        <v>805190</v>
      </c>
      <c r="E806" s="2">
        <f t="shared" si="98"/>
        <v>903518</v>
      </c>
      <c r="F806" s="2">
        <f t="shared" si="98"/>
        <v>883460</v>
      </c>
      <c r="G806" s="2">
        <f t="shared" si="98"/>
        <v>972772</v>
      </c>
      <c r="H806" s="2">
        <f t="shared" si="98"/>
        <v>997066</v>
      </c>
      <c r="I806" s="2">
        <f t="shared" si="98"/>
        <v>1022088</v>
      </c>
      <c r="J806" s="2">
        <f t="shared" si="98"/>
        <v>1047861</v>
      </c>
      <c r="K806" s="2">
        <f t="shared" si="98"/>
        <v>1074407</v>
      </c>
    </row>
    <row r="807" spans="2:11" ht="20.100000000000001" customHeight="1">
      <c r="B807" s="386" t="s">
        <v>692</v>
      </c>
      <c r="C807" s="2">
        <f>C462</f>
        <v>325538</v>
      </c>
      <c r="D807" s="2">
        <f t="shared" ref="D807:K807" si="99">D462</f>
        <v>365079</v>
      </c>
      <c r="E807" s="2">
        <f t="shared" si="99"/>
        <v>453922</v>
      </c>
      <c r="F807" s="2">
        <f t="shared" si="99"/>
        <v>401188</v>
      </c>
      <c r="G807" s="2">
        <f t="shared" si="99"/>
        <v>432587</v>
      </c>
      <c r="H807" s="2">
        <f t="shared" si="99"/>
        <v>452909</v>
      </c>
      <c r="I807" s="2">
        <f t="shared" si="99"/>
        <v>481147</v>
      </c>
      <c r="J807" s="2">
        <f t="shared" si="99"/>
        <v>511487</v>
      </c>
      <c r="K807" s="2">
        <f t="shared" si="99"/>
        <v>543978</v>
      </c>
    </row>
    <row r="808" spans="2:11" ht="20.100000000000001" customHeight="1">
      <c r="B808" s="386" t="s">
        <v>693</v>
      </c>
      <c r="C808" s="2">
        <f t="shared" ref="C808:K808" si="100">C463+C240</f>
        <v>253357</v>
      </c>
      <c r="D808" s="2">
        <f t="shared" si="100"/>
        <v>313168</v>
      </c>
      <c r="E808" s="2">
        <f t="shared" si="100"/>
        <v>274720</v>
      </c>
      <c r="F808" s="2">
        <f t="shared" si="100"/>
        <v>330131</v>
      </c>
      <c r="G808" s="2">
        <f t="shared" si="100"/>
        <v>294214</v>
      </c>
      <c r="H808" s="2">
        <f t="shared" si="100"/>
        <v>289099</v>
      </c>
      <c r="I808" s="2">
        <f t="shared" si="100"/>
        <v>288960</v>
      </c>
      <c r="J808" s="2">
        <f t="shared" si="100"/>
        <v>290754</v>
      </c>
      <c r="K808" s="2">
        <f t="shared" si="100"/>
        <v>302243</v>
      </c>
    </row>
    <row r="809" spans="2:11" ht="20.100000000000001" customHeight="1">
      <c r="B809" s="386" t="s">
        <v>694</v>
      </c>
      <c r="C809" s="2">
        <f>C464</f>
        <v>474172</v>
      </c>
      <c r="D809" s="2">
        <f t="shared" ref="D809:K809" si="101">D464</f>
        <v>360884</v>
      </c>
      <c r="E809" s="2">
        <f t="shared" si="101"/>
        <v>345151</v>
      </c>
      <c r="F809" s="2">
        <f t="shared" si="101"/>
        <v>407618</v>
      </c>
      <c r="G809" s="2">
        <f t="shared" si="101"/>
        <v>386735</v>
      </c>
      <c r="H809" s="2">
        <f t="shared" si="101"/>
        <v>369511</v>
      </c>
      <c r="I809" s="2">
        <f t="shared" si="101"/>
        <v>370325</v>
      </c>
      <c r="J809" s="2">
        <f t="shared" si="101"/>
        <v>371180</v>
      </c>
      <c r="K809" s="2">
        <f t="shared" si="101"/>
        <v>372078</v>
      </c>
    </row>
    <row r="810" spans="2:11" ht="20.100000000000001" customHeight="1">
      <c r="B810" s="386" t="s">
        <v>695</v>
      </c>
      <c r="C810" s="2">
        <f>C241</f>
        <v>124165</v>
      </c>
      <c r="D810" s="2">
        <f t="shared" ref="D810:K810" si="102">D241</f>
        <v>53908</v>
      </c>
      <c r="E810" s="2">
        <f t="shared" si="102"/>
        <v>270441</v>
      </c>
      <c r="F810" s="2">
        <f t="shared" si="102"/>
        <v>39903</v>
      </c>
      <c r="G810" s="2">
        <f t="shared" si="102"/>
        <v>50000</v>
      </c>
      <c r="H810" s="2">
        <f t="shared" si="102"/>
        <v>0</v>
      </c>
      <c r="I810" s="2">
        <f t="shared" si="102"/>
        <v>0</v>
      </c>
      <c r="J810" s="2">
        <f t="shared" si="102"/>
        <v>0</v>
      </c>
      <c r="K810" s="2">
        <f t="shared" si="102"/>
        <v>0</v>
      </c>
    </row>
    <row r="811" spans="2:11" ht="20.100000000000001" customHeight="1">
      <c r="B811" s="387" t="s">
        <v>626</v>
      </c>
      <c r="C811" s="2">
        <f>C242</f>
        <v>2219</v>
      </c>
      <c r="D811" s="2">
        <f t="shared" ref="D811:K811" si="103">D242</f>
        <v>2219</v>
      </c>
      <c r="E811" s="2">
        <f t="shared" si="103"/>
        <v>2219</v>
      </c>
      <c r="F811" s="2">
        <f t="shared" si="103"/>
        <v>2219</v>
      </c>
      <c r="G811" s="2">
        <f t="shared" si="103"/>
        <v>2219</v>
      </c>
      <c r="H811" s="2">
        <f t="shared" si="103"/>
        <v>2219</v>
      </c>
      <c r="I811" s="2">
        <f t="shared" si="103"/>
        <v>2219</v>
      </c>
      <c r="J811" s="2">
        <f t="shared" si="103"/>
        <v>2218</v>
      </c>
      <c r="K811" s="2">
        <f t="shared" si="103"/>
        <v>2218</v>
      </c>
    </row>
    <row r="812" spans="2:11" ht="20.100000000000001" customHeight="1" thickBot="1">
      <c r="B812" s="126" t="s">
        <v>697</v>
      </c>
      <c r="C812" s="123">
        <f t="shared" ref="C812:K812" si="104">SUM(C806:C811)</f>
        <v>1902645</v>
      </c>
      <c r="D812" s="123">
        <f t="shared" si="104"/>
        <v>1900448</v>
      </c>
      <c r="E812" s="123">
        <f t="shared" si="104"/>
        <v>2249971</v>
      </c>
      <c r="F812" s="123">
        <f t="shared" si="104"/>
        <v>2064519</v>
      </c>
      <c r="G812" s="123">
        <f t="shared" si="104"/>
        <v>2138527</v>
      </c>
      <c r="H812" s="123">
        <f t="shared" si="104"/>
        <v>2110804</v>
      </c>
      <c r="I812" s="123">
        <f t="shared" si="104"/>
        <v>2164739</v>
      </c>
      <c r="J812" s="123">
        <f t="shared" si="104"/>
        <v>2223500</v>
      </c>
      <c r="K812" s="123">
        <f t="shared" si="104"/>
        <v>2294924</v>
      </c>
    </row>
    <row r="813" spans="2:11" ht="7.5" customHeight="1">
      <c r="B813" s="129"/>
      <c r="C813" s="3"/>
      <c r="D813" s="2"/>
      <c r="E813" s="2"/>
      <c r="F813" s="2"/>
      <c r="G813" s="2"/>
      <c r="H813" s="2"/>
      <c r="I813" s="2"/>
      <c r="J813" s="2"/>
      <c r="K813" s="2"/>
    </row>
    <row r="814" spans="2:11" ht="20.100000000000001" customHeight="1">
      <c r="B814" s="388" t="s">
        <v>698</v>
      </c>
      <c r="C814" s="3">
        <f t="shared" ref="C814:K814" si="105">+C803-C812</f>
        <v>-181914</v>
      </c>
      <c r="D814" s="3">
        <f t="shared" si="105"/>
        <v>213632</v>
      </c>
      <c r="E814" s="3">
        <f t="shared" si="105"/>
        <v>-347458</v>
      </c>
      <c r="F814" s="3">
        <f t="shared" si="105"/>
        <v>-1607</v>
      </c>
      <c r="G814" s="3">
        <f t="shared" si="105"/>
        <v>-144363</v>
      </c>
      <c r="H814" s="3">
        <f t="shared" si="105"/>
        <v>6773</v>
      </c>
      <c r="I814" s="3">
        <f t="shared" si="105"/>
        <v>11521</v>
      </c>
      <c r="J814" s="3">
        <f t="shared" si="105"/>
        <v>12246</v>
      </c>
      <c r="K814" s="3">
        <f t="shared" si="105"/>
        <v>14146</v>
      </c>
    </row>
    <row r="815" spans="2:11" ht="7.5" customHeight="1">
      <c r="B815" s="130"/>
      <c r="C815" s="3"/>
      <c r="D815" s="2"/>
      <c r="E815" s="2"/>
      <c r="F815" s="2"/>
      <c r="G815" s="2"/>
      <c r="H815" s="2"/>
      <c r="I815" s="2"/>
      <c r="J815" s="2"/>
      <c r="K815" s="2"/>
    </row>
    <row r="816" spans="2:11" ht="20.100000000000001" customHeight="1" thickBot="1">
      <c r="B816" s="125" t="s">
        <v>699</v>
      </c>
      <c r="C816" s="80">
        <v>502603</v>
      </c>
      <c r="D816" s="80">
        <v>716282</v>
      </c>
      <c r="E816" s="80">
        <v>296597</v>
      </c>
      <c r="F816" s="80">
        <f>D816+F814</f>
        <v>714675</v>
      </c>
      <c r="G816" s="80">
        <f>F816+G814</f>
        <v>570312</v>
      </c>
      <c r="H816" s="80">
        <f>G816+H814</f>
        <v>577085</v>
      </c>
      <c r="I816" s="80">
        <f>H816+I814</f>
        <v>588606</v>
      </c>
      <c r="J816" s="80">
        <f>I816+J814</f>
        <v>600852</v>
      </c>
      <c r="K816" s="80">
        <f>J816+K814</f>
        <v>614998</v>
      </c>
    </row>
    <row r="817" spans="2:11" ht="15.75" thickTop="1">
      <c r="B817" s="131"/>
      <c r="C817" s="137">
        <f t="shared" ref="C817:K817" si="106">+C816/C812</f>
        <v>0.26416015599336712</v>
      </c>
      <c r="D817" s="137">
        <f t="shared" si="106"/>
        <v>0.37690165687248478</v>
      </c>
      <c r="E817" s="137">
        <f t="shared" si="106"/>
        <v>0.13182258793557783</v>
      </c>
      <c r="F817" s="137">
        <f t="shared" si="106"/>
        <v>0.34617022173203538</v>
      </c>
      <c r="G817" s="137">
        <f t="shared" si="106"/>
        <v>0.26668449825510737</v>
      </c>
      <c r="H817" s="137">
        <f t="shared" si="106"/>
        <v>0.27339582452942102</v>
      </c>
      <c r="I817" s="137">
        <f t="shared" si="106"/>
        <v>0.27190622056515817</v>
      </c>
      <c r="J817" s="137">
        <f t="shared" si="106"/>
        <v>0.27022801888913872</v>
      </c>
      <c r="K817" s="137">
        <f t="shared" si="106"/>
        <v>0.26798185909424449</v>
      </c>
    </row>
    <row r="818" spans="2:11">
      <c r="B818" s="131"/>
      <c r="C818" s="137"/>
      <c r="D818" s="137"/>
      <c r="E818" s="137"/>
      <c r="F818" s="137"/>
      <c r="G818" s="137"/>
      <c r="H818" s="137"/>
      <c r="I818" s="137"/>
      <c r="J818" s="137"/>
      <c r="K818" s="137"/>
    </row>
    <row r="819" spans="2:11" ht="7.5" customHeight="1">
      <c r="B819" s="131"/>
      <c r="C819" s="2"/>
      <c r="D819" s="2"/>
      <c r="E819" s="2"/>
      <c r="F819" s="2"/>
      <c r="G819" s="2"/>
      <c r="H819" s="2"/>
      <c r="I819" s="2"/>
      <c r="J819" s="2"/>
      <c r="K819" s="2"/>
    </row>
    <row r="820" spans="2:11">
      <c r="B820" s="1"/>
      <c r="C820" s="2"/>
      <c r="D820" s="2"/>
      <c r="E820" s="2"/>
      <c r="F820" s="2"/>
      <c r="G820" s="2"/>
      <c r="H820" s="2"/>
      <c r="I820" s="2"/>
      <c r="J820" s="2"/>
      <c r="K820" s="2"/>
    </row>
    <row r="821" spans="2:11">
      <c r="B821" s="1"/>
      <c r="C821" s="2"/>
      <c r="D821" s="2"/>
      <c r="E821" s="2"/>
      <c r="F821" s="2"/>
      <c r="G821" s="2"/>
      <c r="H821" s="2"/>
      <c r="I821" s="2"/>
      <c r="J821" s="2"/>
      <c r="K821" s="2"/>
    </row>
    <row r="822" spans="2:11">
      <c r="B822" s="1"/>
      <c r="C822" s="2"/>
      <c r="D822" s="2"/>
      <c r="E822" s="2"/>
      <c r="F822" s="2"/>
      <c r="G822" s="2"/>
      <c r="H822" s="2"/>
      <c r="I822" s="2"/>
      <c r="J822" s="2"/>
      <c r="K822" s="2"/>
    </row>
    <row r="823" spans="2:11">
      <c r="B823" s="1"/>
      <c r="C823" s="2"/>
      <c r="D823" s="2"/>
      <c r="E823" s="2"/>
      <c r="F823" s="2"/>
      <c r="G823" s="2"/>
      <c r="H823" s="2"/>
      <c r="I823" s="2"/>
      <c r="J823" s="2"/>
      <c r="K823" s="2"/>
    </row>
    <row r="824" spans="2:11">
      <c r="B824" s="1"/>
      <c r="C824" s="2"/>
      <c r="D824" s="2"/>
      <c r="E824" s="2"/>
      <c r="F824" s="2"/>
      <c r="G824" s="2"/>
      <c r="H824" s="2"/>
      <c r="I824" s="2"/>
      <c r="J824" s="2"/>
      <c r="K824" s="2"/>
    </row>
    <row r="825" spans="2:11">
      <c r="B825" s="1"/>
      <c r="C825" s="2"/>
      <c r="D825" s="2"/>
      <c r="E825" s="2"/>
      <c r="F825" s="2"/>
      <c r="G825" s="2"/>
      <c r="H825" s="2"/>
      <c r="I825" s="2"/>
      <c r="J825" s="2"/>
      <c r="K825" s="2"/>
    </row>
    <row r="826" spans="2:11">
      <c r="B826" s="1"/>
      <c r="C826" s="2"/>
      <c r="D826" s="2"/>
      <c r="E826" s="2"/>
      <c r="F826" s="2"/>
      <c r="G826" s="2"/>
      <c r="H826" s="2"/>
      <c r="I826" s="2"/>
      <c r="J826" s="2"/>
      <c r="K826" s="2"/>
    </row>
    <row r="827" spans="2:11">
      <c r="B827" s="1"/>
      <c r="C827" s="2"/>
      <c r="D827" s="2"/>
      <c r="E827" s="2"/>
      <c r="F827" s="2"/>
      <c r="G827" s="2"/>
      <c r="H827" s="2"/>
      <c r="I827" s="2"/>
      <c r="J827" s="2"/>
      <c r="K827" s="2"/>
    </row>
    <row r="828" spans="2:11">
      <c r="B828" s="1"/>
      <c r="C828" s="2"/>
      <c r="D828" s="2"/>
      <c r="E828" s="2"/>
      <c r="F828" s="2"/>
      <c r="G828" s="2"/>
      <c r="H828" s="2"/>
      <c r="I828" s="2"/>
      <c r="J828" s="2"/>
      <c r="K828" s="2"/>
    </row>
    <row r="829" spans="2:11">
      <c r="B829" s="1"/>
      <c r="C829" s="2"/>
      <c r="D829" s="2"/>
      <c r="E829" s="2"/>
      <c r="F829" s="2"/>
      <c r="G829" s="2"/>
      <c r="H829" s="2"/>
      <c r="I829" s="2"/>
      <c r="J829" s="2"/>
      <c r="K829" s="2"/>
    </row>
    <row r="830" spans="2:11">
      <c r="B830" s="1"/>
      <c r="C830" s="2"/>
      <c r="D830" s="2"/>
      <c r="E830" s="2"/>
      <c r="F830" s="2"/>
      <c r="G830" s="2"/>
      <c r="H830" s="2"/>
      <c r="I830" s="2"/>
      <c r="J830" s="2"/>
      <c r="K830" s="2"/>
    </row>
  </sheetData>
  <mergeCells count="38">
    <mergeCell ref="B612:K612"/>
    <mergeCell ref="B484:K484"/>
    <mergeCell ref="B486:K488"/>
    <mergeCell ref="B532:K532"/>
    <mergeCell ref="B534:K535"/>
    <mergeCell ref="B443:K446"/>
    <mergeCell ref="B571:K571"/>
    <mergeCell ref="B573:K574"/>
    <mergeCell ref="B610:K610"/>
    <mergeCell ref="B204:K207"/>
    <mergeCell ref="B403:K405"/>
    <mergeCell ref="B441:K441"/>
    <mergeCell ref="B307:K307"/>
    <mergeCell ref="B309:K310"/>
    <mergeCell ref="B353:K353"/>
    <mergeCell ref="B355:K356"/>
    <mergeCell ref="B159:K160"/>
    <mergeCell ref="B270:K270"/>
    <mergeCell ref="B272:K273"/>
    <mergeCell ref="B401:K401"/>
    <mergeCell ref="B157:K157"/>
    <mergeCell ref="B202:K202"/>
    <mergeCell ref="B118:K118"/>
    <mergeCell ref="B120:K121"/>
    <mergeCell ref="B85:K86"/>
    <mergeCell ref="B1:K1"/>
    <mergeCell ref="B3:K4"/>
    <mergeCell ref="B47:K47"/>
    <mergeCell ref="B49:K50"/>
    <mergeCell ref="B83:K83"/>
    <mergeCell ref="B649:K649"/>
    <mergeCell ref="B651:K651"/>
    <mergeCell ref="B786:K786"/>
    <mergeCell ref="B788:K791"/>
    <mergeCell ref="B685:K685"/>
    <mergeCell ref="B737:K737"/>
    <mergeCell ref="B739:K741"/>
    <mergeCell ref="B687:K690"/>
  </mergeCells>
  <printOptions horizontalCentered="1"/>
  <pageMargins left="0" right="0" top="0.5" bottom="0" header="0" footer="0"/>
  <pageSetup scale="65" orientation="landscape" r:id="rId1"/>
  <rowBreaks count="18" manualBreakCount="18">
    <brk id="45" max="16383" man="1"/>
    <brk id="81" max="16383" man="1"/>
    <brk id="116" max="16383" man="1"/>
    <brk id="155" max="10" man="1"/>
    <brk id="200" max="16383" man="1"/>
    <brk id="268" max="16383" man="1"/>
    <brk id="306" max="10" man="1"/>
    <brk id="352" max="10" man="1"/>
    <brk id="399" max="10" man="1"/>
    <brk id="439" max="16383" man="1"/>
    <brk id="482" max="16383" man="1"/>
    <brk id="530" max="10" man="1"/>
    <brk id="569" max="16383" man="1"/>
    <brk id="608" max="16383" man="1"/>
    <brk id="648" max="10" man="1"/>
    <brk id="684" max="10" man="1"/>
    <brk id="736" max="10" man="1"/>
    <brk id="785" max="10" man="1"/>
  </rowBreaks>
  <drawing r:id="rId2"/>
</worksheet>
</file>

<file path=xl/worksheets/sheet8.xml><?xml version="1.0" encoding="utf-8"?>
<worksheet xmlns="http://schemas.openxmlformats.org/spreadsheetml/2006/main" xmlns:r="http://schemas.openxmlformats.org/officeDocument/2006/relationships">
  <sheetPr>
    <outlinePr summaryBelow="0" summaryRight="0"/>
    <pageSetUpPr autoPageBreaks="0"/>
  </sheetPr>
  <dimension ref="A1:CG1449"/>
  <sheetViews>
    <sheetView tabSelected="1" showOutlineSymbols="0" zoomScale="75" zoomScaleNormal="75" zoomScaleSheetLayoutView="70" workbookViewId="0">
      <pane ySplit="5" topLeftCell="A6" activePane="bottomLeft" state="frozen"/>
      <selection activeCell="L64" sqref="L64"/>
      <selection pane="bottomLeft" activeCell="X12" sqref="X12"/>
    </sheetView>
  </sheetViews>
  <sheetFormatPr defaultColWidth="6.85546875" defaultRowHeight="12.75" customHeight="1"/>
  <cols>
    <col min="1" max="1" width="20" style="200" customWidth="1"/>
    <col min="2" max="3" width="1.28515625" style="200" customWidth="1"/>
    <col min="4" max="4" width="6" style="200" customWidth="1"/>
    <col min="5" max="5" width="1.42578125" style="200" customWidth="1"/>
    <col min="6" max="6" width="7.42578125" style="200" customWidth="1"/>
    <col min="7" max="7" width="2.5703125" style="200" customWidth="1"/>
    <col min="8" max="8" width="1.140625" style="200" customWidth="1"/>
    <col min="9" max="9" width="3" style="200" customWidth="1"/>
    <col min="10" max="10" width="4" style="200" customWidth="1"/>
    <col min="11" max="11" width="21" style="200" customWidth="1"/>
    <col min="12" max="13" width="18.7109375" style="200" customWidth="1"/>
    <col min="14" max="15" width="18.7109375" style="142" customWidth="1"/>
    <col min="16" max="20" width="18.7109375" style="200" customWidth="1"/>
    <col min="21" max="21" width="4" style="459" customWidth="1"/>
    <col min="22" max="22" width="15.140625" style="200" customWidth="1"/>
    <col min="23" max="23" width="16.85546875" style="200" customWidth="1"/>
    <col min="24" max="24" width="18.7109375" style="200" customWidth="1"/>
    <col min="25" max="25" width="14.28515625" style="200" customWidth="1"/>
    <col min="26" max="26" width="12.7109375" style="200" customWidth="1"/>
    <col min="27" max="27" width="16" style="200" customWidth="1"/>
    <col min="28" max="28" width="14" style="200" customWidth="1"/>
    <col min="29" max="30" width="13.5703125" style="200" customWidth="1"/>
    <col min="31" max="35" width="13.7109375" style="200" customWidth="1"/>
    <col min="36" max="36" width="14.28515625" style="200" customWidth="1"/>
    <col min="37" max="46" width="10.7109375" style="200" customWidth="1"/>
    <col min="47" max="16384" width="6.85546875" style="200"/>
  </cols>
  <sheetData>
    <row r="1" spans="1:31" ht="24" customHeight="1">
      <c r="V1" s="838"/>
      <c r="W1" s="838"/>
      <c r="X1" s="838"/>
      <c r="Y1" s="448"/>
      <c r="Z1" s="448"/>
      <c r="AA1" s="448"/>
      <c r="AB1" s="448"/>
    </row>
    <row r="2" spans="1:31" ht="24" customHeight="1">
      <c r="V2" s="838"/>
      <c r="W2" s="838"/>
      <c r="X2" s="838"/>
      <c r="Z2" s="838"/>
    </row>
    <row r="3" spans="1:31" ht="24" customHeight="1">
      <c r="S3" s="198"/>
      <c r="T3" s="198"/>
      <c r="V3" s="215"/>
      <c r="W3" s="838"/>
      <c r="X3" s="838"/>
    </row>
    <row r="4" spans="1:31" ht="24" customHeight="1">
      <c r="A4" s="202"/>
      <c r="B4" s="202"/>
      <c r="C4" s="202"/>
      <c r="D4" s="202"/>
      <c r="E4" s="202"/>
      <c r="F4" s="202"/>
      <c r="G4" s="202"/>
      <c r="H4" s="202"/>
      <c r="I4" s="202"/>
      <c r="J4" s="202"/>
      <c r="K4" s="202"/>
      <c r="L4" s="203" t="s">
        <v>243</v>
      </c>
      <c r="M4" s="203" t="s">
        <v>244</v>
      </c>
      <c r="N4" s="204" t="s">
        <v>834</v>
      </c>
      <c r="O4" s="204" t="s">
        <v>834</v>
      </c>
      <c r="P4" s="203" t="s">
        <v>915</v>
      </c>
      <c r="Q4" s="203" t="s">
        <v>946</v>
      </c>
      <c r="R4" s="203" t="s">
        <v>947</v>
      </c>
      <c r="S4" s="203" t="s">
        <v>948</v>
      </c>
      <c r="T4" s="203" t="s">
        <v>949</v>
      </c>
      <c r="V4" s="842"/>
      <c r="W4" s="300"/>
      <c r="X4" s="300"/>
    </row>
    <row r="5" spans="1:31" ht="24" customHeight="1">
      <c r="A5" s="205" t="s">
        <v>877</v>
      </c>
      <c r="B5" s="202"/>
      <c r="C5" s="202"/>
      <c r="D5" s="920" t="s">
        <v>0</v>
      </c>
      <c r="E5" s="920"/>
      <c r="F5" s="920"/>
      <c r="G5" s="202"/>
      <c r="H5" s="202"/>
      <c r="I5" s="202"/>
      <c r="J5" s="202"/>
      <c r="K5" s="202"/>
      <c r="L5" s="206" t="s">
        <v>1</v>
      </c>
      <c r="M5" s="206" t="s">
        <v>1</v>
      </c>
      <c r="N5" s="584" t="s">
        <v>679</v>
      </c>
      <c r="O5" s="207" t="s">
        <v>19</v>
      </c>
      <c r="P5" s="206" t="s">
        <v>679</v>
      </c>
      <c r="Q5" s="206" t="s">
        <v>19</v>
      </c>
      <c r="R5" s="206" t="s">
        <v>19</v>
      </c>
      <c r="S5" s="206" t="s">
        <v>19</v>
      </c>
      <c r="T5" s="206" t="s">
        <v>19</v>
      </c>
    </row>
    <row r="6" spans="1:31" ht="15" customHeight="1">
      <c r="A6" s="201"/>
      <c r="D6" s="201"/>
      <c r="E6" s="201"/>
      <c r="F6" s="201"/>
      <c r="L6" s="144"/>
      <c r="M6" s="144"/>
      <c r="N6" s="145"/>
      <c r="O6" s="145"/>
      <c r="P6" s="144"/>
      <c r="Q6" s="144"/>
      <c r="R6" s="144"/>
      <c r="S6" s="144"/>
      <c r="T6" s="144"/>
    </row>
    <row r="7" spans="1:31" ht="24" customHeight="1">
      <c r="A7" s="919" t="s">
        <v>493</v>
      </c>
      <c r="B7" s="919"/>
      <c r="C7" s="919"/>
      <c r="D7" s="919"/>
      <c r="E7" s="919"/>
      <c r="F7" s="919"/>
      <c r="G7" s="919"/>
      <c r="H7" s="919"/>
      <c r="I7" s="919"/>
      <c r="J7" s="919"/>
      <c r="K7" s="919"/>
      <c r="P7" s="485"/>
      <c r="Q7" s="194"/>
      <c r="R7" s="194"/>
      <c r="S7" s="194"/>
      <c r="T7" s="194"/>
    </row>
    <row r="8" spans="1:31" ht="15" customHeight="1">
      <c r="A8" s="262"/>
      <c r="B8" s="262"/>
      <c r="C8" s="262"/>
      <c r="D8" s="262"/>
      <c r="E8" s="262"/>
      <c r="F8" s="262"/>
      <c r="G8" s="262"/>
      <c r="H8" s="262"/>
      <c r="I8" s="262"/>
      <c r="J8" s="262"/>
      <c r="K8" s="262"/>
      <c r="P8" s="194"/>
      <c r="Q8" s="163"/>
      <c r="R8" s="163"/>
      <c r="S8" s="163"/>
      <c r="T8" s="163"/>
      <c r="U8" s="799"/>
    </row>
    <row r="9" spans="1:31" ht="24" customHeight="1">
      <c r="A9" s="202" t="s">
        <v>20</v>
      </c>
      <c r="B9" s="202"/>
      <c r="C9" s="202"/>
      <c r="D9" s="320" t="s">
        <v>188</v>
      </c>
      <c r="E9" s="320"/>
      <c r="F9" s="320"/>
      <c r="G9" s="320"/>
      <c r="H9" s="320"/>
      <c r="I9" s="320"/>
      <c r="J9" s="320"/>
      <c r="K9" s="320"/>
      <c r="L9" s="209">
        <v>2278321</v>
      </c>
      <c r="M9" s="209">
        <v>2206925</v>
      </c>
      <c r="N9" s="147">
        <v>2124299</v>
      </c>
      <c r="O9" s="147">
        <v>2129984</v>
      </c>
      <c r="P9" s="146">
        <f>ROUND(2202290*0.995,0)</f>
        <v>2191279</v>
      </c>
      <c r="Q9" s="146">
        <f>ROUND(P9*1.02,0)</f>
        <v>2235105</v>
      </c>
      <c r="R9" s="146">
        <f>ROUND(Q9*1.02,0)</f>
        <v>2279807</v>
      </c>
      <c r="S9" s="146">
        <f>ROUND(R9*1.02,0)</f>
        <v>2325403</v>
      </c>
      <c r="T9" s="146">
        <f>ROUND(S9*1.02,0)</f>
        <v>2371911</v>
      </c>
      <c r="V9" s="411"/>
      <c r="W9" s="411"/>
    </row>
    <row r="10" spans="1:31" ht="24" customHeight="1">
      <c r="A10" s="202" t="s">
        <v>190</v>
      </c>
      <c r="B10" s="202"/>
      <c r="C10" s="202"/>
      <c r="D10" s="494" t="s">
        <v>189</v>
      </c>
      <c r="E10" s="494"/>
      <c r="F10" s="494"/>
      <c r="G10" s="494"/>
      <c r="H10" s="494"/>
      <c r="I10" s="494"/>
      <c r="J10" s="494"/>
      <c r="K10" s="494"/>
      <c r="L10" s="211">
        <v>703105</v>
      </c>
      <c r="M10" s="211">
        <v>817490</v>
      </c>
      <c r="N10" s="150">
        <v>966211</v>
      </c>
      <c r="O10" s="147">
        <v>963908</v>
      </c>
      <c r="P10" s="146">
        <f>ROUND(963361*0.995,0)</f>
        <v>958544</v>
      </c>
      <c r="Q10" s="149">
        <f>P10+50000</f>
        <v>1008544</v>
      </c>
      <c r="R10" s="149">
        <f>Q10+50000</f>
        <v>1058544</v>
      </c>
      <c r="S10" s="149">
        <f>R10+50000</f>
        <v>1108544</v>
      </c>
      <c r="T10" s="149">
        <f>S10+50000</f>
        <v>1158544</v>
      </c>
      <c r="V10" s="497"/>
      <c r="W10" s="411"/>
    </row>
    <row r="11" spans="1:31" ht="24" customHeight="1">
      <c r="A11" s="263" t="s">
        <v>22</v>
      </c>
      <c r="B11" s="202"/>
      <c r="C11" s="202"/>
      <c r="D11" s="404" t="s">
        <v>21</v>
      </c>
      <c r="E11" s="348"/>
      <c r="F11" s="348"/>
      <c r="G11" s="348"/>
      <c r="H11" s="348"/>
      <c r="I11" s="348"/>
      <c r="J11" s="348"/>
      <c r="K11" s="348"/>
      <c r="L11" s="211">
        <v>2778116</v>
      </c>
      <c r="M11" s="211">
        <v>2940976</v>
      </c>
      <c r="N11" s="150">
        <v>3012750</v>
      </c>
      <c r="O11" s="150">
        <v>2965000</v>
      </c>
      <c r="P11" s="149">
        <f t="shared" ref="P11:T12" si="0">ROUND(O11*1.015,0)</f>
        <v>3009475</v>
      </c>
      <c r="Q11" s="149">
        <f t="shared" si="0"/>
        <v>3054617</v>
      </c>
      <c r="R11" s="149">
        <f t="shared" si="0"/>
        <v>3100436</v>
      </c>
      <c r="S11" s="149">
        <f t="shared" si="0"/>
        <v>3146943</v>
      </c>
      <c r="T11" s="149">
        <f t="shared" si="0"/>
        <v>3194147</v>
      </c>
      <c r="V11" s="411"/>
      <c r="X11" s="194"/>
    </row>
    <row r="12" spans="1:31" ht="24" customHeight="1">
      <c r="A12" s="263" t="s">
        <v>247</v>
      </c>
      <c r="B12" s="202"/>
      <c r="C12" s="202"/>
      <c r="D12" s="404" t="s">
        <v>553</v>
      </c>
      <c r="E12" s="348"/>
      <c r="F12" s="348"/>
      <c r="G12" s="348"/>
      <c r="H12" s="348"/>
      <c r="I12" s="348"/>
      <c r="J12" s="348"/>
      <c r="K12" s="348"/>
      <c r="L12" s="211">
        <v>2126851</v>
      </c>
      <c r="M12" s="211">
        <v>2259787</v>
      </c>
      <c r="N12" s="150">
        <v>2332950</v>
      </c>
      <c r="O12" s="150">
        <v>2305000</v>
      </c>
      <c r="P12" s="149">
        <f t="shared" si="0"/>
        <v>2339575</v>
      </c>
      <c r="Q12" s="149">
        <f t="shared" si="0"/>
        <v>2374669</v>
      </c>
      <c r="R12" s="149">
        <f t="shared" si="0"/>
        <v>2410289</v>
      </c>
      <c r="S12" s="149">
        <f t="shared" si="0"/>
        <v>2446443</v>
      </c>
      <c r="T12" s="149">
        <f t="shared" si="0"/>
        <v>2483140</v>
      </c>
      <c r="V12" s="411"/>
      <c r="W12" s="478"/>
      <c r="X12" s="194"/>
    </row>
    <row r="13" spans="1:31" ht="24" customHeight="1">
      <c r="A13" s="263" t="s">
        <v>23</v>
      </c>
      <c r="B13" s="202"/>
      <c r="C13" s="202"/>
      <c r="D13" s="263" t="s">
        <v>2</v>
      </c>
      <c r="E13" s="452"/>
      <c r="F13" s="452"/>
      <c r="G13" s="452"/>
      <c r="H13" s="452"/>
      <c r="I13" s="452"/>
      <c r="J13" s="452"/>
      <c r="K13" s="452"/>
      <c r="L13" s="211">
        <v>689084</v>
      </c>
      <c r="M13" s="211">
        <v>710892</v>
      </c>
      <c r="N13" s="150">
        <v>675000</v>
      </c>
      <c r="O13" s="150">
        <v>705000</v>
      </c>
      <c r="P13" s="149">
        <v>695000</v>
      </c>
      <c r="Q13" s="149">
        <v>695000</v>
      </c>
      <c r="R13" s="149">
        <v>695000</v>
      </c>
      <c r="S13" s="149">
        <v>695000</v>
      </c>
      <c r="T13" s="149">
        <v>695000</v>
      </c>
      <c r="V13" s="752"/>
      <c r="W13" s="478"/>
    </row>
    <row r="14" spans="1:31" ht="24" customHeight="1">
      <c r="A14" s="263" t="s">
        <v>24</v>
      </c>
      <c r="B14" s="202"/>
      <c r="C14" s="202"/>
      <c r="D14" s="263" t="s">
        <v>36</v>
      </c>
      <c r="E14" s="453"/>
      <c r="F14" s="453"/>
      <c r="G14" s="453"/>
      <c r="H14" s="453"/>
      <c r="I14" s="453"/>
      <c r="J14" s="453"/>
      <c r="K14" s="453"/>
      <c r="L14" s="211">
        <v>207551</v>
      </c>
      <c r="M14" s="211">
        <v>241699</v>
      </c>
      <c r="N14" s="150">
        <v>240000</v>
      </c>
      <c r="O14" s="150">
        <v>240000</v>
      </c>
      <c r="P14" s="149">
        <v>240000</v>
      </c>
      <c r="Q14" s="149">
        <v>240000</v>
      </c>
      <c r="R14" s="149">
        <v>240000</v>
      </c>
      <c r="S14" s="149">
        <v>240000</v>
      </c>
      <c r="T14" s="149">
        <v>240000</v>
      </c>
      <c r="V14" s="411"/>
      <c r="W14" s="148"/>
      <c r="X14" s="148"/>
      <c r="Y14" s="148"/>
      <c r="Z14" s="148"/>
      <c r="AA14" s="148"/>
      <c r="AB14" s="148"/>
      <c r="AE14" s="148"/>
    </row>
    <row r="15" spans="1:31" ht="24" customHeight="1">
      <c r="A15" s="263" t="s">
        <v>31</v>
      </c>
      <c r="B15" s="467"/>
      <c r="C15" s="467"/>
      <c r="D15" s="263" t="s">
        <v>843</v>
      </c>
      <c r="E15" s="467"/>
      <c r="F15" s="467"/>
      <c r="G15" s="467"/>
      <c r="H15" s="467"/>
      <c r="I15" s="467"/>
      <c r="J15" s="467"/>
      <c r="K15" s="467"/>
      <c r="L15" s="211">
        <v>393680</v>
      </c>
      <c r="M15" s="211">
        <v>359947</v>
      </c>
      <c r="N15" s="150">
        <v>361000</v>
      </c>
      <c r="O15" s="150">
        <v>335000</v>
      </c>
      <c r="P15" s="149">
        <v>325000</v>
      </c>
      <c r="Q15" s="149">
        <v>325000</v>
      </c>
      <c r="R15" s="149">
        <v>325000</v>
      </c>
      <c r="S15" s="149">
        <v>325000</v>
      </c>
      <c r="T15" s="149">
        <v>325000</v>
      </c>
      <c r="V15" s="411"/>
    </row>
    <row r="16" spans="1:31" ht="24" customHeight="1">
      <c r="A16" s="263" t="s">
        <v>592</v>
      </c>
      <c r="B16" s="202"/>
      <c r="C16" s="202"/>
      <c r="D16" s="263" t="s">
        <v>35</v>
      </c>
      <c r="E16" s="202"/>
      <c r="F16" s="202"/>
      <c r="G16" s="202"/>
      <c r="H16" s="202"/>
      <c r="I16" s="202"/>
      <c r="J16" s="202"/>
      <c r="K16" s="202"/>
      <c r="L16" s="211">
        <v>8499</v>
      </c>
      <c r="M16" s="211">
        <v>8340</v>
      </c>
      <c r="N16" s="150">
        <v>8300</v>
      </c>
      <c r="O16" s="150">
        <f t="shared" ref="O16:T16" si="1">ROUND(694.97*12,0)</f>
        <v>8340</v>
      </c>
      <c r="P16" s="149">
        <f t="shared" si="1"/>
        <v>8340</v>
      </c>
      <c r="Q16" s="149">
        <f t="shared" si="1"/>
        <v>8340</v>
      </c>
      <c r="R16" s="149">
        <f t="shared" si="1"/>
        <v>8340</v>
      </c>
      <c r="S16" s="149">
        <f t="shared" si="1"/>
        <v>8340</v>
      </c>
      <c r="T16" s="149">
        <f t="shared" si="1"/>
        <v>8340</v>
      </c>
      <c r="V16" s="411"/>
    </row>
    <row r="17" spans="1:25" ht="24" customHeight="1">
      <c r="A17" s="263" t="s">
        <v>30</v>
      </c>
      <c r="B17" s="202"/>
      <c r="C17" s="202"/>
      <c r="D17" s="263" t="s">
        <v>4</v>
      </c>
      <c r="E17" s="202"/>
      <c r="F17" s="202"/>
      <c r="G17" s="202"/>
      <c r="H17" s="202"/>
      <c r="I17" s="202"/>
      <c r="J17" s="202"/>
      <c r="K17" s="202"/>
      <c r="L17" s="211">
        <v>286944</v>
      </c>
      <c r="M17" s="211">
        <v>294275</v>
      </c>
      <c r="N17" s="150">
        <v>285000</v>
      </c>
      <c r="O17" s="150">
        <v>294000</v>
      </c>
      <c r="P17" s="149">
        <v>290000</v>
      </c>
      <c r="Q17" s="149">
        <v>290000</v>
      </c>
      <c r="R17" s="149">
        <v>290000</v>
      </c>
      <c r="S17" s="149">
        <v>290000</v>
      </c>
      <c r="T17" s="149">
        <v>290000</v>
      </c>
      <c r="V17" s="411"/>
    </row>
    <row r="18" spans="1:25" ht="24" customHeight="1">
      <c r="A18" s="263" t="s">
        <v>29</v>
      </c>
      <c r="B18" s="202"/>
      <c r="C18" s="202"/>
      <c r="D18" s="263" t="s">
        <v>3</v>
      </c>
      <c r="E18" s="202"/>
      <c r="F18" s="202"/>
      <c r="G18" s="202"/>
      <c r="H18" s="202"/>
      <c r="I18" s="202"/>
      <c r="J18" s="202"/>
      <c r="K18" s="202"/>
      <c r="L18" s="211">
        <v>80422</v>
      </c>
      <c r="M18" s="211">
        <v>72407</v>
      </c>
      <c r="N18" s="150">
        <v>85000</v>
      </c>
      <c r="O18" s="150">
        <v>80000</v>
      </c>
      <c r="P18" s="149">
        <v>80000</v>
      </c>
      <c r="Q18" s="149">
        <v>80000</v>
      </c>
      <c r="R18" s="149">
        <v>80000</v>
      </c>
      <c r="S18" s="149">
        <v>80000</v>
      </c>
      <c r="T18" s="149">
        <v>80000</v>
      </c>
      <c r="U18" s="149"/>
      <c r="V18" s="411"/>
    </row>
    <row r="19" spans="1:25" ht="24" customHeight="1">
      <c r="A19" s="263" t="s">
        <v>1169</v>
      </c>
      <c r="B19" s="479"/>
      <c r="C19" s="479"/>
      <c r="D19" s="701" t="s">
        <v>978</v>
      </c>
      <c r="E19" s="609"/>
      <c r="F19" s="609"/>
      <c r="G19" s="609"/>
      <c r="H19" s="609"/>
      <c r="I19" s="609"/>
      <c r="J19" s="609"/>
      <c r="K19" s="609"/>
      <c r="L19" s="211">
        <v>74734</v>
      </c>
      <c r="M19" s="211">
        <v>100457</v>
      </c>
      <c r="N19" s="150">
        <v>90000</v>
      </c>
      <c r="O19" s="150">
        <v>110000</v>
      </c>
      <c r="P19" s="149">
        <v>110000</v>
      </c>
      <c r="Q19" s="149">
        <v>110000</v>
      </c>
      <c r="R19" s="149">
        <v>110000</v>
      </c>
      <c r="S19" s="149">
        <v>110000</v>
      </c>
      <c r="T19" s="149">
        <v>110000</v>
      </c>
      <c r="V19" s="411"/>
    </row>
    <row r="20" spans="1:25" ht="24" customHeight="1">
      <c r="A20" s="263" t="s">
        <v>28</v>
      </c>
      <c r="B20" s="202"/>
      <c r="C20" s="202"/>
      <c r="D20" s="701" t="s">
        <v>34</v>
      </c>
      <c r="E20" s="609"/>
      <c r="F20" s="609"/>
      <c r="G20" s="609"/>
      <c r="H20" s="609"/>
      <c r="I20" s="609"/>
      <c r="J20" s="609"/>
      <c r="K20" s="609"/>
      <c r="L20" s="211">
        <v>201216</v>
      </c>
      <c r="M20" s="211">
        <v>200284</v>
      </c>
      <c r="N20" s="150">
        <v>200000</v>
      </c>
      <c r="O20" s="150">
        <v>200000</v>
      </c>
      <c r="P20" s="149">
        <v>200000</v>
      </c>
      <c r="Q20" s="149">
        <v>200000</v>
      </c>
      <c r="R20" s="149">
        <v>200000</v>
      </c>
      <c r="S20" s="149">
        <v>200000</v>
      </c>
      <c r="T20" s="149">
        <v>200000</v>
      </c>
      <c r="V20" s="411"/>
      <c r="W20" s="371"/>
    </row>
    <row r="21" spans="1:25" ht="24" customHeight="1">
      <c r="A21" s="263" t="s">
        <v>27</v>
      </c>
      <c r="B21" s="202"/>
      <c r="C21" s="202"/>
      <c r="D21" s="600" t="s">
        <v>33</v>
      </c>
      <c r="E21" s="599"/>
      <c r="F21" s="599"/>
      <c r="G21" s="599"/>
      <c r="H21" s="599"/>
      <c r="I21" s="599"/>
      <c r="J21" s="599"/>
      <c r="K21" s="599"/>
      <c r="L21" s="211">
        <v>121799</v>
      </c>
      <c r="M21" s="211">
        <v>122007</v>
      </c>
      <c r="N21" s="150">
        <v>120000</v>
      </c>
      <c r="O21" s="150">
        <v>130766</v>
      </c>
      <c r="P21" s="149">
        <v>120000</v>
      </c>
      <c r="Q21" s="149">
        <v>120000</v>
      </c>
      <c r="R21" s="149">
        <v>120000</v>
      </c>
      <c r="S21" s="149">
        <v>120000</v>
      </c>
      <c r="T21" s="149">
        <v>0</v>
      </c>
      <c r="V21" s="411"/>
      <c r="W21" s="148"/>
    </row>
    <row r="22" spans="1:25" ht="24" customHeight="1">
      <c r="A22" s="263" t="s">
        <v>26</v>
      </c>
      <c r="B22" s="202"/>
      <c r="C22" s="202"/>
      <c r="D22" s="265" t="s">
        <v>1128</v>
      </c>
      <c r="E22" s="202"/>
      <c r="F22" s="202"/>
      <c r="G22" s="202"/>
      <c r="H22" s="202"/>
      <c r="I22" s="202"/>
      <c r="J22" s="202"/>
      <c r="K22" s="202"/>
      <c r="L22" s="211">
        <v>350589</v>
      </c>
      <c r="M22" s="211">
        <v>359093</v>
      </c>
      <c r="N22" s="150">
        <v>372300</v>
      </c>
      <c r="O22" s="150">
        <v>400000</v>
      </c>
      <c r="P22" s="149">
        <f>ROUND(O22*1.02,0)</f>
        <v>408000</v>
      </c>
      <c r="Q22" s="149">
        <f>ROUND(P22*1.02,0)</f>
        <v>416160</v>
      </c>
      <c r="R22" s="149">
        <f>ROUND(Q22*1.02,0)</f>
        <v>424483</v>
      </c>
      <c r="S22" s="149">
        <f>ROUND(R22*1.02,0)</f>
        <v>432973</v>
      </c>
      <c r="T22" s="149">
        <f>ROUND(S22*1.02,0)</f>
        <v>441632</v>
      </c>
      <c r="V22" s="411"/>
    </row>
    <row r="23" spans="1:25" ht="24" customHeight="1">
      <c r="A23" s="263" t="s">
        <v>1129</v>
      </c>
      <c r="B23" s="435"/>
      <c r="C23" s="435"/>
      <c r="D23" s="265" t="s">
        <v>1131</v>
      </c>
      <c r="E23" s="435"/>
      <c r="F23" s="435"/>
      <c r="G23" s="435"/>
      <c r="H23" s="435"/>
      <c r="I23" s="435"/>
      <c r="J23" s="435"/>
      <c r="K23" s="435"/>
      <c r="L23" s="211">
        <v>6879</v>
      </c>
      <c r="M23" s="211">
        <v>15992</v>
      </c>
      <c r="N23" s="150">
        <v>4000</v>
      </c>
      <c r="O23" s="150">
        <v>20000</v>
      </c>
      <c r="P23" s="149">
        <v>15000</v>
      </c>
      <c r="Q23" s="149">
        <v>15000</v>
      </c>
      <c r="R23" s="149">
        <v>15000</v>
      </c>
      <c r="S23" s="149">
        <v>15000</v>
      </c>
      <c r="T23" s="149">
        <v>15000</v>
      </c>
      <c r="V23" s="411"/>
    </row>
    <row r="24" spans="1:25" ht="24" customHeight="1">
      <c r="A24" s="263" t="s">
        <v>1130</v>
      </c>
      <c r="B24" s="435"/>
      <c r="C24" s="435"/>
      <c r="D24" s="265" t="s">
        <v>1132</v>
      </c>
      <c r="E24" s="435"/>
      <c r="F24" s="435"/>
      <c r="G24" s="435"/>
      <c r="H24" s="435"/>
      <c r="I24" s="435"/>
      <c r="J24" s="435"/>
      <c r="K24" s="435"/>
      <c r="L24" s="211">
        <v>11431</v>
      </c>
      <c r="M24" s="211">
        <v>12071</v>
      </c>
      <c r="N24" s="150">
        <v>11000</v>
      </c>
      <c r="O24" s="150">
        <v>11000</v>
      </c>
      <c r="P24" s="149">
        <v>11000</v>
      </c>
      <c r="Q24" s="149">
        <v>11000</v>
      </c>
      <c r="R24" s="149">
        <v>11000</v>
      </c>
      <c r="S24" s="149">
        <v>11000</v>
      </c>
      <c r="T24" s="149">
        <v>11000</v>
      </c>
      <c r="V24" s="411"/>
    </row>
    <row r="25" spans="1:25" ht="24" customHeight="1">
      <c r="A25" s="263" t="s">
        <v>25</v>
      </c>
      <c r="B25" s="202"/>
      <c r="C25" s="202"/>
      <c r="D25" s="263" t="s">
        <v>32</v>
      </c>
      <c r="E25" s="202"/>
      <c r="F25" s="202"/>
      <c r="G25" s="202"/>
      <c r="H25" s="202"/>
      <c r="I25" s="202"/>
      <c r="J25" s="202"/>
      <c r="K25" s="202"/>
      <c r="L25" s="211">
        <v>11699</v>
      </c>
      <c r="M25" s="211">
        <v>13822</v>
      </c>
      <c r="N25" s="150">
        <v>11250</v>
      </c>
      <c r="O25" s="150">
        <v>13000</v>
      </c>
      <c r="P25" s="149">
        <v>13000</v>
      </c>
      <c r="Q25" s="149">
        <v>13000</v>
      </c>
      <c r="R25" s="149">
        <v>13000</v>
      </c>
      <c r="S25" s="149">
        <v>13000</v>
      </c>
      <c r="T25" s="149">
        <v>13000</v>
      </c>
      <c r="V25" s="411"/>
    </row>
    <row r="26" spans="1:25" ht="24" customHeight="1">
      <c r="A26" s="263" t="s">
        <v>42</v>
      </c>
      <c r="B26" s="202"/>
      <c r="C26" s="202"/>
      <c r="D26" s="549" t="s">
        <v>45</v>
      </c>
      <c r="E26" s="548"/>
      <c r="F26" s="548"/>
      <c r="G26" s="548"/>
      <c r="H26" s="548"/>
      <c r="I26" s="548"/>
      <c r="J26" s="548"/>
      <c r="K26" s="548"/>
      <c r="L26" s="211">
        <v>1715155</v>
      </c>
      <c r="M26" s="211">
        <v>1602410</v>
      </c>
      <c r="N26" s="150">
        <v>1739021</v>
      </c>
      <c r="O26" s="150">
        <f>ROUND((16921*90)+((2101*90)*(6/12)),0)</f>
        <v>1617435</v>
      </c>
      <c r="P26" s="149">
        <f>ROUND((16921*95.8)+((2101*95.8)*(12/12)),0)</f>
        <v>1822308</v>
      </c>
      <c r="Q26" s="149">
        <f t="shared" ref="Q26:T27" si="2">ROUND(P26*1.02,0)</f>
        <v>1858754</v>
      </c>
      <c r="R26" s="149">
        <f t="shared" si="2"/>
        <v>1895929</v>
      </c>
      <c r="S26" s="149">
        <f t="shared" si="2"/>
        <v>1933848</v>
      </c>
      <c r="T26" s="149">
        <f t="shared" si="2"/>
        <v>1972525</v>
      </c>
      <c r="V26" s="411"/>
      <c r="W26" s="194"/>
    </row>
    <row r="27" spans="1:25" ht="24" customHeight="1">
      <c r="A27" s="263" t="s">
        <v>41</v>
      </c>
      <c r="B27" s="202"/>
      <c r="C27" s="202"/>
      <c r="D27" s="549" t="s">
        <v>214</v>
      </c>
      <c r="E27" s="548"/>
      <c r="F27" s="548"/>
      <c r="G27" s="548"/>
      <c r="H27" s="548"/>
      <c r="I27" s="548"/>
      <c r="J27" s="548"/>
      <c r="K27" s="548"/>
      <c r="L27" s="211">
        <v>390605</v>
      </c>
      <c r="M27" s="211">
        <v>417212</v>
      </c>
      <c r="N27" s="150">
        <v>436101</v>
      </c>
      <c r="O27" s="150">
        <f>ROUND((16921*25.3)+((2101*25.3)*(6/12)),0)</f>
        <v>454679</v>
      </c>
      <c r="P27" s="149">
        <f>ROUND((16921*26.3)+((2101*26.3)*(12/12)),0)</f>
        <v>500279</v>
      </c>
      <c r="Q27" s="149">
        <f t="shared" si="2"/>
        <v>510285</v>
      </c>
      <c r="R27" s="149">
        <f t="shared" si="2"/>
        <v>520491</v>
      </c>
      <c r="S27" s="149">
        <f t="shared" si="2"/>
        <v>530901</v>
      </c>
      <c r="T27" s="149">
        <f t="shared" si="2"/>
        <v>541519</v>
      </c>
      <c r="V27" s="411"/>
    </row>
    <row r="28" spans="1:25" ht="24" customHeight="1">
      <c r="A28" s="263" t="s">
        <v>40</v>
      </c>
      <c r="B28" s="202"/>
      <c r="C28" s="202"/>
      <c r="D28" s="128" t="s">
        <v>187</v>
      </c>
      <c r="E28" s="202"/>
      <c r="F28" s="202"/>
      <c r="G28" s="202"/>
      <c r="H28" s="202"/>
      <c r="I28" s="202"/>
      <c r="J28" s="202"/>
      <c r="K28" s="202"/>
      <c r="L28" s="211">
        <v>148223</v>
      </c>
      <c r="M28" s="211">
        <v>145522</v>
      </c>
      <c r="N28" s="150">
        <v>150000</v>
      </c>
      <c r="O28" s="150">
        <v>131612</v>
      </c>
      <c r="P28" s="149">
        <v>135000</v>
      </c>
      <c r="Q28" s="149">
        <v>140000</v>
      </c>
      <c r="R28" s="149">
        <v>145000</v>
      </c>
      <c r="S28" s="149">
        <v>150000</v>
      </c>
      <c r="T28" s="149">
        <v>155000</v>
      </c>
      <c r="V28" s="411"/>
    </row>
    <row r="29" spans="1:25" ht="24" customHeight="1">
      <c r="A29" s="263" t="s">
        <v>39</v>
      </c>
      <c r="B29" s="202"/>
      <c r="C29" s="202"/>
      <c r="D29" s="263" t="s">
        <v>44</v>
      </c>
      <c r="E29" s="202"/>
      <c r="F29" s="202"/>
      <c r="G29" s="202"/>
      <c r="H29" s="202"/>
      <c r="I29" s="202"/>
      <c r="J29" s="202"/>
      <c r="K29" s="202"/>
      <c r="L29" s="211">
        <v>16065</v>
      </c>
      <c r="M29" s="211">
        <v>17845</v>
      </c>
      <c r="N29" s="150">
        <v>17000</v>
      </c>
      <c r="O29" s="150">
        <v>17000</v>
      </c>
      <c r="P29" s="149">
        <v>17000</v>
      </c>
      <c r="Q29" s="149">
        <v>17000</v>
      </c>
      <c r="R29" s="149">
        <v>17000</v>
      </c>
      <c r="S29" s="149">
        <v>17000</v>
      </c>
      <c r="T29" s="149">
        <v>17000</v>
      </c>
      <c r="V29" s="411"/>
    </row>
    <row r="30" spans="1:25" ht="24" customHeight="1">
      <c r="A30" s="263" t="s">
        <v>38</v>
      </c>
      <c r="B30" s="202"/>
      <c r="C30" s="202"/>
      <c r="D30" s="128" t="s">
        <v>5</v>
      </c>
      <c r="E30" s="202"/>
      <c r="F30" s="202"/>
      <c r="G30" s="202"/>
      <c r="H30" s="202"/>
      <c r="I30" s="202"/>
      <c r="J30" s="202"/>
      <c r="K30" s="202"/>
      <c r="L30" s="211">
        <v>17726</v>
      </c>
      <c r="M30" s="211">
        <v>16810</v>
      </c>
      <c r="N30" s="150">
        <v>15000</v>
      </c>
      <c r="O30" s="150">
        <v>16000</v>
      </c>
      <c r="P30" s="149">
        <v>16000</v>
      </c>
      <c r="Q30" s="149">
        <v>16000</v>
      </c>
      <c r="R30" s="149">
        <v>16000</v>
      </c>
      <c r="S30" s="149">
        <v>16000</v>
      </c>
      <c r="T30" s="149">
        <v>16000</v>
      </c>
      <c r="V30" s="411"/>
    </row>
    <row r="31" spans="1:25" ht="24" customHeight="1">
      <c r="A31" s="263" t="s">
        <v>1016</v>
      </c>
      <c r="B31" s="341"/>
      <c r="C31" s="341"/>
      <c r="D31" s="912" t="s">
        <v>1080</v>
      </c>
      <c r="E31" s="912"/>
      <c r="F31" s="912"/>
      <c r="G31" s="912"/>
      <c r="H31" s="912"/>
      <c r="I31" s="912"/>
      <c r="J31" s="912"/>
      <c r="K31" s="912"/>
      <c r="L31" s="211">
        <v>21342</v>
      </c>
      <c r="M31" s="211">
        <v>31606</v>
      </c>
      <c r="N31" s="150">
        <v>21000</v>
      </c>
      <c r="O31" s="150">
        <v>22201</v>
      </c>
      <c r="P31" s="149">
        <v>21000</v>
      </c>
      <c r="Q31" s="149">
        <v>21000</v>
      </c>
      <c r="R31" s="149">
        <v>21000</v>
      </c>
      <c r="S31" s="149">
        <v>21000</v>
      </c>
      <c r="T31" s="149">
        <v>21000</v>
      </c>
      <c r="V31" s="411"/>
      <c r="W31" s="411"/>
      <c r="X31" s="148"/>
      <c r="Y31" s="148"/>
    </row>
    <row r="32" spans="1:25" ht="24" customHeight="1">
      <c r="A32" s="263" t="s">
        <v>37</v>
      </c>
      <c r="B32" s="202"/>
      <c r="C32" s="202"/>
      <c r="D32" s="128" t="s">
        <v>43</v>
      </c>
      <c r="E32" s="202"/>
      <c r="F32" s="202"/>
      <c r="G32" s="202"/>
      <c r="H32" s="202"/>
      <c r="I32" s="202"/>
      <c r="J32" s="202"/>
      <c r="K32" s="202"/>
      <c r="L32" s="211">
        <v>2000</v>
      </c>
      <c r="M32" s="211">
        <v>3000</v>
      </c>
      <c r="N32" s="150">
        <v>0</v>
      </c>
      <c r="O32" s="150">
        <v>0</v>
      </c>
      <c r="P32" s="149">
        <v>0</v>
      </c>
      <c r="Q32" s="149">
        <v>0</v>
      </c>
      <c r="R32" s="149">
        <v>0</v>
      </c>
      <c r="S32" s="149">
        <v>0</v>
      </c>
      <c r="T32" s="149">
        <v>0</v>
      </c>
      <c r="V32" s="411"/>
      <c r="W32" s="148"/>
      <c r="X32" s="148"/>
      <c r="Y32" s="148"/>
    </row>
    <row r="33" spans="1:28" ht="24" customHeight="1">
      <c r="A33" s="263" t="s">
        <v>217</v>
      </c>
      <c r="B33" s="202"/>
      <c r="C33" s="202"/>
      <c r="D33" s="128" t="s">
        <v>218</v>
      </c>
      <c r="E33" s="202"/>
      <c r="F33" s="202"/>
      <c r="G33" s="202"/>
      <c r="H33" s="202"/>
      <c r="I33" s="202"/>
      <c r="J33" s="202"/>
      <c r="K33" s="202"/>
      <c r="L33" s="213">
        <v>862</v>
      </c>
      <c r="M33" s="213">
        <v>990</v>
      </c>
      <c r="N33" s="155">
        <v>900</v>
      </c>
      <c r="O33" s="155">
        <v>900</v>
      </c>
      <c r="P33" s="154">
        <v>900</v>
      </c>
      <c r="Q33" s="154">
        <v>900</v>
      </c>
      <c r="R33" s="154">
        <v>900</v>
      </c>
      <c r="S33" s="154">
        <v>900</v>
      </c>
      <c r="T33" s="154">
        <v>900</v>
      </c>
      <c r="V33" s="411"/>
      <c r="W33" s="148"/>
      <c r="X33" s="148"/>
      <c r="Y33" s="148"/>
    </row>
    <row r="34" spans="1:28" ht="24" customHeight="1">
      <c r="A34" s="263" t="s">
        <v>48</v>
      </c>
      <c r="B34" s="202"/>
      <c r="C34" s="202"/>
      <c r="D34" s="263" t="s">
        <v>1107</v>
      </c>
      <c r="E34" s="202"/>
      <c r="F34" s="202"/>
      <c r="G34" s="202"/>
      <c r="H34" s="202"/>
      <c r="I34" s="202"/>
      <c r="J34" s="202"/>
      <c r="K34" s="202"/>
      <c r="L34" s="211">
        <v>46442</v>
      </c>
      <c r="M34" s="211">
        <v>52852</v>
      </c>
      <c r="N34" s="150">
        <v>50000</v>
      </c>
      <c r="O34" s="150">
        <v>56000</v>
      </c>
      <c r="P34" s="149">
        <v>56000</v>
      </c>
      <c r="Q34" s="149">
        <v>56000</v>
      </c>
      <c r="R34" s="149">
        <v>56000</v>
      </c>
      <c r="S34" s="149">
        <v>56000</v>
      </c>
      <c r="T34" s="149">
        <v>56000</v>
      </c>
      <c r="V34" s="411"/>
      <c r="W34" s="148"/>
      <c r="X34" s="148"/>
      <c r="Y34" s="148"/>
    </row>
    <row r="35" spans="1:28" ht="24" customHeight="1">
      <c r="A35" s="263" t="s">
        <v>47</v>
      </c>
      <c r="B35" s="202"/>
      <c r="C35" s="202"/>
      <c r="D35" s="263" t="s">
        <v>585</v>
      </c>
      <c r="E35" s="512"/>
      <c r="F35" s="512"/>
      <c r="G35" s="512"/>
      <c r="H35" s="512"/>
      <c r="I35" s="512"/>
      <c r="J35" s="512"/>
      <c r="K35" s="512"/>
      <c r="L35" s="211">
        <v>3902</v>
      </c>
      <c r="M35" s="211">
        <v>6795</v>
      </c>
      <c r="N35" s="150">
        <v>3000</v>
      </c>
      <c r="O35" s="150">
        <v>5000</v>
      </c>
      <c r="P35" s="149">
        <v>5000</v>
      </c>
      <c r="Q35" s="149">
        <v>5000</v>
      </c>
      <c r="R35" s="149">
        <v>5000</v>
      </c>
      <c r="S35" s="149">
        <v>5000</v>
      </c>
      <c r="T35" s="149">
        <v>5000</v>
      </c>
      <c r="V35" s="411"/>
      <c r="W35" s="148"/>
      <c r="X35" s="148"/>
      <c r="Y35" s="148"/>
    </row>
    <row r="36" spans="1:28" ht="24" customHeight="1">
      <c r="A36" s="263" t="s">
        <v>46</v>
      </c>
      <c r="B36" s="202"/>
      <c r="C36" s="202"/>
      <c r="D36" s="666" t="s">
        <v>50</v>
      </c>
      <c r="E36" s="667"/>
      <c r="F36" s="667"/>
      <c r="G36" s="667"/>
      <c r="H36" s="667"/>
      <c r="I36" s="667"/>
      <c r="J36" s="667"/>
      <c r="K36" s="667"/>
      <c r="L36" s="211">
        <v>163107</v>
      </c>
      <c r="M36" s="211">
        <v>256215</v>
      </c>
      <c r="N36" s="150">
        <v>200000</v>
      </c>
      <c r="O36" s="150">
        <v>300000</v>
      </c>
      <c r="P36" s="149">
        <v>275000</v>
      </c>
      <c r="Q36" s="149">
        <v>250000</v>
      </c>
      <c r="R36" s="149">
        <v>250000</v>
      </c>
      <c r="S36" s="149">
        <v>250000</v>
      </c>
      <c r="T36" s="149">
        <v>250000</v>
      </c>
      <c r="V36" s="411"/>
      <c r="W36" s="148"/>
      <c r="X36" s="148"/>
      <c r="Y36" s="148"/>
    </row>
    <row r="37" spans="1:28" ht="24" customHeight="1">
      <c r="A37" s="263" t="s">
        <v>53</v>
      </c>
      <c r="B37" s="264"/>
      <c r="C37" s="264"/>
      <c r="D37" s="263" t="s">
        <v>835</v>
      </c>
      <c r="E37" s="264"/>
      <c r="F37" s="264"/>
      <c r="G37" s="264"/>
      <c r="H37" s="264"/>
      <c r="I37" s="264"/>
      <c r="J37" s="264"/>
      <c r="K37" s="264"/>
      <c r="L37" s="211">
        <v>43063</v>
      </c>
      <c r="M37" s="211">
        <v>41512</v>
      </c>
      <c r="N37" s="150">
        <v>45000</v>
      </c>
      <c r="O37" s="150">
        <v>45000</v>
      </c>
      <c r="P37" s="149">
        <v>45000</v>
      </c>
      <c r="Q37" s="149">
        <v>45000</v>
      </c>
      <c r="R37" s="149">
        <v>45000</v>
      </c>
      <c r="S37" s="149">
        <v>45000</v>
      </c>
      <c r="T37" s="149">
        <v>45000</v>
      </c>
      <c r="V37" s="411"/>
      <c r="W37" s="199"/>
      <c r="X37" s="199"/>
      <c r="Y37" s="199"/>
      <c r="Z37" s="199"/>
      <c r="AA37" s="199"/>
      <c r="AB37" s="199"/>
    </row>
    <row r="38" spans="1:28" ht="24" customHeight="1">
      <c r="A38" s="263" t="s">
        <v>52</v>
      </c>
      <c r="B38" s="202"/>
      <c r="C38" s="202"/>
      <c r="D38" s="263" t="s">
        <v>220</v>
      </c>
      <c r="E38" s="202"/>
      <c r="F38" s="202"/>
      <c r="G38" s="202"/>
      <c r="H38" s="202"/>
      <c r="I38" s="202"/>
      <c r="J38" s="202"/>
      <c r="K38" s="202"/>
      <c r="L38" s="211">
        <v>24406</v>
      </c>
      <c r="M38" s="211">
        <v>33512</v>
      </c>
      <c r="N38" s="150">
        <v>30000</v>
      </c>
      <c r="O38" s="150">
        <v>30000</v>
      </c>
      <c r="P38" s="149">
        <v>30000</v>
      </c>
      <c r="Q38" s="149">
        <v>30000</v>
      </c>
      <c r="R38" s="149">
        <v>30000</v>
      </c>
      <c r="S38" s="149">
        <v>30000</v>
      </c>
      <c r="T38" s="149">
        <v>30000</v>
      </c>
      <c r="U38" s="307"/>
      <c r="V38" s="411"/>
    </row>
    <row r="39" spans="1:28" ht="24" customHeight="1">
      <c r="A39" s="263" t="s">
        <v>928</v>
      </c>
      <c r="B39" s="202"/>
      <c r="C39" s="202"/>
      <c r="D39" s="263" t="s">
        <v>660</v>
      </c>
      <c r="E39" s="202"/>
      <c r="F39" s="202"/>
      <c r="G39" s="202"/>
      <c r="H39" s="202"/>
      <c r="I39" s="202"/>
      <c r="J39" s="202"/>
      <c r="K39" s="202"/>
      <c r="L39" s="215">
        <v>220</v>
      </c>
      <c r="M39" s="215">
        <v>420</v>
      </c>
      <c r="N39" s="158">
        <v>225</v>
      </c>
      <c r="O39" s="158">
        <v>545</v>
      </c>
      <c r="P39" s="157">
        <v>400</v>
      </c>
      <c r="Q39" s="157">
        <v>400</v>
      </c>
      <c r="R39" s="157">
        <v>400</v>
      </c>
      <c r="S39" s="157">
        <v>400</v>
      </c>
      <c r="T39" s="157">
        <v>400</v>
      </c>
      <c r="U39" s="157"/>
      <c r="V39" s="411"/>
    </row>
    <row r="40" spans="1:28" ht="24" customHeight="1">
      <c r="A40" s="263" t="s">
        <v>51</v>
      </c>
      <c r="B40" s="264"/>
      <c r="C40" s="264"/>
      <c r="D40" s="263" t="s">
        <v>54</v>
      </c>
      <c r="E40" s="525"/>
      <c r="F40" s="525"/>
      <c r="G40" s="525"/>
      <c r="H40" s="525"/>
      <c r="I40" s="525"/>
      <c r="J40" s="525"/>
      <c r="K40" s="525"/>
      <c r="L40" s="211">
        <v>55950</v>
      </c>
      <c r="M40" s="211">
        <v>64806</v>
      </c>
      <c r="N40" s="150">
        <v>65000</v>
      </c>
      <c r="O40" s="150">
        <v>50000</v>
      </c>
      <c r="P40" s="149">
        <v>55000</v>
      </c>
      <c r="Q40" s="149">
        <v>55000</v>
      </c>
      <c r="R40" s="149">
        <v>55000</v>
      </c>
      <c r="S40" s="149">
        <v>55000</v>
      </c>
      <c r="T40" s="149">
        <v>55000</v>
      </c>
      <c r="V40" s="411"/>
    </row>
    <row r="41" spans="1:28" ht="24" customHeight="1">
      <c r="A41" s="687" t="s">
        <v>56</v>
      </c>
      <c r="B41" s="685"/>
      <c r="C41" s="685"/>
      <c r="D41" s="704" t="s">
        <v>57</v>
      </c>
      <c r="E41" s="702"/>
      <c r="F41" s="702"/>
      <c r="G41" s="685"/>
      <c r="H41" s="685"/>
      <c r="I41" s="685"/>
      <c r="J41" s="685"/>
      <c r="K41" s="685"/>
      <c r="L41" s="211">
        <v>1218991</v>
      </c>
      <c r="M41" s="211">
        <v>1284044</v>
      </c>
      <c r="N41" s="150">
        <f>N230</f>
        <v>1000000</v>
      </c>
      <c r="O41" s="150">
        <v>1129000</v>
      </c>
      <c r="P41" s="149">
        <f>ROUND(O41*1.025,0)</f>
        <v>1157225</v>
      </c>
      <c r="Q41" s="149">
        <f>ROUND(P41*1.025,0)</f>
        <v>1186156</v>
      </c>
      <c r="R41" s="149">
        <f>ROUND(Q41*1.025,0)</f>
        <v>1215810</v>
      </c>
      <c r="S41" s="149">
        <f>ROUND(R41*1.025,0)</f>
        <v>1246205</v>
      </c>
      <c r="T41" s="149">
        <f>ROUND(S41*1.025,0)</f>
        <v>1277360</v>
      </c>
      <c r="U41" s="149"/>
      <c r="V41" s="148"/>
      <c r="W41" s="148"/>
    </row>
    <row r="42" spans="1:28" ht="24" customHeight="1">
      <c r="A42" s="687" t="s">
        <v>55</v>
      </c>
      <c r="B42" s="686"/>
      <c r="C42" s="686"/>
      <c r="D42" s="696" t="s">
        <v>1307</v>
      </c>
      <c r="E42" s="686"/>
      <c r="F42" s="686"/>
      <c r="G42" s="686"/>
      <c r="H42" s="686"/>
      <c r="I42" s="686"/>
      <c r="J42" s="686"/>
      <c r="K42" s="686"/>
      <c r="L42" s="211">
        <v>153292</v>
      </c>
      <c r="M42" s="211">
        <v>158062</v>
      </c>
      <c r="N42" s="150">
        <v>154000</v>
      </c>
      <c r="O42" s="150">
        <v>160000</v>
      </c>
      <c r="P42" s="149">
        <v>160000</v>
      </c>
      <c r="Q42" s="149">
        <v>160000</v>
      </c>
      <c r="R42" s="149">
        <v>160000</v>
      </c>
      <c r="S42" s="149">
        <v>160000</v>
      </c>
      <c r="T42" s="149">
        <v>160000</v>
      </c>
      <c r="V42" s="411"/>
      <c r="X42" s="148"/>
      <c r="Y42" s="148"/>
    </row>
    <row r="43" spans="1:28" ht="24" customHeight="1">
      <c r="A43" s="687" t="s">
        <v>926</v>
      </c>
      <c r="B43" s="685"/>
      <c r="C43" s="685"/>
      <c r="D43" s="687" t="s">
        <v>889</v>
      </c>
      <c r="E43" s="685"/>
      <c r="F43" s="685"/>
      <c r="G43" s="685"/>
      <c r="H43" s="685"/>
      <c r="I43" s="685"/>
      <c r="J43" s="685"/>
      <c r="K43" s="685"/>
      <c r="L43" s="211">
        <v>22972</v>
      </c>
      <c r="M43" s="211">
        <v>22772</v>
      </c>
      <c r="N43" s="150">
        <v>23000</v>
      </c>
      <c r="O43" s="150">
        <v>23000</v>
      </c>
      <c r="P43" s="149">
        <v>23000</v>
      </c>
      <c r="Q43" s="149">
        <v>23000</v>
      </c>
      <c r="R43" s="149">
        <v>23000</v>
      </c>
      <c r="S43" s="149">
        <v>23000</v>
      </c>
      <c r="T43" s="149">
        <v>23000</v>
      </c>
      <c r="V43" s="148"/>
      <c r="W43" s="148"/>
      <c r="Y43" s="148"/>
    </row>
    <row r="44" spans="1:28" ht="24" customHeight="1">
      <c r="A44" s="669" t="s">
        <v>1297</v>
      </c>
      <c r="B44" s="668"/>
      <c r="C44" s="668"/>
      <c r="D44" s="1" t="s">
        <v>1295</v>
      </c>
      <c r="E44" s="668"/>
      <c r="F44" s="668"/>
      <c r="G44" s="668"/>
      <c r="H44" s="668"/>
      <c r="I44" s="668"/>
      <c r="J44" s="668"/>
      <c r="K44" s="668"/>
      <c r="L44" s="212">
        <f>L584+L689+L979+L1010</f>
        <v>0</v>
      </c>
      <c r="M44" s="212">
        <f>M584+M689+M979+M1010</f>
        <v>0</v>
      </c>
      <c r="N44" s="214">
        <v>188064</v>
      </c>
      <c r="O44" s="214">
        <f t="shared" ref="O44:T44" si="3">O584+O689+O979+O1010</f>
        <v>188064</v>
      </c>
      <c r="P44" s="212">
        <f t="shared" si="3"/>
        <v>194387</v>
      </c>
      <c r="Q44" s="212">
        <f t="shared" si="3"/>
        <v>194387</v>
      </c>
      <c r="R44" s="212">
        <f t="shared" si="3"/>
        <v>194387</v>
      </c>
      <c r="S44" s="212">
        <f t="shared" si="3"/>
        <v>194387</v>
      </c>
      <c r="T44" s="212">
        <f t="shared" si="3"/>
        <v>194387</v>
      </c>
      <c r="V44" s="370"/>
      <c r="W44" s="843"/>
      <c r="Y44" s="148"/>
    </row>
    <row r="45" spans="1:28" ht="24" customHeight="1">
      <c r="A45" s="263" t="s">
        <v>234</v>
      </c>
      <c r="B45" s="202"/>
      <c r="C45" s="202"/>
      <c r="D45" s="263" t="s">
        <v>235</v>
      </c>
      <c r="E45" s="202"/>
      <c r="F45" s="202"/>
      <c r="G45" s="202"/>
      <c r="H45" s="202"/>
      <c r="I45" s="202"/>
      <c r="J45" s="202"/>
      <c r="K45" s="202"/>
      <c r="L45" s="215">
        <v>6129</v>
      </c>
      <c r="M45" s="215">
        <v>800</v>
      </c>
      <c r="N45" s="158">
        <v>500</v>
      </c>
      <c r="O45" s="158">
        <f t="shared" ref="O45:T45" si="4">O238</f>
        <v>700</v>
      </c>
      <c r="P45" s="157">
        <f t="shared" si="4"/>
        <v>500</v>
      </c>
      <c r="Q45" s="157">
        <f t="shared" si="4"/>
        <v>500</v>
      </c>
      <c r="R45" s="157">
        <f t="shared" si="4"/>
        <v>500</v>
      </c>
      <c r="S45" s="157">
        <f t="shared" si="4"/>
        <v>500</v>
      </c>
      <c r="T45" s="157">
        <f t="shared" si="4"/>
        <v>500</v>
      </c>
      <c r="V45" s="411"/>
      <c r="W45" s="316"/>
    </row>
    <row r="46" spans="1:28" ht="24" customHeight="1">
      <c r="A46" s="263" t="s">
        <v>58</v>
      </c>
      <c r="B46" s="264"/>
      <c r="C46" s="264"/>
      <c r="D46" s="907" t="s">
        <v>6</v>
      </c>
      <c r="E46" s="907"/>
      <c r="F46" s="907"/>
      <c r="G46" s="907"/>
      <c r="H46" s="907"/>
      <c r="I46" s="907"/>
      <c r="J46" s="907"/>
      <c r="K46" s="907"/>
      <c r="L46" s="211">
        <v>6394</v>
      </c>
      <c r="M46" s="211">
        <v>21197</v>
      </c>
      <c r="N46" s="150">
        <v>15000</v>
      </c>
      <c r="O46" s="150">
        <v>35000</v>
      </c>
      <c r="P46" s="149">
        <v>20000</v>
      </c>
      <c r="Q46" s="149">
        <v>10000</v>
      </c>
      <c r="R46" s="149">
        <v>5000</v>
      </c>
      <c r="S46" s="149">
        <v>2500</v>
      </c>
      <c r="T46" s="149">
        <v>0</v>
      </c>
      <c r="V46" s="411"/>
      <c r="W46" s="370"/>
    </row>
    <row r="47" spans="1:28" ht="24" customHeight="1">
      <c r="A47" s="263" t="s">
        <v>632</v>
      </c>
      <c r="B47" s="264"/>
      <c r="C47" s="264"/>
      <c r="D47" s="704" t="s">
        <v>633</v>
      </c>
      <c r="E47" s="649"/>
      <c r="F47" s="649"/>
      <c r="G47" s="649"/>
      <c r="H47" s="649"/>
      <c r="I47" s="649"/>
      <c r="J47" s="649"/>
      <c r="K47" s="649"/>
      <c r="L47" s="215">
        <v>15196</v>
      </c>
      <c r="M47" s="215">
        <v>6684</v>
      </c>
      <c r="N47" s="158">
        <v>25000</v>
      </c>
      <c r="O47" s="158">
        <v>971</v>
      </c>
      <c r="P47" s="157">
        <v>25000</v>
      </c>
      <c r="Q47" s="157">
        <v>25000</v>
      </c>
      <c r="R47" s="157">
        <v>25000</v>
      </c>
      <c r="S47" s="157">
        <v>25000</v>
      </c>
      <c r="T47" s="157">
        <v>25000</v>
      </c>
      <c r="V47" s="148"/>
      <c r="W47" s="148"/>
    </row>
    <row r="48" spans="1:28" ht="24" customHeight="1">
      <c r="A48" s="263" t="s">
        <v>60</v>
      </c>
      <c r="B48" s="202"/>
      <c r="C48" s="202"/>
      <c r="D48" s="263" t="s">
        <v>221</v>
      </c>
      <c r="E48" s="202"/>
      <c r="F48" s="202"/>
      <c r="G48" s="202"/>
      <c r="H48" s="202"/>
      <c r="I48" s="202"/>
      <c r="J48" s="202"/>
      <c r="K48" s="202"/>
      <c r="L48" s="215">
        <v>32294</v>
      </c>
      <c r="M48" s="215">
        <v>9213</v>
      </c>
      <c r="N48" s="158">
        <v>5000</v>
      </c>
      <c r="O48" s="158">
        <v>15000</v>
      </c>
      <c r="P48" s="157">
        <v>5000</v>
      </c>
      <c r="Q48" s="157">
        <v>5000</v>
      </c>
      <c r="R48" s="157">
        <v>5000</v>
      </c>
      <c r="S48" s="157">
        <v>5000</v>
      </c>
      <c r="T48" s="157">
        <v>5000</v>
      </c>
      <c r="V48" s="411"/>
    </row>
    <row r="49" spans="1:30" ht="24" customHeight="1">
      <c r="A49" s="263" t="s">
        <v>209</v>
      </c>
      <c r="B49" s="202"/>
      <c r="C49" s="202"/>
      <c r="D49" s="263" t="s">
        <v>210</v>
      </c>
      <c r="E49" s="202"/>
      <c r="F49" s="202"/>
      <c r="G49" s="202"/>
      <c r="H49" s="202"/>
      <c r="I49" s="202"/>
      <c r="J49" s="202"/>
      <c r="K49" s="202"/>
      <c r="L49" s="215">
        <v>21030</v>
      </c>
      <c r="M49" s="215">
        <v>33163</v>
      </c>
      <c r="N49" s="158">
        <v>20000</v>
      </c>
      <c r="O49" s="158">
        <v>23267</v>
      </c>
      <c r="P49" s="157">
        <v>20000</v>
      </c>
      <c r="Q49" s="157">
        <v>20000</v>
      </c>
      <c r="R49" s="157">
        <v>20000</v>
      </c>
      <c r="S49" s="157">
        <v>20000</v>
      </c>
      <c r="T49" s="157">
        <v>20000</v>
      </c>
      <c r="V49" s="411"/>
    </row>
    <row r="50" spans="1:30" ht="24" customHeight="1">
      <c r="A50" s="263" t="s">
        <v>59</v>
      </c>
      <c r="B50" s="264"/>
      <c r="C50" s="264"/>
      <c r="D50" s="587" t="s">
        <v>61</v>
      </c>
      <c r="E50" s="586"/>
      <c r="F50" s="586"/>
      <c r="G50" s="586"/>
      <c r="H50" s="586"/>
      <c r="I50" s="586"/>
      <c r="J50" s="586"/>
      <c r="K50" s="586"/>
      <c r="L50" s="215">
        <f>42983+1521</f>
        <v>44504</v>
      </c>
      <c r="M50" s="215">
        <v>17389</v>
      </c>
      <c r="N50" s="158">
        <v>5000</v>
      </c>
      <c r="O50" s="158">
        <v>25100</v>
      </c>
      <c r="P50" s="157">
        <v>5000</v>
      </c>
      <c r="Q50" s="157">
        <v>5000</v>
      </c>
      <c r="R50" s="157">
        <v>5000</v>
      </c>
      <c r="S50" s="157">
        <v>5000</v>
      </c>
      <c r="T50" s="157">
        <v>5000</v>
      </c>
      <c r="V50" s="148"/>
      <c r="W50" s="148"/>
      <c r="X50" s="148"/>
      <c r="Z50" s="151"/>
    </row>
    <row r="51" spans="1:30" ht="24" customHeight="1">
      <c r="A51" s="263" t="s">
        <v>222</v>
      </c>
      <c r="B51" s="266"/>
      <c r="C51" s="266"/>
      <c r="D51" s="264" t="s">
        <v>223</v>
      </c>
      <c r="E51" s="266"/>
      <c r="F51" s="266"/>
      <c r="G51" s="266"/>
      <c r="H51" s="266"/>
      <c r="I51" s="266"/>
      <c r="J51" s="266"/>
      <c r="K51" s="266"/>
      <c r="L51" s="215">
        <v>6905</v>
      </c>
      <c r="M51" s="215">
        <v>7285</v>
      </c>
      <c r="N51" s="158">
        <v>6750</v>
      </c>
      <c r="O51" s="158">
        <v>6750</v>
      </c>
      <c r="P51" s="157">
        <v>6750</v>
      </c>
      <c r="Q51" s="157">
        <v>6750</v>
      </c>
      <c r="R51" s="157">
        <v>6750</v>
      </c>
      <c r="S51" s="157">
        <v>6750</v>
      </c>
      <c r="T51" s="157">
        <v>6750</v>
      </c>
      <c r="V51" s="411"/>
      <c r="W51" s="148"/>
      <c r="X51" s="148"/>
    </row>
    <row r="52" spans="1:30" ht="24" customHeight="1">
      <c r="A52" s="263" t="s">
        <v>215</v>
      </c>
      <c r="B52" s="202"/>
      <c r="C52" s="202"/>
      <c r="D52" s="711" t="s">
        <v>216</v>
      </c>
      <c r="E52" s="710"/>
      <c r="F52" s="710"/>
      <c r="G52" s="710"/>
      <c r="H52" s="710"/>
      <c r="I52" s="710"/>
      <c r="J52" s="710"/>
      <c r="K52" s="710"/>
      <c r="L52" s="215">
        <v>0</v>
      </c>
      <c r="M52" s="215">
        <v>0</v>
      </c>
      <c r="N52" s="158">
        <v>2000</v>
      </c>
      <c r="O52" s="158">
        <v>0</v>
      </c>
      <c r="P52" s="157">
        <v>0</v>
      </c>
      <c r="Q52" s="157">
        <v>0</v>
      </c>
      <c r="R52" s="157">
        <v>0</v>
      </c>
      <c r="S52" s="157">
        <v>0</v>
      </c>
      <c r="T52" s="157">
        <v>0</v>
      </c>
      <c r="V52" s="148"/>
      <c r="W52" s="148"/>
      <c r="X52" s="148"/>
      <c r="Z52" s="148"/>
    </row>
    <row r="53" spans="1:30" ht="24" customHeight="1">
      <c r="A53" s="263" t="s">
        <v>62</v>
      </c>
      <c r="B53" s="202"/>
      <c r="C53" s="202"/>
      <c r="D53" s="263" t="s">
        <v>7</v>
      </c>
      <c r="E53" s="202"/>
      <c r="F53" s="202"/>
      <c r="G53" s="202"/>
      <c r="H53" s="202"/>
      <c r="I53" s="202"/>
      <c r="J53" s="202"/>
      <c r="K53" s="202"/>
      <c r="L53" s="211">
        <v>15014</v>
      </c>
      <c r="M53" s="211">
        <v>12563</v>
      </c>
      <c r="N53" s="150">
        <v>15000</v>
      </c>
      <c r="O53" s="150">
        <v>15000</v>
      </c>
      <c r="P53" s="149">
        <v>15000</v>
      </c>
      <c r="Q53" s="149">
        <v>15000</v>
      </c>
      <c r="R53" s="149">
        <v>15000</v>
      </c>
      <c r="S53" s="149">
        <v>15000</v>
      </c>
      <c r="T53" s="149">
        <v>15000</v>
      </c>
      <c r="V53" s="148"/>
      <c r="W53" s="148"/>
      <c r="X53" s="148"/>
    </row>
    <row r="54" spans="1:30" ht="24" customHeight="1">
      <c r="A54" s="263" t="s">
        <v>927</v>
      </c>
      <c r="B54" s="202"/>
      <c r="C54" s="202"/>
      <c r="D54" s="391" t="s">
        <v>1052</v>
      </c>
      <c r="E54" s="202"/>
      <c r="F54" s="202"/>
      <c r="G54" s="202"/>
      <c r="H54" s="202"/>
      <c r="I54" s="202"/>
      <c r="J54" s="202"/>
      <c r="K54" s="202"/>
      <c r="L54" s="217">
        <v>7077</v>
      </c>
      <c r="M54" s="217">
        <v>9645</v>
      </c>
      <c r="N54" s="162">
        <v>7000</v>
      </c>
      <c r="O54" s="162">
        <f t="shared" ref="O54:T54" si="5">O394</f>
        <v>30000</v>
      </c>
      <c r="P54" s="161">
        <f t="shared" si="5"/>
        <v>18000</v>
      </c>
      <c r="Q54" s="161">
        <f t="shared" si="5"/>
        <v>16500</v>
      </c>
      <c r="R54" s="161">
        <f t="shared" si="5"/>
        <v>16500</v>
      </c>
      <c r="S54" s="161">
        <f t="shared" si="5"/>
        <v>16500</v>
      </c>
      <c r="T54" s="161">
        <f t="shared" si="5"/>
        <v>16500</v>
      </c>
      <c r="U54" s="311"/>
      <c r="V54" s="845"/>
      <c r="W54" s="845"/>
      <c r="X54" s="844"/>
    </row>
    <row r="55" spans="1:30" ht="15" customHeight="1">
      <c r="A55" s="202"/>
      <c r="B55" s="202"/>
      <c r="C55" s="202"/>
      <c r="D55" s="266"/>
      <c r="E55" s="266"/>
      <c r="F55" s="266"/>
      <c r="G55" s="266"/>
      <c r="H55" s="266"/>
      <c r="I55" s="266"/>
      <c r="J55" s="266"/>
      <c r="K55" s="266"/>
      <c r="L55" s="218"/>
      <c r="M55" s="218"/>
      <c r="N55" s="164"/>
      <c r="O55" s="164"/>
      <c r="P55" s="163"/>
      <c r="Q55" s="163"/>
      <c r="R55" s="163"/>
      <c r="S55" s="163"/>
      <c r="T55" s="163"/>
    </row>
    <row r="56" spans="1:30" s="202" customFormat="1" ht="24" customHeight="1">
      <c r="K56" s="267" t="s">
        <v>481</v>
      </c>
      <c r="L56" s="220">
        <f t="shared" ref="L56:S56" si="6">SUM(L9:L55)</f>
        <v>14529786</v>
      </c>
      <c r="M56" s="220">
        <f t="shared" si="6"/>
        <v>15010788</v>
      </c>
      <c r="N56" s="221">
        <f t="shared" si="6"/>
        <v>15137621</v>
      </c>
      <c r="O56" s="221">
        <f t="shared" si="6"/>
        <v>15309222</v>
      </c>
      <c r="P56" s="220">
        <f t="shared" si="6"/>
        <v>15642962</v>
      </c>
      <c r="Q56" s="220">
        <f t="shared" si="6"/>
        <v>15869067</v>
      </c>
      <c r="R56" s="220">
        <f t="shared" si="6"/>
        <v>16130566</v>
      </c>
      <c r="S56" s="220">
        <f t="shared" si="6"/>
        <v>16398537</v>
      </c>
      <c r="T56" s="220">
        <f>SUM(T9:T55)</f>
        <v>16550555</v>
      </c>
      <c r="U56" s="65"/>
      <c r="V56" s="845"/>
      <c r="W56" s="845"/>
      <c r="X56" s="844"/>
      <c r="Y56" s="838"/>
      <c r="AD56" s="822"/>
    </row>
    <row r="57" spans="1:30" ht="15" customHeight="1">
      <c r="A57" s="415"/>
      <c r="B57" s="415"/>
      <c r="C57" s="415"/>
      <c r="D57" s="415"/>
      <c r="E57" s="415"/>
      <c r="F57" s="415"/>
      <c r="G57" s="415"/>
      <c r="H57" s="415"/>
      <c r="I57" s="415"/>
      <c r="J57" s="415"/>
      <c r="K57" s="415"/>
      <c r="L57" s="218"/>
      <c r="M57" s="218"/>
      <c r="N57" s="164"/>
      <c r="O57" s="164"/>
      <c r="P57" s="163"/>
      <c r="Q57" s="163"/>
      <c r="R57" s="163"/>
      <c r="S57" s="163"/>
      <c r="T57" s="163"/>
    </row>
    <row r="58" spans="1:30" ht="24" customHeight="1">
      <c r="A58" s="267" t="s">
        <v>491</v>
      </c>
      <c r="B58" s="202"/>
      <c r="C58" s="202"/>
      <c r="D58" s="202"/>
      <c r="E58" s="202"/>
      <c r="F58" s="202"/>
      <c r="G58" s="202"/>
      <c r="H58" s="202"/>
      <c r="I58" s="202"/>
      <c r="J58" s="202"/>
      <c r="K58" s="202"/>
      <c r="L58" s="218"/>
      <c r="M58" s="218"/>
      <c r="N58" s="164"/>
      <c r="O58" s="164"/>
      <c r="P58" s="163"/>
      <c r="Q58" s="163"/>
      <c r="R58" s="163"/>
      <c r="S58" s="163"/>
      <c r="T58" s="163"/>
      <c r="X58" s="407"/>
      <c r="Y58" s="401"/>
      <c r="Z58" s="718"/>
      <c r="AA58" s="344"/>
    </row>
    <row r="59" spans="1:30" ht="24" customHeight="1">
      <c r="A59" s="263" t="s">
        <v>68</v>
      </c>
      <c r="B59" s="202"/>
      <c r="C59" s="202"/>
      <c r="D59" s="263" t="s">
        <v>75</v>
      </c>
      <c r="E59" s="202"/>
      <c r="F59" s="202"/>
      <c r="G59" s="202"/>
      <c r="H59" s="202"/>
      <c r="I59" s="202"/>
      <c r="J59" s="202"/>
      <c r="K59" s="202"/>
      <c r="L59" s="215">
        <v>9735</v>
      </c>
      <c r="M59" s="215">
        <v>10175</v>
      </c>
      <c r="N59" s="158">
        <v>11000</v>
      </c>
      <c r="O59" s="158">
        <v>10300</v>
      </c>
      <c r="P59" s="157">
        <v>11000</v>
      </c>
      <c r="Q59" s="157">
        <v>11000</v>
      </c>
      <c r="R59" s="157">
        <v>11000</v>
      </c>
      <c r="S59" s="157">
        <v>11000</v>
      </c>
      <c r="T59" s="157">
        <v>11000</v>
      </c>
      <c r="V59" s="370"/>
      <c r="W59" s="843"/>
      <c r="X59" s="847"/>
      <c r="Y59" s="848"/>
      <c r="Z59" s="457"/>
      <c r="AA59" s="344"/>
    </row>
    <row r="60" spans="1:30" ht="24" customHeight="1">
      <c r="A60" s="263" t="s">
        <v>67</v>
      </c>
      <c r="B60" s="202"/>
      <c r="C60" s="202"/>
      <c r="D60" s="263" t="s">
        <v>74</v>
      </c>
      <c r="E60" s="202"/>
      <c r="F60" s="202"/>
      <c r="G60" s="202"/>
      <c r="H60" s="202"/>
      <c r="I60" s="202"/>
      <c r="J60" s="202"/>
      <c r="K60" s="202"/>
      <c r="L60" s="215">
        <v>1000</v>
      </c>
      <c r="M60" s="215">
        <v>1000</v>
      </c>
      <c r="N60" s="158">
        <v>1000</v>
      </c>
      <c r="O60" s="158">
        <v>1000</v>
      </c>
      <c r="P60" s="157">
        <v>1000</v>
      </c>
      <c r="Q60" s="157">
        <v>1000</v>
      </c>
      <c r="R60" s="157">
        <v>1000</v>
      </c>
      <c r="S60" s="157">
        <v>1000</v>
      </c>
      <c r="T60" s="157">
        <v>1000</v>
      </c>
      <c r="V60" s="370"/>
      <c r="W60" s="843"/>
      <c r="X60" s="847"/>
      <c r="Y60" s="848"/>
      <c r="Z60" s="457"/>
      <c r="AA60" s="344"/>
    </row>
    <row r="61" spans="1:30" ht="24" customHeight="1">
      <c r="A61" s="263" t="s">
        <v>66</v>
      </c>
      <c r="B61" s="202"/>
      <c r="C61" s="202"/>
      <c r="D61" s="263" t="s">
        <v>73</v>
      </c>
      <c r="E61" s="202"/>
      <c r="F61" s="202"/>
      <c r="G61" s="202"/>
      <c r="H61" s="202"/>
      <c r="I61" s="202"/>
      <c r="J61" s="202"/>
      <c r="K61" s="202"/>
      <c r="L61" s="215">
        <v>6935</v>
      </c>
      <c r="M61" s="215">
        <v>7440</v>
      </c>
      <c r="N61" s="158">
        <v>9000</v>
      </c>
      <c r="O61" s="158">
        <v>7500</v>
      </c>
      <c r="P61" s="157">
        <v>8000</v>
      </c>
      <c r="Q61" s="157">
        <v>0</v>
      </c>
      <c r="R61" s="157">
        <v>0</v>
      </c>
      <c r="S61" s="157">
        <v>0</v>
      </c>
      <c r="T61" s="157">
        <v>0</v>
      </c>
      <c r="V61" s="370"/>
      <c r="W61" s="843"/>
      <c r="X61" s="847"/>
      <c r="Y61" s="848"/>
      <c r="Z61" s="148"/>
      <c r="AA61" s="344"/>
    </row>
    <row r="62" spans="1:30" ht="24" customHeight="1">
      <c r="A62" s="263" t="s">
        <v>65</v>
      </c>
      <c r="B62" s="202"/>
      <c r="C62" s="202"/>
      <c r="D62" s="263" t="s">
        <v>72</v>
      </c>
      <c r="E62" s="202"/>
      <c r="F62" s="202"/>
      <c r="G62" s="202"/>
      <c r="H62" s="202"/>
      <c r="I62" s="202"/>
      <c r="J62" s="202"/>
      <c r="K62" s="202"/>
      <c r="L62" s="215">
        <v>1000</v>
      </c>
      <c r="M62" s="215">
        <v>1000</v>
      </c>
      <c r="N62" s="158">
        <v>1000</v>
      </c>
      <c r="O62" s="158">
        <v>1000</v>
      </c>
      <c r="P62" s="157">
        <v>1000</v>
      </c>
      <c r="Q62" s="157">
        <v>0</v>
      </c>
      <c r="R62" s="157">
        <v>0</v>
      </c>
      <c r="S62" s="157">
        <v>0</v>
      </c>
      <c r="T62" s="157">
        <v>0</v>
      </c>
      <c r="V62" s="370"/>
      <c r="W62" s="843"/>
      <c r="X62" s="847"/>
      <c r="Y62" s="848"/>
      <c r="Z62" s="148"/>
      <c r="AA62" s="344"/>
    </row>
    <row r="63" spans="1:30" ht="24" customHeight="1">
      <c r="A63" s="263" t="s">
        <v>64</v>
      </c>
      <c r="B63" s="202"/>
      <c r="C63" s="202"/>
      <c r="D63" s="263" t="s">
        <v>71</v>
      </c>
      <c r="E63" s="202"/>
      <c r="F63" s="202"/>
      <c r="G63" s="202"/>
      <c r="H63" s="202"/>
      <c r="I63" s="202"/>
      <c r="J63" s="202"/>
      <c r="K63" s="202"/>
      <c r="L63" s="215">
        <v>48690</v>
      </c>
      <c r="M63" s="215">
        <v>46465</v>
      </c>
      <c r="N63" s="158">
        <v>52000</v>
      </c>
      <c r="O63" s="158">
        <v>49000</v>
      </c>
      <c r="P63" s="157">
        <v>52000</v>
      </c>
      <c r="Q63" s="157">
        <v>52000</v>
      </c>
      <c r="R63" s="157">
        <v>52000</v>
      </c>
      <c r="S63" s="157">
        <v>52000</v>
      </c>
      <c r="T63" s="157">
        <v>52000</v>
      </c>
      <c r="V63" s="370"/>
      <c r="W63" s="843"/>
      <c r="X63" s="371"/>
      <c r="Y63" s="371"/>
      <c r="Z63" s="457"/>
      <c r="AA63" s="344"/>
    </row>
    <row r="64" spans="1:30" ht="24" customHeight="1">
      <c r="A64" s="263" t="s">
        <v>975</v>
      </c>
      <c r="B64" s="202"/>
      <c r="C64" s="202"/>
      <c r="D64" s="625" t="s">
        <v>70</v>
      </c>
      <c r="E64" s="626"/>
      <c r="F64" s="626"/>
      <c r="G64" s="626"/>
      <c r="H64" s="626"/>
      <c r="I64" s="626"/>
      <c r="J64" s="626"/>
      <c r="K64" s="626"/>
      <c r="L64" s="215">
        <v>317586</v>
      </c>
      <c r="M64" s="215">
        <v>389175</v>
      </c>
      <c r="N64" s="158">
        <v>450978</v>
      </c>
      <c r="O64" s="158">
        <v>460000</v>
      </c>
      <c r="P64" s="157">
        <v>506552</v>
      </c>
      <c r="Q64" s="157">
        <v>521749</v>
      </c>
      <c r="R64" s="157">
        <v>537401</v>
      </c>
      <c r="S64" s="157">
        <v>553523</v>
      </c>
      <c r="T64" s="157">
        <v>570129</v>
      </c>
      <c r="V64" s="370"/>
      <c r="W64" s="843"/>
      <c r="X64" s="401"/>
      <c r="Y64" s="401"/>
      <c r="Z64" s="148"/>
      <c r="AA64" s="344"/>
      <c r="AB64" s="168"/>
    </row>
    <row r="65" spans="1:59" s="143" customFormat="1" ht="24" customHeight="1">
      <c r="A65" s="263" t="s">
        <v>842</v>
      </c>
      <c r="B65" s="202"/>
      <c r="C65" s="202"/>
      <c r="D65" s="625" t="s">
        <v>69</v>
      </c>
      <c r="E65" s="626"/>
      <c r="F65" s="626"/>
      <c r="G65" s="626"/>
      <c r="H65" s="626"/>
      <c r="I65" s="626"/>
      <c r="J65" s="626"/>
      <c r="K65" s="626"/>
      <c r="L65" s="215">
        <v>3683</v>
      </c>
      <c r="M65" s="215">
        <v>4984</v>
      </c>
      <c r="N65" s="158">
        <v>0</v>
      </c>
      <c r="O65" s="158">
        <v>0</v>
      </c>
      <c r="P65" s="157">
        <v>0</v>
      </c>
      <c r="Q65" s="157">
        <v>0</v>
      </c>
      <c r="R65" s="157">
        <v>0</v>
      </c>
      <c r="S65" s="157">
        <v>0</v>
      </c>
      <c r="T65" s="157">
        <v>0</v>
      </c>
      <c r="U65" s="459"/>
      <c r="V65" s="370"/>
      <c r="W65" s="843"/>
      <c r="X65" s="847"/>
      <c r="Y65" s="849"/>
      <c r="Z65" s="148"/>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0"/>
    </row>
    <row r="66" spans="1:59" ht="24" customHeight="1">
      <c r="A66" s="263" t="s">
        <v>63</v>
      </c>
      <c r="B66" s="202"/>
      <c r="C66" s="202"/>
      <c r="D66" s="263" t="s">
        <v>14</v>
      </c>
      <c r="E66" s="202"/>
      <c r="F66" s="202"/>
      <c r="G66" s="202"/>
      <c r="H66" s="202"/>
      <c r="I66" s="202"/>
      <c r="J66" s="202"/>
      <c r="K66" s="202"/>
      <c r="L66" s="211">
        <v>0</v>
      </c>
      <c r="M66" s="211">
        <v>26</v>
      </c>
      <c r="N66" s="150">
        <v>500</v>
      </c>
      <c r="O66" s="150">
        <v>0</v>
      </c>
      <c r="P66" s="149">
        <v>0</v>
      </c>
      <c r="Q66" s="149">
        <v>0</v>
      </c>
      <c r="R66" s="149">
        <v>0</v>
      </c>
      <c r="S66" s="149">
        <v>0</v>
      </c>
      <c r="T66" s="149">
        <v>0</v>
      </c>
      <c r="V66" s="370"/>
      <c r="W66" s="843"/>
      <c r="X66" s="847"/>
      <c r="Y66" s="849"/>
      <c r="Z66" s="457"/>
      <c r="AA66" s="344"/>
    </row>
    <row r="67" spans="1:59" ht="24" customHeight="1">
      <c r="A67" s="263" t="s">
        <v>77</v>
      </c>
      <c r="B67" s="202"/>
      <c r="C67" s="202"/>
      <c r="D67" s="263" t="s">
        <v>8</v>
      </c>
      <c r="E67" s="202"/>
      <c r="F67" s="202"/>
      <c r="G67" s="202"/>
      <c r="H67" s="202"/>
      <c r="I67" s="202"/>
      <c r="J67" s="202"/>
      <c r="K67" s="202"/>
      <c r="L67" s="211">
        <v>36387</v>
      </c>
      <c r="M67" s="211">
        <v>41833</v>
      </c>
      <c r="N67" s="158">
        <v>49506</v>
      </c>
      <c r="O67" s="158">
        <v>49506</v>
      </c>
      <c r="P67" s="157">
        <v>54119</v>
      </c>
      <c r="Q67" s="149">
        <v>57288</v>
      </c>
      <c r="R67" s="149">
        <v>60726</v>
      </c>
      <c r="S67" s="149">
        <v>64430</v>
      </c>
      <c r="T67" s="149">
        <v>68358</v>
      </c>
      <c r="V67" s="370"/>
      <c r="W67" s="843"/>
      <c r="X67" s="847"/>
      <c r="Y67" s="849"/>
      <c r="Z67" s="457"/>
      <c r="AA67" s="344"/>
    </row>
    <row r="68" spans="1:59" ht="24" customHeight="1">
      <c r="A68" s="263" t="s">
        <v>76</v>
      </c>
      <c r="B68" s="202"/>
      <c r="C68" s="202"/>
      <c r="D68" s="263" t="s">
        <v>9</v>
      </c>
      <c r="E68" s="202"/>
      <c r="F68" s="202"/>
      <c r="G68" s="202"/>
      <c r="H68" s="202"/>
      <c r="I68" s="202"/>
      <c r="J68" s="202"/>
      <c r="K68" s="202"/>
      <c r="L68" s="211">
        <v>25422</v>
      </c>
      <c r="M68" s="211">
        <v>30324</v>
      </c>
      <c r="N68" s="158">
        <v>36665</v>
      </c>
      <c r="O68" s="158">
        <v>36000</v>
      </c>
      <c r="P68" s="157">
        <v>40339</v>
      </c>
      <c r="Q68" s="157">
        <v>40841</v>
      </c>
      <c r="R68" s="157">
        <v>42066</v>
      </c>
      <c r="S68" s="157">
        <v>43328</v>
      </c>
      <c r="T68" s="157">
        <v>44628</v>
      </c>
      <c r="V68" s="370"/>
      <c r="W68" s="843"/>
      <c r="X68" s="847"/>
      <c r="Y68" s="849"/>
      <c r="Z68" s="457"/>
      <c r="AA68" s="344"/>
    </row>
    <row r="69" spans="1:59" ht="24" customHeight="1">
      <c r="A69" s="263" t="s">
        <v>506</v>
      </c>
      <c r="B69" s="202"/>
      <c r="C69" s="202"/>
      <c r="D69" s="263" t="s">
        <v>13</v>
      </c>
      <c r="E69" s="492"/>
      <c r="F69" s="492"/>
      <c r="G69" s="492"/>
      <c r="H69" s="492"/>
      <c r="I69" s="492"/>
      <c r="J69" s="492"/>
      <c r="K69" s="492"/>
      <c r="L69" s="213">
        <v>81297</v>
      </c>
      <c r="M69" s="213">
        <v>82328</v>
      </c>
      <c r="N69" s="158">
        <v>111978</v>
      </c>
      <c r="O69" s="158">
        <f>ROUND((86438.45)+(-493.19*6)+(9028.3*2)+(28*4)+(75*4),0)+3000</f>
        <v>104948</v>
      </c>
      <c r="P69" s="154">
        <v>120465</v>
      </c>
      <c r="Q69" s="154">
        <v>130102</v>
      </c>
      <c r="R69" s="154">
        <v>140510</v>
      </c>
      <c r="S69" s="154">
        <v>151751</v>
      </c>
      <c r="T69" s="154">
        <v>163891</v>
      </c>
      <c r="V69" s="370"/>
      <c r="W69" s="371"/>
      <c r="X69" s="843"/>
      <c r="Y69" s="371"/>
      <c r="Z69" s="151"/>
      <c r="AA69" s="151"/>
      <c r="AB69" s="168"/>
    </row>
    <row r="70" spans="1:59" ht="24" customHeight="1">
      <c r="A70" s="263" t="s">
        <v>507</v>
      </c>
      <c r="B70" s="202"/>
      <c r="C70" s="202"/>
      <c r="D70" s="263" t="s">
        <v>173</v>
      </c>
      <c r="E70" s="492"/>
      <c r="F70" s="492"/>
      <c r="G70" s="492"/>
      <c r="H70" s="492"/>
      <c r="I70" s="492"/>
      <c r="J70" s="492"/>
      <c r="K70" s="492"/>
      <c r="L70" s="213">
        <v>491</v>
      </c>
      <c r="M70" s="213">
        <v>492</v>
      </c>
      <c r="N70" s="158">
        <v>557</v>
      </c>
      <c r="O70" s="158">
        <v>675</v>
      </c>
      <c r="P70" s="154">
        <v>451</v>
      </c>
      <c r="Q70" s="154">
        <v>456</v>
      </c>
      <c r="R70" s="154">
        <v>461</v>
      </c>
      <c r="S70" s="154">
        <v>466</v>
      </c>
      <c r="T70" s="154">
        <v>471</v>
      </c>
      <c r="V70" s="370"/>
      <c r="W70" s="371"/>
      <c r="X70" s="843"/>
      <c r="Y70" s="371"/>
      <c r="Z70" s="148"/>
      <c r="AA70" s="148"/>
      <c r="AB70" s="168"/>
    </row>
    <row r="71" spans="1:59" ht="24" customHeight="1">
      <c r="A71" s="263" t="s">
        <v>508</v>
      </c>
      <c r="B71" s="202"/>
      <c r="C71" s="202"/>
      <c r="D71" s="263" t="s">
        <v>530</v>
      </c>
      <c r="E71" s="492"/>
      <c r="F71" s="492"/>
      <c r="G71" s="492"/>
      <c r="H71" s="492"/>
      <c r="I71" s="492"/>
      <c r="J71" s="492"/>
      <c r="K71" s="492"/>
      <c r="L71" s="213">
        <v>5516</v>
      </c>
      <c r="M71" s="213">
        <v>5924</v>
      </c>
      <c r="N71" s="158">
        <v>6612</v>
      </c>
      <c r="O71" s="158">
        <f>5637+(754*2)</f>
        <v>7145</v>
      </c>
      <c r="P71" s="154">
        <v>7853</v>
      </c>
      <c r="Q71" s="154">
        <v>8246</v>
      </c>
      <c r="R71" s="154">
        <v>8658</v>
      </c>
      <c r="S71" s="154">
        <v>9091</v>
      </c>
      <c r="T71" s="154">
        <v>9546</v>
      </c>
      <c r="V71" s="370"/>
      <c r="W71" s="371"/>
      <c r="X71" s="843"/>
      <c r="Y71" s="371"/>
      <c r="Z71" s="148"/>
      <c r="AA71" s="148"/>
      <c r="AB71" s="168"/>
    </row>
    <row r="72" spans="1:59" ht="24" customHeight="1">
      <c r="A72" s="263" t="s">
        <v>531</v>
      </c>
      <c r="B72" s="202"/>
      <c r="C72" s="202"/>
      <c r="D72" s="263" t="s">
        <v>532</v>
      </c>
      <c r="E72" s="492"/>
      <c r="F72" s="492"/>
      <c r="G72" s="492"/>
      <c r="H72" s="492"/>
      <c r="I72" s="492"/>
      <c r="J72" s="492"/>
      <c r="K72" s="492"/>
      <c r="L72" s="213">
        <v>721</v>
      </c>
      <c r="M72" s="213">
        <v>759</v>
      </c>
      <c r="N72" s="158">
        <v>819</v>
      </c>
      <c r="O72" s="158">
        <f>773+94+94</f>
        <v>961</v>
      </c>
      <c r="P72" s="154">
        <v>1130</v>
      </c>
      <c r="Q72" s="154">
        <v>1130</v>
      </c>
      <c r="R72" s="154">
        <v>1130</v>
      </c>
      <c r="S72" s="154">
        <v>1164</v>
      </c>
      <c r="T72" s="154">
        <v>1199</v>
      </c>
      <c r="V72" s="370"/>
      <c r="W72" s="371"/>
      <c r="X72" s="843"/>
      <c r="Y72" s="371"/>
      <c r="Z72" s="148"/>
      <c r="AA72" s="148"/>
      <c r="AB72" s="168"/>
    </row>
    <row r="73" spans="1:59" ht="24" customHeight="1">
      <c r="A73" s="263" t="s">
        <v>647</v>
      </c>
      <c r="B73" s="202"/>
      <c r="C73" s="202"/>
      <c r="D73" s="921" t="s">
        <v>661</v>
      </c>
      <c r="E73" s="921"/>
      <c r="F73" s="921"/>
      <c r="G73" s="921"/>
      <c r="H73" s="921"/>
      <c r="I73" s="921"/>
      <c r="J73" s="921"/>
      <c r="K73" s="921"/>
      <c r="L73" s="212">
        <v>489</v>
      </c>
      <c r="M73" s="212">
        <v>0</v>
      </c>
      <c r="N73" s="155">
        <v>0</v>
      </c>
      <c r="O73" s="155">
        <v>0</v>
      </c>
      <c r="P73" s="154">
        <v>0</v>
      </c>
      <c r="Q73" s="154">
        <v>0</v>
      </c>
      <c r="R73" s="154">
        <v>0</v>
      </c>
      <c r="S73" s="154">
        <v>0</v>
      </c>
      <c r="T73" s="154">
        <v>0</v>
      </c>
      <c r="V73" s="370"/>
      <c r="W73" s="371"/>
      <c r="X73" s="370"/>
      <c r="Y73" s="371"/>
      <c r="Z73" s="148"/>
      <c r="AA73" s="148"/>
    </row>
    <row r="74" spans="1:59" ht="24" customHeight="1">
      <c r="A74" s="263" t="s">
        <v>648</v>
      </c>
      <c r="B74" s="202"/>
      <c r="C74" s="202"/>
      <c r="D74" s="910" t="s">
        <v>662</v>
      </c>
      <c r="E74" s="910"/>
      <c r="F74" s="910"/>
      <c r="G74" s="910"/>
      <c r="H74" s="910"/>
      <c r="I74" s="910"/>
      <c r="J74" s="910"/>
      <c r="K74" s="910"/>
      <c r="L74" s="212">
        <v>4</v>
      </c>
      <c r="M74" s="212">
        <v>0</v>
      </c>
      <c r="N74" s="158">
        <v>0</v>
      </c>
      <c r="O74" s="158">
        <v>0</v>
      </c>
      <c r="P74" s="154">
        <v>0</v>
      </c>
      <c r="Q74" s="154">
        <v>0</v>
      </c>
      <c r="R74" s="154">
        <v>0</v>
      </c>
      <c r="S74" s="154">
        <v>0</v>
      </c>
      <c r="T74" s="154">
        <v>0</v>
      </c>
      <c r="V74" s="370"/>
      <c r="W74" s="371"/>
      <c r="X74" s="370"/>
      <c r="Y74" s="371"/>
      <c r="Z74" s="148"/>
      <c r="AA74" s="148"/>
    </row>
    <row r="75" spans="1:59" ht="24" customHeight="1">
      <c r="A75" s="263" t="s">
        <v>649</v>
      </c>
      <c r="B75" s="202"/>
      <c r="C75" s="202"/>
      <c r="D75" s="910" t="s">
        <v>663</v>
      </c>
      <c r="E75" s="910"/>
      <c r="F75" s="910"/>
      <c r="G75" s="910"/>
      <c r="H75" s="910"/>
      <c r="I75" s="910"/>
      <c r="J75" s="910"/>
      <c r="K75" s="910"/>
      <c r="L75" s="212">
        <v>-40</v>
      </c>
      <c r="M75" s="212">
        <v>0</v>
      </c>
      <c r="N75" s="155">
        <v>0</v>
      </c>
      <c r="O75" s="155">
        <v>0</v>
      </c>
      <c r="P75" s="154">
        <v>0</v>
      </c>
      <c r="Q75" s="154">
        <v>0</v>
      </c>
      <c r="R75" s="154">
        <v>0</v>
      </c>
      <c r="S75" s="154">
        <v>0</v>
      </c>
      <c r="T75" s="154">
        <v>0</v>
      </c>
      <c r="V75" s="370"/>
      <c r="W75" s="371"/>
      <c r="X75" s="370"/>
      <c r="Y75" s="371"/>
      <c r="Z75" s="148"/>
      <c r="AA75" s="148"/>
    </row>
    <row r="76" spans="1:59" ht="24" customHeight="1">
      <c r="A76" s="263" t="s">
        <v>650</v>
      </c>
      <c r="B76" s="202"/>
      <c r="C76" s="202"/>
      <c r="D76" s="910" t="s">
        <v>664</v>
      </c>
      <c r="E76" s="910"/>
      <c r="F76" s="910"/>
      <c r="G76" s="910"/>
      <c r="H76" s="910"/>
      <c r="I76" s="910"/>
      <c r="J76" s="910"/>
      <c r="K76" s="910"/>
      <c r="L76" s="212">
        <v>61</v>
      </c>
      <c r="M76" s="212">
        <v>0</v>
      </c>
      <c r="N76" s="155">
        <v>0</v>
      </c>
      <c r="O76" s="155">
        <v>0</v>
      </c>
      <c r="P76" s="154">
        <v>0</v>
      </c>
      <c r="Q76" s="154">
        <v>0</v>
      </c>
      <c r="R76" s="154">
        <v>0</v>
      </c>
      <c r="S76" s="154">
        <v>0</v>
      </c>
      <c r="T76" s="154">
        <v>0</v>
      </c>
      <c r="V76" s="370"/>
      <c r="W76" s="371"/>
      <c r="X76" s="370"/>
      <c r="Y76" s="371"/>
      <c r="Z76" s="148"/>
      <c r="AA76" s="148"/>
    </row>
    <row r="77" spans="1:59" ht="24" customHeight="1">
      <c r="A77" s="536" t="s">
        <v>1197</v>
      </c>
      <c r="B77" s="535"/>
      <c r="C77" s="535"/>
      <c r="D77" s="639" t="s">
        <v>92</v>
      </c>
      <c r="E77" s="637"/>
      <c r="F77" s="637"/>
      <c r="G77" s="637"/>
      <c r="H77" s="637"/>
      <c r="I77" s="637"/>
      <c r="J77" s="637"/>
      <c r="K77" s="637"/>
      <c r="L77" s="212">
        <v>3216</v>
      </c>
      <c r="M77" s="212">
        <v>8040</v>
      </c>
      <c r="N77" s="156">
        <v>12000</v>
      </c>
      <c r="O77" s="156">
        <v>7500</v>
      </c>
      <c r="P77" s="153">
        <v>13000</v>
      </c>
      <c r="Q77" s="153">
        <v>0</v>
      </c>
      <c r="R77" s="153">
        <v>0</v>
      </c>
      <c r="S77" s="153">
        <v>0</v>
      </c>
      <c r="T77" s="153">
        <v>0</v>
      </c>
      <c r="V77" s="151"/>
      <c r="X77" s="370"/>
      <c r="Y77" s="371"/>
      <c r="Z77" s="148"/>
      <c r="AA77" s="148"/>
    </row>
    <row r="78" spans="1:59" ht="24" customHeight="1">
      <c r="A78" s="263" t="s">
        <v>85</v>
      </c>
      <c r="B78" s="202"/>
      <c r="C78" s="202"/>
      <c r="D78" s="263" t="s">
        <v>91</v>
      </c>
      <c r="E78" s="511"/>
      <c r="F78" s="511"/>
      <c r="G78" s="511"/>
      <c r="H78" s="511"/>
      <c r="I78" s="511"/>
      <c r="J78" s="511"/>
      <c r="K78" s="511"/>
      <c r="L78" s="215">
        <v>5440</v>
      </c>
      <c r="M78" s="215">
        <v>11051</v>
      </c>
      <c r="N78" s="158">
        <v>20800</v>
      </c>
      <c r="O78" s="158">
        <v>20800</v>
      </c>
      <c r="P78" s="157">
        <f>12000+5000</f>
        <v>17000</v>
      </c>
      <c r="Q78" s="157">
        <v>12000</v>
      </c>
      <c r="R78" s="157">
        <v>12000</v>
      </c>
      <c r="S78" s="157">
        <v>12000</v>
      </c>
      <c r="T78" s="157">
        <v>12000</v>
      </c>
    </row>
    <row r="79" spans="1:59" ht="24" customHeight="1">
      <c r="A79" s="263" t="s">
        <v>84</v>
      </c>
      <c r="B79" s="202"/>
      <c r="C79" s="202"/>
      <c r="D79" s="263" t="s">
        <v>960</v>
      </c>
      <c r="E79" s="511"/>
      <c r="F79" s="511"/>
      <c r="G79" s="511"/>
      <c r="H79" s="511"/>
      <c r="I79" s="511"/>
      <c r="J79" s="511"/>
      <c r="K79" s="511"/>
      <c r="L79" s="215">
        <v>8241</v>
      </c>
      <c r="M79" s="215">
        <v>12097</v>
      </c>
      <c r="N79" s="158">
        <v>9000</v>
      </c>
      <c r="O79" s="158">
        <v>9000</v>
      </c>
      <c r="P79" s="157">
        <v>9000</v>
      </c>
      <c r="Q79" s="157">
        <v>9000</v>
      </c>
      <c r="R79" s="157">
        <v>9000</v>
      </c>
      <c r="S79" s="157">
        <v>9000</v>
      </c>
      <c r="T79" s="157">
        <v>9000</v>
      </c>
      <c r="V79" s="370"/>
      <c r="W79" s="371"/>
      <c r="X79" s="664"/>
    </row>
    <row r="80" spans="1:59" ht="24" customHeight="1">
      <c r="A80" s="727" t="s">
        <v>1357</v>
      </c>
      <c r="B80" s="726"/>
      <c r="C80" s="726"/>
      <c r="D80" s="1" t="s">
        <v>1358</v>
      </c>
      <c r="E80" s="726"/>
      <c r="F80" s="726"/>
      <c r="G80" s="726"/>
      <c r="H80" s="726"/>
      <c r="I80" s="726"/>
      <c r="J80" s="726"/>
      <c r="K80" s="726"/>
      <c r="L80" s="215">
        <v>0</v>
      </c>
      <c r="M80" s="215">
        <v>0</v>
      </c>
      <c r="N80" s="158">
        <v>0</v>
      </c>
      <c r="O80" s="158">
        <v>0</v>
      </c>
      <c r="P80" s="157">
        <v>4568</v>
      </c>
      <c r="Q80" s="157">
        <v>1654</v>
      </c>
      <c r="R80" s="157">
        <v>2778</v>
      </c>
      <c r="S80" s="157">
        <v>2916</v>
      </c>
      <c r="T80" s="157">
        <v>3828</v>
      </c>
      <c r="V80" s="370"/>
      <c r="W80" s="371"/>
      <c r="X80" s="664"/>
    </row>
    <row r="81" spans="1:30" ht="24" customHeight="1">
      <c r="A81" s="263" t="s">
        <v>83</v>
      </c>
      <c r="B81" s="202"/>
      <c r="C81" s="202"/>
      <c r="D81" s="263" t="s">
        <v>90</v>
      </c>
      <c r="E81" s="202"/>
      <c r="F81" s="202"/>
      <c r="G81" s="202"/>
      <c r="H81" s="202"/>
      <c r="I81" s="202"/>
      <c r="J81" s="202"/>
      <c r="K81" s="202"/>
      <c r="L81" s="215">
        <v>1262</v>
      </c>
      <c r="M81" s="215">
        <v>6219</v>
      </c>
      <c r="N81" s="158">
        <v>5000</v>
      </c>
      <c r="O81" s="158">
        <v>5000</v>
      </c>
      <c r="P81" s="157">
        <v>5000</v>
      </c>
      <c r="Q81" s="157">
        <v>5000</v>
      </c>
      <c r="R81" s="157">
        <v>5000</v>
      </c>
      <c r="S81" s="157">
        <v>5000</v>
      </c>
      <c r="T81" s="157">
        <v>5000</v>
      </c>
    </row>
    <row r="82" spans="1:30" ht="24" customHeight="1">
      <c r="A82" s="263" t="s">
        <v>82</v>
      </c>
      <c r="B82" s="202"/>
      <c r="C82" s="202"/>
      <c r="D82" s="263" t="s">
        <v>961</v>
      </c>
      <c r="E82" s="202"/>
      <c r="F82" s="202"/>
      <c r="G82" s="202"/>
      <c r="H82" s="202"/>
      <c r="I82" s="202"/>
      <c r="J82" s="202"/>
      <c r="K82" s="202"/>
      <c r="L82" s="215">
        <v>2890</v>
      </c>
      <c r="M82" s="215">
        <v>2376</v>
      </c>
      <c r="N82" s="158">
        <v>4000</v>
      </c>
      <c r="O82" s="158">
        <v>4000</v>
      </c>
      <c r="P82" s="157">
        <v>3250</v>
      </c>
      <c r="Q82" s="157">
        <v>3250</v>
      </c>
      <c r="R82" s="157">
        <v>3250</v>
      </c>
      <c r="S82" s="157">
        <v>3250</v>
      </c>
      <c r="T82" s="157">
        <v>3250</v>
      </c>
    </row>
    <row r="83" spans="1:30" ht="24" customHeight="1">
      <c r="A83" s="263" t="s">
        <v>81</v>
      </c>
      <c r="B83" s="202"/>
      <c r="C83" s="202"/>
      <c r="D83" s="263" t="s">
        <v>224</v>
      </c>
      <c r="E83" s="202"/>
      <c r="F83" s="202"/>
      <c r="G83" s="202"/>
      <c r="H83" s="202"/>
      <c r="I83" s="202"/>
      <c r="J83" s="202"/>
      <c r="K83" s="202"/>
      <c r="L83" s="215">
        <v>13620</v>
      </c>
      <c r="M83" s="215">
        <v>15623</v>
      </c>
      <c r="N83" s="158">
        <v>16000</v>
      </c>
      <c r="O83" s="158">
        <v>18500</v>
      </c>
      <c r="P83" s="157">
        <v>19000</v>
      </c>
      <c r="Q83" s="157">
        <v>19000</v>
      </c>
      <c r="R83" s="157">
        <v>19000</v>
      </c>
      <c r="S83" s="157">
        <v>19000</v>
      </c>
      <c r="T83" s="157">
        <v>19000</v>
      </c>
      <c r="V83" s="148"/>
    </row>
    <row r="84" spans="1:30" ht="24" customHeight="1">
      <c r="A84" s="263" t="s">
        <v>634</v>
      </c>
      <c r="B84" s="202"/>
      <c r="C84" s="202"/>
      <c r="D84" s="263" t="s">
        <v>49</v>
      </c>
      <c r="E84" s="202"/>
      <c r="F84" s="202"/>
      <c r="G84" s="202"/>
      <c r="H84" s="202"/>
      <c r="I84" s="202"/>
      <c r="J84" s="202"/>
      <c r="K84" s="202"/>
      <c r="L84" s="215">
        <v>49</v>
      </c>
      <c r="M84" s="215">
        <v>212</v>
      </c>
      <c r="N84" s="158">
        <v>500</v>
      </c>
      <c r="O84" s="158">
        <v>250</v>
      </c>
      <c r="P84" s="157">
        <v>500</v>
      </c>
      <c r="Q84" s="157">
        <v>500</v>
      </c>
      <c r="R84" s="157">
        <v>500</v>
      </c>
      <c r="S84" s="157">
        <v>500</v>
      </c>
      <c r="T84" s="157">
        <v>500</v>
      </c>
    </row>
    <row r="85" spans="1:30" ht="24" customHeight="1">
      <c r="A85" s="263" t="s">
        <v>194</v>
      </c>
      <c r="B85" s="202"/>
      <c r="C85" s="202"/>
      <c r="D85" s="263" t="s">
        <v>88</v>
      </c>
      <c r="E85" s="202"/>
      <c r="F85" s="202"/>
      <c r="G85" s="202"/>
      <c r="H85" s="202"/>
      <c r="I85" s="202"/>
      <c r="J85" s="202"/>
      <c r="K85" s="202"/>
      <c r="L85" s="215">
        <v>12002</v>
      </c>
      <c r="M85" s="215">
        <v>1579</v>
      </c>
      <c r="N85" s="158">
        <v>5000</v>
      </c>
      <c r="O85" s="158">
        <v>5000</v>
      </c>
      <c r="P85" s="157">
        <v>5000</v>
      </c>
      <c r="Q85" s="157">
        <v>5000</v>
      </c>
      <c r="R85" s="157">
        <v>5000</v>
      </c>
      <c r="S85" s="157">
        <v>5000</v>
      </c>
      <c r="T85" s="157">
        <v>5000</v>
      </c>
    </row>
    <row r="86" spans="1:30" ht="24" customHeight="1">
      <c r="A86" s="263" t="s">
        <v>80</v>
      </c>
      <c r="B86" s="202"/>
      <c r="C86" s="202"/>
      <c r="D86" s="263" t="s">
        <v>89</v>
      </c>
      <c r="E86" s="327"/>
      <c r="F86" s="327"/>
      <c r="G86" s="327"/>
      <c r="H86" s="327"/>
      <c r="I86" s="327"/>
      <c r="J86" s="327"/>
      <c r="K86" s="327"/>
      <c r="L86" s="215">
        <v>2418</v>
      </c>
      <c r="M86" s="215">
        <v>1297</v>
      </c>
      <c r="N86" s="158">
        <v>3500</v>
      </c>
      <c r="O86" s="158">
        <v>2500</v>
      </c>
      <c r="P86" s="157">
        <v>3000</v>
      </c>
      <c r="Q86" s="157">
        <v>3000</v>
      </c>
      <c r="R86" s="157">
        <v>3000</v>
      </c>
      <c r="S86" s="157">
        <v>3000</v>
      </c>
      <c r="T86" s="157">
        <v>3000</v>
      </c>
    </row>
    <row r="87" spans="1:30" ht="24" customHeight="1">
      <c r="A87" s="263" t="s">
        <v>881</v>
      </c>
      <c r="B87" s="264"/>
      <c r="C87" s="264"/>
      <c r="D87" s="263" t="s">
        <v>962</v>
      </c>
      <c r="E87" s="264"/>
      <c r="F87" s="264"/>
      <c r="G87" s="264"/>
      <c r="H87" s="264"/>
      <c r="I87" s="264"/>
      <c r="J87" s="264"/>
      <c r="K87" s="264"/>
      <c r="L87" s="211">
        <v>15869</v>
      </c>
      <c r="M87" s="211">
        <v>16251</v>
      </c>
      <c r="N87" s="150">
        <v>17000</v>
      </c>
      <c r="O87" s="150">
        <v>17000</v>
      </c>
      <c r="P87" s="149">
        <v>17000</v>
      </c>
      <c r="Q87" s="149">
        <v>17000</v>
      </c>
      <c r="R87" s="149">
        <v>17000</v>
      </c>
      <c r="S87" s="149">
        <v>17000</v>
      </c>
      <c r="T87" s="149">
        <v>17000</v>
      </c>
    </row>
    <row r="88" spans="1:30" ht="24" customHeight="1">
      <c r="A88" s="263" t="s">
        <v>79</v>
      </c>
      <c r="B88" s="202"/>
      <c r="C88" s="202"/>
      <c r="D88" s="650" t="s">
        <v>10</v>
      </c>
      <c r="E88" s="651"/>
      <c r="F88" s="651"/>
      <c r="G88" s="651"/>
      <c r="H88" s="651"/>
      <c r="I88" s="651"/>
      <c r="J88" s="651"/>
      <c r="K88" s="651"/>
      <c r="L88" s="215">
        <v>18739</v>
      </c>
      <c r="M88" s="215">
        <v>28261</v>
      </c>
      <c r="N88" s="158">
        <v>11000</v>
      </c>
      <c r="O88" s="158">
        <v>12000</v>
      </c>
      <c r="P88" s="157">
        <v>12000</v>
      </c>
      <c r="Q88" s="157">
        <v>12000</v>
      </c>
      <c r="R88" s="157">
        <v>12000</v>
      </c>
      <c r="S88" s="157">
        <v>12000</v>
      </c>
      <c r="T88" s="157">
        <v>12000</v>
      </c>
      <c r="V88" s="148"/>
      <c r="W88" s="148"/>
    </row>
    <row r="89" spans="1:30" ht="24" customHeight="1">
      <c r="A89" s="263" t="s">
        <v>78</v>
      </c>
      <c r="B89" s="202"/>
      <c r="C89" s="202"/>
      <c r="D89" s="263" t="s">
        <v>17</v>
      </c>
      <c r="E89" s="320"/>
      <c r="F89" s="320"/>
      <c r="G89" s="320"/>
      <c r="H89" s="320"/>
      <c r="I89" s="320"/>
      <c r="J89" s="320"/>
      <c r="K89" s="320"/>
      <c r="L89" s="215">
        <v>14862</v>
      </c>
      <c r="M89" s="215">
        <v>16959</v>
      </c>
      <c r="N89" s="158">
        <v>16960</v>
      </c>
      <c r="O89" s="158">
        <v>18500</v>
      </c>
      <c r="P89" s="157">
        <f>ROUND(O89*1.06,0)</f>
        <v>19610</v>
      </c>
      <c r="Q89" s="157">
        <f>ROUND(P89*1.06,0)</f>
        <v>20787</v>
      </c>
      <c r="R89" s="157">
        <f>ROUND(Q89*1.06,0)</f>
        <v>22034</v>
      </c>
      <c r="S89" s="157">
        <f>ROUND(R89*1.06,0)</f>
        <v>23356</v>
      </c>
      <c r="T89" s="157">
        <f>ROUND(S89*1.06,0)</f>
        <v>24757</v>
      </c>
      <c r="V89" s="151"/>
    </row>
    <row r="90" spans="1:30" ht="24" customHeight="1">
      <c r="A90" s="263" t="s">
        <v>586</v>
      </c>
      <c r="B90" s="202"/>
      <c r="C90" s="202"/>
      <c r="D90" s="639" t="s">
        <v>86</v>
      </c>
      <c r="E90" s="637"/>
      <c r="F90" s="637"/>
      <c r="G90" s="637"/>
      <c r="H90" s="637"/>
      <c r="I90" s="637"/>
      <c r="J90" s="637"/>
      <c r="K90" s="637"/>
      <c r="L90" s="215">
        <v>2224</v>
      </c>
      <c r="M90" s="215">
        <v>2102</v>
      </c>
      <c r="N90" s="158">
        <v>2400</v>
      </c>
      <c r="O90" s="158">
        <v>2150</v>
      </c>
      <c r="P90" s="157">
        <v>2400</v>
      </c>
      <c r="Q90" s="157">
        <v>2400</v>
      </c>
      <c r="R90" s="157">
        <v>2400</v>
      </c>
      <c r="S90" s="157">
        <v>2400</v>
      </c>
      <c r="T90" s="157">
        <v>2400</v>
      </c>
    </row>
    <row r="91" spans="1:30" ht="24" customHeight="1">
      <c r="A91" s="716" t="s">
        <v>195</v>
      </c>
      <c r="B91" s="717"/>
      <c r="C91" s="717"/>
      <c r="D91" s="716" t="s">
        <v>87</v>
      </c>
      <c r="E91" s="717"/>
      <c r="F91" s="717"/>
      <c r="G91" s="717"/>
      <c r="H91" s="717"/>
      <c r="I91" s="717"/>
      <c r="J91" s="717"/>
      <c r="K91" s="717"/>
      <c r="L91" s="215">
        <v>14836</v>
      </c>
      <c r="M91" s="215">
        <v>18625</v>
      </c>
      <c r="N91" s="158">
        <v>12500</v>
      </c>
      <c r="O91" s="158">
        <f>ROUND(943.54*12,0)</f>
        <v>11322</v>
      </c>
      <c r="P91" s="157">
        <f>ROUND(O91*1.03,0)</f>
        <v>11662</v>
      </c>
      <c r="Q91" s="157">
        <f>ROUND(P91*1.03,0)</f>
        <v>12012</v>
      </c>
      <c r="R91" s="157">
        <f>ROUND(Q91*1.03,0)</f>
        <v>12372</v>
      </c>
      <c r="S91" s="157">
        <f>ROUND(R91*1.03,0)</f>
        <v>12743</v>
      </c>
      <c r="T91" s="157">
        <f>ROUND(S91*1.03,0)</f>
        <v>13125</v>
      </c>
    </row>
    <row r="92" spans="1:30" ht="24" customHeight="1">
      <c r="A92" s="263" t="s">
        <v>93</v>
      </c>
      <c r="B92" s="202"/>
      <c r="C92" s="202"/>
      <c r="D92" s="263" t="s">
        <v>11</v>
      </c>
      <c r="E92" s="202"/>
      <c r="F92" s="202"/>
      <c r="G92" s="202"/>
      <c r="H92" s="202"/>
      <c r="I92" s="202"/>
      <c r="J92" s="202"/>
      <c r="K92" s="202"/>
      <c r="L92" s="436">
        <f>10574+50</f>
        <v>10624</v>
      </c>
      <c r="M92" s="436">
        <v>7563</v>
      </c>
      <c r="N92" s="437">
        <v>10000</v>
      </c>
      <c r="O92" s="437">
        <v>10000</v>
      </c>
      <c r="P92" s="678">
        <v>10000</v>
      </c>
      <c r="Q92" s="678">
        <v>10000</v>
      </c>
      <c r="R92" s="678">
        <v>10000</v>
      </c>
      <c r="S92" s="678">
        <v>10000</v>
      </c>
      <c r="T92" s="678">
        <v>10000</v>
      </c>
    </row>
    <row r="93" spans="1:30" s="202" customFormat="1" ht="24" customHeight="1">
      <c r="A93" s="263"/>
      <c r="D93" s="263"/>
      <c r="L93" s="222">
        <f t="shared" ref="L93:T93" si="7">SUM(L59:L92)</f>
        <v>665269</v>
      </c>
      <c r="M93" s="222">
        <f t="shared" si="7"/>
        <v>770180</v>
      </c>
      <c r="N93" s="223">
        <f t="shared" si="7"/>
        <v>877275</v>
      </c>
      <c r="O93" s="223">
        <f t="shared" si="7"/>
        <v>871557</v>
      </c>
      <c r="P93" s="288">
        <f t="shared" si="7"/>
        <v>955899</v>
      </c>
      <c r="Q93" s="288">
        <f t="shared" si="7"/>
        <v>956415</v>
      </c>
      <c r="R93" s="288">
        <f t="shared" si="7"/>
        <v>990286</v>
      </c>
      <c r="S93" s="288">
        <f t="shared" si="7"/>
        <v>1024918</v>
      </c>
      <c r="T93" s="288">
        <f t="shared" si="7"/>
        <v>1062082</v>
      </c>
      <c r="U93" s="65"/>
      <c r="V93" s="845"/>
      <c r="W93" s="845"/>
      <c r="X93" s="844"/>
      <c r="Y93" s="838"/>
      <c r="Z93" s="838"/>
      <c r="AA93" s="838"/>
      <c r="AB93" s="838"/>
      <c r="AD93" s="822"/>
    </row>
    <row r="94" spans="1:30" ht="15" customHeight="1">
      <c r="A94" s="263"/>
      <c r="B94" s="202"/>
      <c r="C94" s="202"/>
      <c r="D94" s="263"/>
      <c r="E94" s="202"/>
      <c r="F94" s="202"/>
      <c r="G94" s="202"/>
      <c r="H94" s="202"/>
      <c r="I94" s="202"/>
      <c r="J94" s="202"/>
      <c r="K94" s="202"/>
      <c r="L94" s="215"/>
      <c r="M94" s="215"/>
      <c r="N94" s="158"/>
      <c r="O94" s="158"/>
      <c r="P94" s="157"/>
      <c r="Q94" s="157"/>
      <c r="R94" s="157"/>
      <c r="S94" s="157"/>
      <c r="T94" s="157"/>
    </row>
    <row r="95" spans="1:30" ht="24" customHeight="1">
      <c r="A95" s="267" t="s">
        <v>482</v>
      </c>
      <c r="B95" s="202"/>
      <c r="C95" s="202"/>
      <c r="D95" s="202"/>
      <c r="E95" s="202"/>
      <c r="F95" s="202"/>
      <c r="G95" s="202"/>
      <c r="H95" s="202"/>
      <c r="I95" s="202"/>
      <c r="J95" s="202"/>
      <c r="K95" s="202"/>
      <c r="L95" s="218"/>
      <c r="M95" s="218"/>
      <c r="N95" s="164"/>
      <c r="O95" s="164"/>
      <c r="P95" s="163"/>
      <c r="Q95" s="163"/>
      <c r="R95" s="163"/>
      <c r="S95" s="163"/>
      <c r="T95" s="163"/>
    </row>
    <row r="96" spans="1:30" ht="24" customHeight="1">
      <c r="A96" s="263" t="s">
        <v>95</v>
      </c>
      <c r="B96" s="266"/>
      <c r="C96" s="266"/>
      <c r="D96" s="263" t="s">
        <v>841</v>
      </c>
      <c r="E96" s="266"/>
      <c r="F96" s="266"/>
      <c r="G96" s="266"/>
      <c r="H96" s="266"/>
      <c r="I96" s="266"/>
      <c r="J96" s="266"/>
      <c r="K96" s="266"/>
      <c r="L96" s="211">
        <v>218467</v>
      </c>
      <c r="M96" s="211">
        <v>234874</v>
      </c>
      <c r="N96" s="158">
        <v>252079</v>
      </c>
      <c r="O96" s="158">
        <v>252079</v>
      </c>
      <c r="P96" s="157">
        <v>272370</v>
      </c>
      <c r="Q96" s="157">
        <v>280541</v>
      </c>
      <c r="R96" s="157">
        <v>288957</v>
      </c>
      <c r="S96" s="157">
        <v>297626</v>
      </c>
      <c r="T96" s="157">
        <v>306555</v>
      </c>
      <c r="V96" s="370"/>
      <c r="W96" s="371"/>
      <c r="X96" s="371"/>
      <c r="Y96" s="371"/>
      <c r="AA96" s="163"/>
    </row>
    <row r="97" spans="1:27" ht="24" customHeight="1">
      <c r="A97" s="263" t="s">
        <v>97</v>
      </c>
      <c r="B97" s="264"/>
      <c r="C97" s="264"/>
      <c r="D97" s="263" t="s">
        <v>8</v>
      </c>
      <c r="E97" s="264"/>
      <c r="F97" s="264"/>
      <c r="G97" s="264"/>
      <c r="H97" s="264"/>
      <c r="I97" s="264"/>
      <c r="J97" s="264"/>
      <c r="K97" s="264"/>
      <c r="L97" s="211">
        <v>24017</v>
      </c>
      <c r="M97" s="211">
        <v>25473</v>
      </c>
      <c r="N97" s="158">
        <v>27519</v>
      </c>
      <c r="O97" s="158">
        <v>27519</v>
      </c>
      <c r="P97" s="157">
        <v>29100</v>
      </c>
      <c r="Q97" s="149">
        <v>30803</v>
      </c>
      <c r="R97" s="149">
        <v>31727</v>
      </c>
      <c r="S97" s="149">
        <v>32679</v>
      </c>
      <c r="T97" s="149">
        <v>33660</v>
      </c>
      <c r="V97" s="370"/>
      <c r="W97" s="371"/>
      <c r="X97" s="371"/>
      <c r="Y97" s="371"/>
      <c r="Z97" s="148"/>
    </row>
    <row r="98" spans="1:27" ht="24" customHeight="1">
      <c r="A98" s="263" t="s">
        <v>96</v>
      </c>
      <c r="B98" s="202"/>
      <c r="C98" s="202"/>
      <c r="D98" s="263" t="s">
        <v>9</v>
      </c>
      <c r="E98" s="202"/>
      <c r="F98" s="202"/>
      <c r="G98" s="202"/>
      <c r="H98" s="202"/>
      <c r="I98" s="202"/>
      <c r="J98" s="202"/>
      <c r="K98" s="202"/>
      <c r="L98" s="211">
        <v>16643</v>
      </c>
      <c r="M98" s="211">
        <v>17647</v>
      </c>
      <c r="N98" s="158">
        <v>18884</v>
      </c>
      <c r="O98" s="158">
        <v>19125</v>
      </c>
      <c r="P98" s="157">
        <v>19988</v>
      </c>
      <c r="Q98" s="157">
        <v>20588</v>
      </c>
      <c r="R98" s="157">
        <v>21206</v>
      </c>
      <c r="S98" s="157">
        <v>21842</v>
      </c>
      <c r="T98" s="157">
        <v>22497</v>
      </c>
      <c r="V98" s="370"/>
      <c r="W98" s="371"/>
      <c r="X98" s="371"/>
      <c r="Y98" s="371"/>
    </row>
    <row r="99" spans="1:27" ht="24" customHeight="1">
      <c r="A99" s="263" t="s">
        <v>509</v>
      </c>
      <c r="B99" s="202"/>
      <c r="C99" s="202"/>
      <c r="D99" s="263" t="s">
        <v>13</v>
      </c>
      <c r="E99" s="202"/>
      <c r="F99" s="202"/>
      <c r="G99" s="202"/>
      <c r="H99" s="202"/>
      <c r="I99" s="202"/>
      <c r="J99" s="202"/>
      <c r="K99" s="202"/>
      <c r="L99" s="211">
        <v>28500</v>
      </c>
      <c r="M99" s="211">
        <v>28337</v>
      </c>
      <c r="N99" s="158">
        <v>62533</v>
      </c>
      <c r="O99" s="158">
        <f>ROUND((42089.14)+(150*3)+(-225.66*6)+(4056.62*2)+(18*4),0)+3000</f>
        <v>52370</v>
      </c>
      <c r="P99" s="154">
        <v>64390</v>
      </c>
      <c r="Q99" s="154">
        <v>69541</v>
      </c>
      <c r="R99" s="154">
        <v>75104</v>
      </c>
      <c r="S99" s="154">
        <v>81112</v>
      </c>
      <c r="T99" s="154">
        <v>87601</v>
      </c>
      <c r="V99" s="370"/>
      <c r="W99" s="371"/>
      <c r="X99" s="370"/>
      <c r="Y99" s="371"/>
      <c r="AA99" s="148"/>
    </row>
    <row r="100" spans="1:27" ht="24" customHeight="1">
      <c r="A100" s="263" t="s">
        <v>510</v>
      </c>
      <c r="B100" s="202"/>
      <c r="C100" s="202"/>
      <c r="D100" s="263" t="s">
        <v>173</v>
      </c>
      <c r="E100" s="202"/>
      <c r="F100" s="202"/>
      <c r="G100" s="202"/>
      <c r="H100" s="202"/>
      <c r="I100" s="202"/>
      <c r="J100" s="202"/>
      <c r="K100" s="202"/>
      <c r="L100" s="211">
        <v>368</v>
      </c>
      <c r="M100" s="211">
        <v>334</v>
      </c>
      <c r="N100" s="158">
        <v>334</v>
      </c>
      <c r="O100" s="158">
        <v>334</v>
      </c>
      <c r="P100" s="154">
        <v>246</v>
      </c>
      <c r="Q100" s="154">
        <v>248</v>
      </c>
      <c r="R100" s="154">
        <v>250</v>
      </c>
      <c r="S100" s="154">
        <v>253</v>
      </c>
      <c r="T100" s="154">
        <v>256</v>
      </c>
      <c r="V100" s="370"/>
      <c r="W100" s="371"/>
      <c r="X100" s="370"/>
      <c r="Y100" s="371"/>
      <c r="AA100" s="148"/>
    </row>
    <row r="101" spans="1:27" ht="24" customHeight="1">
      <c r="A101" s="263" t="s">
        <v>511</v>
      </c>
      <c r="B101" s="202"/>
      <c r="C101" s="202"/>
      <c r="D101" s="263" t="s">
        <v>530</v>
      </c>
      <c r="E101" s="202"/>
      <c r="F101" s="202"/>
      <c r="G101" s="202"/>
      <c r="H101" s="202"/>
      <c r="I101" s="202"/>
      <c r="J101" s="202"/>
      <c r="K101" s="202"/>
      <c r="L101" s="211">
        <v>5385</v>
      </c>
      <c r="M101" s="211">
        <v>5655</v>
      </c>
      <c r="N101" s="158">
        <v>6031</v>
      </c>
      <c r="O101" s="158">
        <v>5319</v>
      </c>
      <c r="P101" s="154">
        <v>5192</v>
      </c>
      <c r="Q101" s="154">
        <v>5452</v>
      </c>
      <c r="R101" s="154">
        <v>5725</v>
      </c>
      <c r="S101" s="154">
        <v>6011</v>
      </c>
      <c r="T101" s="154">
        <v>6312</v>
      </c>
      <c r="V101" s="370"/>
      <c r="W101" s="371"/>
      <c r="X101" s="370"/>
      <c r="Y101" s="371"/>
      <c r="AA101" s="148"/>
    </row>
    <row r="102" spans="1:27" ht="24" customHeight="1">
      <c r="A102" s="263" t="s">
        <v>533</v>
      </c>
      <c r="B102" s="202"/>
      <c r="C102" s="202"/>
      <c r="D102" s="263" t="s">
        <v>532</v>
      </c>
      <c r="E102" s="202"/>
      <c r="F102" s="202"/>
      <c r="G102" s="202"/>
      <c r="H102" s="202"/>
      <c r="I102" s="202"/>
      <c r="J102" s="202"/>
      <c r="K102" s="202"/>
      <c r="L102" s="211">
        <v>657</v>
      </c>
      <c r="M102" s="211">
        <v>657</v>
      </c>
      <c r="N102" s="158">
        <v>657</v>
      </c>
      <c r="O102" s="158">
        <v>708</v>
      </c>
      <c r="P102" s="154">
        <v>707</v>
      </c>
      <c r="Q102" s="154">
        <v>707</v>
      </c>
      <c r="R102" s="154">
        <v>707</v>
      </c>
      <c r="S102" s="154">
        <v>728</v>
      </c>
      <c r="T102" s="154">
        <v>750</v>
      </c>
      <c r="V102" s="370"/>
      <c r="W102" s="371"/>
      <c r="X102" s="370"/>
      <c r="Y102" s="371"/>
      <c r="AA102" s="148"/>
    </row>
    <row r="103" spans="1:27" ht="24" customHeight="1">
      <c r="A103" s="263" t="s">
        <v>104</v>
      </c>
      <c r="B103" s="264"/>
      <c r="C103" s="264"/>
      <c r="D103" s="263" t="s">
        <v>91</v>
      </c>
      <c r="E103" s="264"/>
      <c r="F103" s="264"/>
      <c r="G103" s="264"/>
      <c r="H103" s="264"/>
      <c r="I103" s="264"/>
      <c r="J103" s="264"/>
      <c r="K103" s="264"/>
      <c r="L103" s="211">
        <v>3167</v>
      </c>
      <c r="M103" s="211">
        <v>2911</v>
      </c>
      <c r="N103" s="150">
        <v>3500</v>
      </c>
      <c r="O103" s="150">
        <v>3500</v>
      </c>
      <c r="P103" s="149">
        <v>3500</v>
      </c>
      <c r="Q103" s="149">
        <v>3500</v>
      </c>
      <c r="R103" s="149">
        <v>3500</v>
      </c>
      <c r="S103" s="149">
        <v>3500</v>
      </c>
      <c r="T103" s="149">
        <v>3500</v>
      </c>
    </row>
    <row r="104" spans="1:27" ht="24" customHeight="1">
      <c r="A104" s="263" t="s">
        <v>196</v>
      </c>
      <c r="B104" s="202"/>
      <c r="C104" s="202"/>
      <c r="D104" s="627" t="s">
        <v>105</v>
      </c>
      <c r="E104" s="628"/>
      <c r="F104" s="628"/>
      <c r="G104" s="628"/>
      <c r="H104" s="628"/>
      <c r="I104" s="628"/>
      <c r="J104" s="628"/>
      <c r="K104" s="628"/>
      <c r="L104" s="211">
        <v>33000</v>
      </c>
      <c r="M104" s="211">
        <v>34000</v>
      </c>
      <c r="N104" s="150">
        <v>35420</v>
      </c>
      <c r="O104" s="150">
        <v>29000</v>
      </c>
      <c r="P104" s="149">
        <f>29800+3400</f>
        <v>33200</v>
      </c>
      <c r="Q104" s="149">
        <f>30600+3500</f>
        <v>34100</v>
      </c>
      <c r="R104" s="149">
        <f>31400+3600</f>
        <v>35000</v>
      </c>
      <c r="S104" s="149">
        <f>32200+3700</f>
        <v>35900</v>
      </c>
      <c r="T104" s="149">
        <v>40000</v>
      </c>
      <c r="V104" s="370"/>
      <c r="W104" s="371"/>
      <c r="X104" s="664"/>
      <c r="Y104" s="148"/>
    </row>
    <row r="105" spans="1:27" ht="24" customHeight="1">
      <c r="A105" s="263" t="s">
        <v>103</v>
      </c>
      <c r="B105" s="202"/>
      <c r="C105" s="202"/>
      <c r="D105" s="263" t="s">
        <v>960</v>
      </c>
      <c r="E105" s="202"/>
      <c r="F105" s="202"/>
      <c r="G105" s="202"/>
      <c r="H105" s="202"/>
      <c r="I105" s="202"/>
      <c r="J105" s="202"/>
      <c r="K105" s="202"/>
      <c r="L105" s="209">
        <v>274</v>
      </c>
      <c r="M105" s="209">
        <v>261</v>
      </c>
      <c r="N105" s="147">
        <v>1500</v>
      </c>
      <c r="O105" s="147">
        <v>500</v>
      </c>
      <c r="P105" s="146">
        <v>1000</v>
      </c>
      <c r="Q105" s="146">
        <v>1000</v>
      </c>
      <c r="R105" s="146">
        <v>1000</v>
      </c>
      <c r="S105" s="146">
        <v>1000</v>
      </c>
      <c r="T105" s="146">
        <v>1000</v>
      </c>
      <c r="V105" s="148"/>
    </row>
    <row r="106" spans="1:27" ht="24" customHeight="1">
      <c r="A106" s="727" t="s">
        <v>1359</v>
      </c>
      <c r="B106" s="726"/>
      <c r="C106" s="726"/>
      <c r="D106" s="1" t="s">
        <v>1358</v>
      </c>
      <c r="E106" s="726"/>
      <c r="F106" s="726"/>
      <c r="G106" s="726"/>
      <c r="H106" s="726"/>
      <c r="I106" s="726"/>
      <c r="J106" s="726"/>
      <c r="K106" s="726"/>
      <c r="L106" s="215">
        <v>0</v>
      </c>
      <c r="M106" s="215">
        <v>0</v>
      </c>
      <c r="N106" s="158">
        <v>0</v>
      </c>
      <c r="O106" s="158">
        <v>0</v>
      </c>
      <c r="P106" s="157">
        <v>2836</v>
      </c>
      <c r="Q106" s="157">
        <v>0</v>
      </c>
      <c r="R106" s="157">
        <v>0</v>
      </c>
      <c r="S106" s="157">
        <v>1458</v>
      </c>
      <c r="T106" s="157">
        <v>1914</v>
      </c>
      <c r="V106" s="148"/>
    </row>
    <row r="107" spans="1:27" ht="24" customHeight="1">
      <c r="A107" s="263" t="s">
        <v>102</v>
      </c>
      <c r="B107" s="264"/>
      <c r="C107" s="264"/>
      <c r="D107" s="263" t="s">
        <v>961</v>
      </c>
      <c r="E107" s="521"/>
      <c r="F107" s="521"/>
      <c r="G107" s="522"/>
      <c r="H107" s="522"/>
      <c r="I107" s="522"/>
      <c r="J107" s="522"/>
      <c r="K107" s="522"/>
      <c r="L107" s="209">
        <v>2853</v>
      </c>
      <c r="M107" s="209">
        <v>2572</v>
      </c>
      <c r="N107" s="147">
        <v>4000</v>
      </c>
      <c r="O107" s="147">
        <v>3000</v>
      </c>
      <c r="P107" s="146">
        <v>3500</v>
      </c>
      <c r="Q107" s="146">
        <v>3500</v>
      </c>
      <c r="R107" s="146">
        <v>3500</v>
      </c>
      <c r="S107" s="146">
        <v>3500</v>
      </c>
      <c r="T107" s="146">
        <v>3500</v>
      </c>
      <c r="V107" s="148"/>
    </row>
    <row r="108" spans="1:27" ht="24" customHeight="1">
      <c r="A108" s="263" t="s">
        <v>101</v>
      </c>
      <c r="B108" s="202"/>
      <c r="C108" s="202"/>
      <c r="D108" s="263" t="s">
        <v>224</v>
      </c>
      <c r="E108" s="522"/>
      <c r="F108" s="522"/>
      <c r="G108" s="522"/>
      <c r="H108" s="522"/>
      <c r="I108" s="522"/>
      <c r="J108" s="522"/>
      <c r="K108" s="522"/>
      <c r="L108" s="209">
        <v>1153</v>
      </c>
      <c r="M108" s="209">
        <v>1150</v>
      </c>
      <c r="N108" s="147">
        <v>1200</v>
      </c>
      <c r="O108" s="147">
        <v>1200</v>
      </c>
      <c r="P108" s="146">
        <v>1250</v>
      </c>
      <c r="Q108" s="146">
        <v>1250</v>
      </c>
      <c r="R108" s="146">
        <v>1250</v>
      </c>
      <c r="S108" s="146">
        <v>1250</v>
      </c>
      <c r="T108" s="146">
        <v>1250</v>
      </c>
      <c r="V108" s="148"/>
    </row>
    <row r="109" spans="1:27" ht="24" customHeight="1">
      <c r="A109" s="263" t="s">
        <v>100</v>
      </c>
      <c r="B109" s="202"/>
      <c r="C109" s="202"/>
      <c r="D109" s="263" t="s">
        <v>89</v>
      </c>
      <c r="E109" s="522"/>
      <c r="F109" s="522"/>
      <c r="G109" s="521"/>
      <c r="H109" s="521"/>
      <c r="I109" s="521"/>
      <c r="J109" s="521"/>
      <c r="K109" s="521"/>
      <c r="L109" s="209">
        <v>1104</v>
      </c>
      <c r="M109" s="209">
        <v>1033</v>
      </c>
      <c r="N109" s="147">
        <v>1300</v>
      </c>
      <c r="O109" s="147">
        <v>1000</v>
      </c>
      <c r="P109" s="146">
        <v>1200</v>
      </c>
      <c r="Q109" s="146">
        <v>1200</v>
      </c>
      <c r="R109" s="146">
        <v>1200</v>
      </c>
      <c r="S109" s="146">
        <v>1200</v>
      </c>
      <c r="T109" s="146">
        <v>1200</v>
      </c>
    </row>
    <row r="110" spans="1:27" ht="24" customHeight="1">
      <c r="A110" s="263" t="s">
        <v>197</v>
      </c>
      <c r="B110" s="264"/>
      <c r="C110" s="264"/>
      <c r="D110" s="263" t="s">
        <v>962</v>
      </c>
      <c r="E110" s="264"/>
      <c r="F110" s="264"/>
      <c r="G110" s="264"/>
      <c r="H110" s="264"/>
      <c r="I110" s="264"/>
      <c r="J110" s="202"/>
      <c r="K110" s="202"/>
      <c r="L110" s="211">
        <v>528</v>
      </c>
      <c r="M110" s="211">
        <v>1010</v>
      </c>
      <c r="N110" s="150">
        <v>1000</v>
      </c>
      <c r="O110" s="150">
        <v>1000</v>
      </c>
      <c r="P110" s="149">
        <v>1250</v>
      </c>
      <c r="Q110" s="149">
        <v>1250</v>
      </c>
      <c r="R110" s="149">
        <v>1250</v>
      </c>
      <c r="S110" s="149">
        <v>1250</v>
      </c>
      <c r="T110" s="149">
        <v>1250</v>
      </c>
    </row>
    <row r="111" spans="1:27" ht="24" customHeight="1">
      <c r="A111" s="263" t="s">
        <v>99</v>
      </c>
      <c r="B111" s="264"/>
      <c r="C111" s="264"/>
      <c r="D111" s="733" t="s">
        <v>10</v>
      </c>
      <c r="E111" s="731"/>
      <c r="F111" s="731"/>
      <c r="G111" s="732"/>
      <c r="H111" s="732"/>
      <c r="I111" s="732"/>
      <c r="J111" s="732"/>
      <c r="K111" s="732"/>
      <c r="L111" s="224">
        <v>35714</v>
      </c>
      <c r="M111" s="224">
        <v>39002</v>
      </c>
      <c r="N111" s="170">
        <v>45000</v>
      </c>
      <c r="O111" s="170">
        <v>45000</v>
      </c>
      <c r="P111" s="169">
        <v>46000</v>
      </c>
      <c r="Q111" s="169">
        <v>46000</v>
      </c>
      <c r="R111" s="169">
        <v>46000</v>
      </c>
      <c r="S111" s="169">
        <v>46000</v>
      </c>
      <c r="T111" s="169">
        <v>46000</v>
      </c>
    </row>
    <row r="112" spans="1:27" ht="24" customHeight="1">
      <c r="A112" s="263" t="s">
        <v>98</v>
      </c>
      <c r="B112" s="202"/>
      <c r="C112" s="202"/>
      <c r="D112" s="733" t="s">
        <v>86</v>
      </c>
      <c r="E112" s="732"/>
      <c r="F112" s="732"/>
      <c r="G112" s="732"/>
      <c r="H112" s="732"/>
      <c r="I112" s="732"/>
      <c r="J112" s="731"/>
      <c r="K112" s="731"/>
      <c r="L112" s="224">
        <v>2079</v>
      </c>
      <c r="M112" s="224">
        <v>1995</v>
      </c>
      <c r="N112" s="147">
        <v>2500</v>
      </c>
      <c r="O112" s="147">
        <v>2200</v>
      </c>
      <c r="P112" s="146">
        <v>2200</v>
      </c>
      <c r="Q112" s="146">
        <v>2200</v>
      </c>
      <c r="R112" s="146">
        <v>2200</v>
      </c>
      <c r="S112" s="146">
        <v>2200</v>
      </c>
      <c r="T112" s="146">
        <v>2200</v>
      </c>
    </row>
    <row r="113" spans="1:31" ht="24" customHeight="1">
      <c r="A113" s="263" t="s">
        <v>106</v>
      </c>
      <c r="B113" s="202"/>
      <c r="C113" s="202"/>
      <c r="D113" s="263" t="s">
        <v>11</v>
      </c>
      <c r="E113" s="202"/>
      <c r="F113" s="202"/>
      <c r="G113" s="202"/>
      <c r="H113" s="202"/>
      <c r="I113" s="202"/>
      <c r="J113" s="202"/>
      <c r="K113" s="202"/>
      <c r="L113" s="216">
        <v>2650</v>
      </c>
      <c r="M113" s="216">
        <f>2493+35</f>
        <v>2528</v>
      </c>
      <c r="N113" s="172">
        <v>2700</v>
      </c>
      <c r="O113" s="172">
        <v>2700</v>
      </c>
      <c r="P113" s="160">
        <v>2700</v>
      </c>
      <c r="Q113" s="160">
        <v>2700</v>
      </c>
      <c r="R113" s="160">
        <v>2700</v>
      </c>
      <c r="S113" s="160">
        <v>2700</v>
      </c>
      <c r="T113" s="160">
        <v>2700</v>
      </c>
    </row>
    <row r="114" spans="1:31" s="202" customFormat="1" ht="24" customHeight="1">
      <c r="A114" s="263"/>
      <c r="D114" s="263"/>
      <c r="L114" s="222">
        <f t="shared" ref="L114:T114" si="8">SUM(L96:L113)</f>
        <v>376559</v>
      </c>
      <c r="M114" s="222">
        <f t="shared" si="8"/>
        <v>399439</v>
      </c>
      <c r="N114" s="225">
        <f t="shared" si="8"/>
        <v>466157</v>
      </c>
      <c r="O114" s="225">
        <f>SUM(O96:O113)</f>
        <v>446554</v>
      </c>
      <c r="P114" s="234">
        <f t="shared" si="8"/>
        <v>490629</v>
      </c>
      <c r="Q114" s="234">
        <f t="shared" si="8"/>
        <v>504580</v>
      </c>
      <c r="R114" s="234">
        <f t="shared" si="8"/>
        <v>521276</v>
      </c>
      <c r="S114" s="234">
        <f t="shared" si="8"/>
        <v>540209</v>
      </c>
      <c r="T114" s="234">
        <f t="shared" si="8"/>
        <v>562145</v>
      </c>
      <c r="U114" s="65"/>
      <c r="V114" s="845"/>
      <c r="W114" s="845"/>
      <c r="X114" s="844"/>
      <c r="Y114" s="838"/>
      <c r="Z114" s="838"/>
      <c r="AA114" s="838"/>
      <c r="AB114" s="838"/>
      <c r="AC114" s="838"/>
      <c r="AD114" s="838"/>
      <c r="AE114" s="838"/>
    </row>
    <row r="115" spans="1:31" ht="15" customHeight="1">
      <c r="A115" s="263"/>
      <c r="B115" s="202"/>
      <c r="C115" s="202"/>
      <c r="D115" s="263"/>
      <c r="E115" s="202"/>
      <c r="F115" s="202"/>
      <c r="G115" s="202"/>
      <c r="H115" s="202"/>
      <c r="I115" s="202"/>
      <c r="J115" s="202"/>
      <c r="K115" s="202"/>
      <c r="L115" s="209"/>
      <c r="M115" s="209"/>
      <c r="N115" s="147"/>
      <c r="O115" s="147"/>
      <c r="P115" s="146"/>
      <c r="Q115" s="146"/>
      <c r="R115" s="146"/>
      <c r="S115" s="146"/>
      <c r="T115" s="146"/>
    </row>
    <row r="116" spans="1:31" ht="24" customHeight="1">
      <c r="A116" s="267" t="s">
        <v>483</v>
      </c>
      <c r="B116" s="202"/>
      <c r="C116" s="202"/>
      <c r="D116" s="202"/>
      <c r="E116" s="202"/>
      <c r="F116" s="202"/>
      <c r="G116" s="202"/>
      <c r="H116" s="202"/>
      <c r="I116" s="202"/>
      <c r="J116" s="202"/>
      <c r="K116" s="202"/>
      <c r="L116" s="218"/>
      <c r="M116" s="218"/>
      <c r="N116" s="164"/>
      <c r="O116" s="164"/>
      <c r="P116" s="163"/>
      <c r="Q116" s="163"/>
      <c r="R116" s="163"/>
      <c r="S116" s="163"/>
      <c r="T116" s="163"/>
    </row>
    <row r="117" spans="1:31" ht="24" customHeight="1">
      <c r="A117" s="263" t="s">
        <v>952</v>
      </c>
      <c r="B117" s="266"/>
      <c r="C117" s="266"/>
      <c r="D117" s="263" t="s">
        <v>114</v>
      </c>
      <c r="E117" s="266"/>
      <c r="F117" s="266"/>
      <c r="G117" s="266"/>
      <c r="H117" s="266"/>
      <c r="I117" s="266"/>
      <c r="J117" s="266"/>
      <c r="K117" s="266"/>
      <c r="L117" s="212">
        <v>1585447</v>
      </c>
      <c r="M117" s="212">
        <v>1542800</v>
      </c>
      <c r="N117" s="158">
        <v>1660659</v>
      </c>
      <c r="O117" s="158">
        <v>1655000</v>
      </c>
      <c r="P117" s="157">
        <v>1775116</v>
      </c>
      <c r="Q117" s="157">
        <v>1828369</v>
      </c>
      <c r="R117" s="157">
        <v>1883220</v>
      </c>
      <c r="S117" s="157">
        <v>1939717</v>
      </c>
      <c r="T117" s="157">
        <v>1997909</v>
      </c>
      <c r="V117" s="370"/>
      <c r="W117" s="371"/>
      <c r="Z117" s="151"/>
    </row>
    <row r="118" spans="1:31" ht="24" customHeight="1">
      <c r="A118" s="263" t="s">
        <v>653</v>
      </c>
      <c r="B118" s="266"/>
      <c r="C118" s="266"/>
      <c r="D118" s="265" t="s">
        <v>654</v>
      </c>
      <c r="E118" s="266"/>
      <c r="F118" s="266"/>
      <c r="G118" s="266"/>
      <c r="H118" s="266"/>
      <c r="I118" s="266"/>
      <c r="J118" s="266"/>
      <c r="K118" s="266"/>
      <c r="L118" s="212">
        <v>341359</v>
      </c>
      <c r="M118" s="212">
        <v>351000</v>
      </c>
      <c r="N118" s="158">
        <v>370238</v>
      </c>
      <c r="O118" s="158">
        <v>366000</v>
      </c>
      <c r="P118" s="157">
        <v>385551</v>
      </c>
      <c r="Q118" s="157">
        <v>397118</v>
      </c>
      <c r="R118" s="157">
        <v>409032</v>
      </c>
      <c r="S118" s="157">
        <v>421303</v>
      </c>
      <c r="T118" s="157">
        <v>433942</v>
      </c>
      <c r="V118" s="370"/>
      <c r="W118" s="371"/>
      <c r="Z118" s="148"/>
    </row>
    <row r="119" spans="1:31" ht="24" customHeight="1">
      <c r="A119" s="263" t="s">
        <v>111</v>
      </c>
      <c r="B119" s="266"/>
      <c r="C119" s="266"/>
      <c r="D119" s="593" t="s">
        <v>655</v>
      </c>
      <c r="E119" s="266"/>
      <c r="F119" s="266"/>
      <c r="G119" s="266"/>
      <c r="H119" s="266"/>
      <c r="I119" s="266"/>
      <c r="J119" s="266"/>
      <c r="K119" s="266"/>
      <c r="L119" s="209">
        <v>447154</v>
      </c>
      <c r="M119" s="209">
        <v>577455</v>
      </c>
      <c r="N119" s="158">
        <v>593259</v>
      </c>
      <c r="O119" s="158">
        <v>593259</v>
      </c>
      <c r="P119" s="157">
        <v>616592</v>
      </c>
      <c r="Q119" s="157">
        <v>635090</v>
      </c>
      <c r="R119" s="157">
        <v>654143</v>
      </c>
      <c r="S119" s="157">
        <v>673767</v>
      </c>
      <c r="T119" s="157">
        <v>693980</v>
      </c>
      <c r="V119" s="370"/>
      <c r="W119" s="371"/>
    </row>
    <row r="120" spans="1:31" ht="24" customHeight="1">
      <c r="A120" s="263" t="s">
        <v>110</v>
      </c>
      <c r="B120" s="266"/>
      <c r="C120" s="266"/>
      <c r="D120" s="263" t="s">
        <v>113</v>
      </c>
      <c r="E120" s="266"/>
      <c r="F120" s="266"/>
      <c r="G120" s="266"/>
      <c r="H120" s="266"/>
      <c r="I120" s="266"/>
      <c r="J120" s="266"/>
      <c r="K120" s="266"/>
      <c r="L120" s="211">
        <v>132096</v>
      </c>
      <c r="M120" s="211">
        <v>136050</v>
      </c>
      <c r="N120" s="158">
        <v>147006</v>
      </c>
      <c r="O120" s="158">
        <v>153750</v>
      </c>
      <c r="P120" s="157">
        <v>169464</v>
      </c>
      <c r="Q120" s="157">
        <v>174548</v>
      </c>
      <c r="R120" s="157">
        <v>179784</v>
      </c>
      <c r="S120" s="157">
        <v>185178</v>
      </c>
      <c r="T120" s="157">
        <v>190733</v>
      </c>
      <c r="V120" s="370"/>
      <c r="W120" s="371"/>
    </row>
    <row r="121" spans="1:31" ht="24" customHeight="1">
      <c r="A121" s="263" t="s">
        <v>109</v>
      </c>
      <c r="B121" s="266"/>
      <c r="C121" s="266"/>
      <c r="D121" s="263" t="s">
        <v>112</v>
      </c>
      <c r="E121" s="266"/>
      <c r="F121" s="266"/>
      <c r="G121" s="266"/>
      <c r="H121" s="266"/>
      <c r="I121" s="266"/>
      <c r="J121" s="266"/>
      <c r="K121" s="266"/>
      <c r="L121" s="211">
        <v>22945</v>
      </c>
      <c r="M121" s="211">
        <v>23437</v>
      </c>
      <c r="N121" s="150">
        <v>22000</v>
      </c>
      <c r="O121" s="150">
        <v>22000</v>
      </c>
      <c r="P121" s="149">
        <v>24000</v>
      </c>
      <c r="Q121" s="149">
        <v>24000</v>
      </c>
      <c r="R121" s="149">
        <v>24000</v>
      </c>
      <c r="S121" s="149">
        <v>24000</v>
      </c>
      <c r="T121" s="149">
        <v>24000</v>
      </c>
      <c r="V121" s="370"/>
      <c r="W121" s="371"/>
    </row>
    <row r="122" spans="1:31" ht="24" customHeight="1">
      <c r="A122" s="263" t="s">
        <v>108</v>
      </c>
      <c r="B122" s="266"/>
      <c r="C122" s="266"/>
      <c r="D122" s="593" t="s">
        <v>69</v>
      </c>
      <c r="E122" s="266"/>
      <c r="F122" s="266"/>
      <c r="G122" s="266"/>
      <c r="H122" s="266"/>
      <c r="I122" s="266"/>
      <c r="J122" s="266"/>
      <c r="K122" s="266"/>
      <c r="L122" s="209">
        <v>43667</v>
      </c>
      <c r="M122" s="209">
        <v>50180</v>
      </c>
      <c r="N122" s="147">
        <v>70000</v>
      </c>
      <c r="O122" s="147">
        <v>45000</v>
      </c>
      <c r="P122" s="146">
        <v>70000</v>
      </c>
      <c r="Q122" s="146">
        <v>70000</v>
      </c>
      <c r="R122" s="146">
        <v>70000</v>
      </c>
      <c r="S122" s="146">
        <v>70000</v>
      </c>
      <c r="T122" s="146">
        <v>70000</v>
      </c>
      <c r="V122" s="370"/>
      <c r="W122" s="371"/>
    </row>
    <row r="123" spans="1:31" ht="24" customHeight="1">
      <c r="A123" s="263" t="s">
        <v>107</v>
      </c>
      <c r="B123" s="264"/>
      <c r="C123" s="264"/>
      <c r="D123" s="263" t="s">
        <v>14</v>
      </c>
      <c r="E123" s="264"/>
      <c r="F123" s="264"/>
      <c r="G123" s="264"/>
      <c r="H123" s="264"/>
      <c r="I123" s="264"/>
      <c r="J123" s="264"/>
      <c r="K123" s="264"/>
      <c r="L123" s="212">
        <v>87307</v>
      </c>
      <c r="M123" s="212">
        <v>99841</v>
      </c>
      <c r="N123" s="147">
        <v>111000</v>
      </c>
      <c r="O123" s="147">
        <v>111000</v>
      </c>
      <c r="P123" s="146">
        <v>111000</v>
      </c>
      <c r="Q123" s="146">
        <v>111000</v>
      </c>
      <c r="R123" s="146">
        <v>111000</v>
      </c>
      <c r="S123" s="146">
        <v>111000</v>
      </c>
      <c r="T123" s="146">
        <v>111000</v>
      </c>
      <c r="V123" s="370"/>
      <c r="W123" s="371"/>
    </row>
    <row r="124" spans="1:31" ht="24" customHeight="1">
      <c r="A124" s="263" t="s">
        <v>117</v>
      </c>
      <c r="B124" s="264"/>
      <c r="C124" s="264"/>
      <c r="D124" s="263" t="s">
        <v>8</v>
      </c>
      <c r="E124" s="264"/>
      <c r="F124" s="264"/>
      <c r="G124" s="264"/>
      <c r="H124" s="264"/>
      <c r="I124" s="264"/>
      <c r="J124" s="264"/>
      <c r="K124" s="264"/>
      <c r="L124" s="211">
        <v>14283</v>
      </c>
      <c r="M124" s="211">
        <v>14661</v>
      </c>
      <c r="N124" s="158">
        <v>16048</v>
      </c>
      <c r="O124" s="158">
        <v>16500</v>
      </c>
      <c r="P124" s="157">
        <v>18105</v>
      </c>
      <c r="Q124" s="149">
        <v>19165</v>
      </c>
      <c r="R124" s="149">
        <v>20316</v>
      </c>
      <c r="S124" s="149">
        <v>21555</v>
      </c>
      <c r="T124" s="149">
        <v>22869</v>
      </c>
      <c r="V124" s="370"/>
      <c r="W124" s="371"/>
    </row>
    <row r="125" spans="1:31" ht="24" customHeight="1">
      <c r="A125" s="263" t="s">
        <v>116</v>
      </c>
      <c r="B125" s="202"/>
      <c r="C125" s="202"/>
      <c r="D125" s="912" t="s">
        <v>1036</v>
      </c>
      <c r="E125" s="912"/>
      <c r="F125" s="912"/>
      <c r="G125" s="912"/>
      <c r="H125" s="912"/>
      <c r="I125" s="912"/>
      <c r="J125" s="912"/>
      <c r="K125" s="912"/>
      <c r="L125" s="211">
        <v>722940</v>
      </c>
      <c r="M125" s="211">
        <v>825413</v>
      </c>
      <c r="N125" s="456">
        <v>966211</v>
      </c>
      <c r="O125" s="456">
        <v>966211</v>
      </c>
      <c r="P125" s="211">
        <v>963361</v>
      </c>
      <c r="Q125" s="211">
        <v>1008544</v>
      </c>
      <c r="R125" s="211">
        <v>1058544</v>
      </c>
      <c r="S125" s="211">
        <v>1108544</v>
      </c>
      <c r="T125" s="211">
        <v>1158544</v>
      </c>
      <c r="V125" s="148"/>
      <c r="AA125" s="485"/>
    </row>
    <row r="126" spans="1:31" ht="24" customHeight="1">
      <c r="A126" s="263" t="s">
        <v>115</v>
      </c>
      <c r="B126" s="264"/>
      <c r="C126" s="264"/>
      <c r="D126" s="263" t="s">
        <v>9</v>
      </c>
      <c r="E126" s="264"/>
      <c r="F126" s="264"/>
      <c r="G126" s="264"/>
      <c r="H126" s="264"/>
      <c r="I126" s="264"/>
      <c r="J126" s="264"/>
      <c r="K126" s="264"/>
      <c r="L126" s="211">
        <v>195360</v>
      </c>
      <c r="M126" s="211">
        <v>204346</v>
      </c>
      <c r="N126" s="158">
        <v>221572</v>
      </c>
      <c r="O126" s="158">
        <v>218000</v>
      </c>
      <c r="P126" s="157">
        <v>234853</v>
      </c>
      <c r="Q126" s="157">
        <v>241899</v>
      </c>
      <c r="R126" s="157">
        <v>249156</v>
      </c>
      <c r="S126" s="157">
        <v>256631</v>
      </c>
      <c r="T126" s="157">
        <v>264330</v>
      </c>
      <c r="V126" s="370"/>
      <c r="W126" s="371"/>
      <c r="X126" s="371"/>
      <c r="Y126" s="371"/>
    </row>
    <row r="127" spans="1:31" ht="24" customHeight="1">
      <c r="A127" s="263" t="s">
        <v>512</v>
      </c>
      <c r="B127" s="264"/>
      <c r="C127" s="264"/>
      <c r="D127" s="263" t="s">
        <v>13</v>
      </c>
      <c r="E127" s="264"/>
      <c r="F127" s="264"/>
      <c r="G127" s="264"/>
      <c r="H127" s="264"/>
      <c r="I127" s="264"/>
      <c r="J127" s="264"/>
      <c r="K127" s="264"/>
      <c r="L127" s="212">
        <v>576302</v>
      </c>
      <c r="M127" s="212">
        <v>626179</v>
      </c>
      <c r="N127" s="158">
        <v>734805</v>
      </c>
      <c r="O127" s="158">
        <f>ROUND((537620.6)+(450*3)+(-2846.03*6)+(57198.64*2)+(141*4),0)+15000</f>
        <v>651856</v>
      </c>
      <c r="P127" s="154">
        <v>686289</v>
      </c>
      <c r="Q127" s="154">
        <v>741192</v>
      </c>
      <c r="R127" s="154">
        <v>800487</v>
      </c>
      <c r="S127" s="154">
        <v>864526</v>
      </c>
      <c r="T127" s="154">
        <v>933688</v>
      </c>
      <c r="V127" s="370"/>
      <c r="W127" s="371"/>
      <c r="X127" s="370"/>
      <c r="Y127" s="371"/>
      <c r="AA127" s="148"/>
    </row>
    <row r="128" spans="1:31" ht="24" customHeight="1">
      <c r="A128" s="263" t="s">
        <v>513</v>
      </c>
      <c r="B128" s="264"/>
      <c r="C128" s="264"/>
      <c r="D128" s="263" t="s">
        <v>173</v>
      </c>
      <c r="E128" s="264"/>
      <c r="F128" s="264"/>
      <c r="G128" s="264"/>
      <c r="H128" s="264"/>
      <c r="I128" s="264"/>
      <c r="J128" s="264"/>
      <c r="K128" s="264"/>
      <c r="L128" s="212">
        <v>3817</v>
      </c>
      <c r="M128" s="212">
        <v>3416</v>
      </c>
      <c r="N128" s="158">
        <v>3514</v>
      </c>
      <c r="O128" s="158">
        <f>ROUND((3440.56)+(609.07*2)+(-266.62*2),0)</f>
        <v>4125</v>
      </c>
      <c r="P128" s="154">
        <v>2619</v>
      </c>
      <c r="Q128" s="154">
        <v>2645</v>
      </c>
      <c r="R128" s="154">
        <v>2671</v>
      </c>
      <c r="S128" s="154">
        <v>2698</v>
      </c>
      <c r="T128" s="154">
        <v>2725</v>
      </c>
      <c r="V128" s="370"/>
      <c r="W128" s="371"/>
      <c r="X128" s="370"/>
      <c r="Y128" s="371"/>
      <c r="AA128" s="148"/>
    </row>
    <row r="129" spans="1:27" ht="24" customHeight="1">
      <c r="A129" s="263" t="s">
        <v>514</v>
      </c>
      <c r="B129" s="264"/>
      <c r="C129" s="264"/>
      <c r="D129" s="263" t="s">
        <v>530</v>
      </c>
      <c r="E129" s="264"/>
      <c r="F129" s="264"/>
      <c r="G129" s="264"/>
      <c r="H129" s="264"/>
      <c r="I129" s="264"/>
      <c r="J129" s="264"/>
      <c r="K129" s="264"/>
      <c r="L129" s="212">
        <v>46802</v>
      </c>
      <c r="M129" s="212">
        <v>48646</v>
      </c>
      <c r="N129" s="158">
        <v>53189</v>
      </c>
      <c r="O129" s="158">
        <f>ROUND((39925.99)+(4171.64*2),0)</f>
        <v>48269</v>
      </c>
      <c r="P129" s="154">
        <v>48434</v>
      </c>
      <c r="Q129" s="154">
        <v>50856</v>
      </c>
      <c r="R129" s="154">
        <v>53399</v>
      </c>
      <c r="S129" s="154">
        <v>56069</v>
      </c>
      <c r="T129" s="154">
        <v>58872</v>
      </c>
      <c r="V129" s="370"/>
      <c r="W129" s="371"/>
      <c r="X129" s="370"/>
      <c r="Y129" s="371"/>
      <c r="AA129" s="148"/>
    </row>
    <row r="130" spans="1:27" ht="24" customHeight="1">
      <c r="A130" s="263" t="s">
        <v>534</v>
      </c>
      <c r="B130" s="264"/>
      <c r="C130" s="264"/>
      <c r="D130" s="263" t="s">
        <v>532</v>
      </c>
      <c r="E130" s="264"/>
      <c r="F130" s="264"/>
      <c r="G130" s="264"/>
      <c r="H130" s="264"/>
      <c r="I130" s="264"/>
      <c r="J130" s="264"/>
      <c r="K130" s="264"/>
      <c r="L130" s="212">
        <v>5939</v>
      </c>
      <c r="M130" s="212">
        <v>5928</v>
      </c>
      <c r="N130" s="158">
        <v>6319</v>
      </c>
      <c r="O130" s="158">
        <f>ROUND((5467.35)+(588.78*2),0)</f>
        <v>6645</v>
      </c>
      <c r="P130" s="154">
        <v>6761</v>
      </c>
      <c r="Q130" s="154">
        <v>6761</v>
      </c>
      <c r="R130" s="154">
        <v>6761</v>
      </c>
      <c r="S130" s="154">
        <v>6964</v>
      </c>
      <c r="T130" s="154">
        <v>7173</v>
      </c>
      <c r="V130" s="370"/>
      <c r="W130" s="371"/>
      <c r="X130" s="370"/>
      <c r="Y130" s="371"/>
      <c r="AA130" s="148"/>
    </row>
    <row r="131" spans="1:27" ht="24" customHeight="1">
      <c r="A131" s="263" t="s">
        <v>198</v>
      </c>
      <c r="B131" s="202"/>
      <c r="C131" s="202"/>
      <c r="D131" s="631" t="s">
        <v>92</v>
      </c>
      <c r="E131" s="633"/>
      <c r="F131" s="633"/>
      <c r="G131" s="633"/>
      <c r="H131" s="633"/>
      <c r="I131" s="633"/>
      <c r="J131" s="633"/>
      <c r="K131" s="633"/>
      <c r="L131" s="209">
        <v>3216</v>
      </c>
      <c r="M131" s="209">
        <v>9832</v>
      </c>
      <c r="N131" s="147">
        <v>21547</v>
      </c>
      <c r="O131" s="147">
        <v>8442</v>
      </c>
      <c r="P131" s="146">
        <v>15000</v>
      </c>
      <c r="Q131" s="146">
        <v>2800</v>
      </c>
      <c r="R131" s="146">
        <v>2800</v>
      </c>
      <c r="S131" s="146">
        <v>2800</v>
      </c>
      <c r="T131" s="146">
        <v>2800</v>
      </c>
      <c r="V131" s="148"/>
    </row>
    <row r="132" spans="1:27" ht="24" customHeight="1">
      <c r="A132" s="263" t="s">
        <v>231</v>
      </c>
      <c r="B132" s="202"/>
      <c r="C132" s="202"/>
      <c r="D132" s="263" t="s">
        <v>230</v>
      </c>
      <c r="E132" s="202"/>
      <c r="F132" s="202"/>
      <c r="G132" s="202"/>
      <c r="H132" s="202"/>
      <c r="I132" s="202"/>
      <c r="J132" s="202"/>
      <c r="K132" s="202"/>
      <c r="L132" s="209">
        <v>996</v>
      </c>
      <c r="M132" s="209">
        <v>3198</v>
      </c>
      <c r="N132" s="147">
        <v>15000</v>
      </c>
      <c r="O132" s="147">
        <v>15000</v>
      </c>
      <c r="P132" s="146">
        <v>4000</v>
      </c>
      <c r="Q132" s="146">
        <v>4000</v>
      </c>
      <c r="R132" s="146">
        <v>15000</v>
      </c>
      <c r="S132" s="182">
        <v>4000</v>
      </c>
      <c r="T132" s="146">
        <v>4000</v>
      </c>
      <c r="V132" s="370"/>
      <c r="W132" s="371"/>
      <c r="X132" s="664"/>
    </row>
    <row r="133" spans="1:27" ht="24" customHeight="1">
      <c r="A133" s="263" t="s">
        <v>199</v>
      </c>
      <c r="B133" s="202"/>
      <c r="C133" s="202"/>
      <c r="D133" s="263" t="s">
        <v>128</v>
      </c>
      <c r="E133" s="202"/>
      <c r="F133" s="202"/>
      <c r="G133" s="202"/>
      <c r="H133" s="202"/>
      <c r="I133" s="202"/>
      <c r="J133" s="202"/>
      <c r="K133" s="202"/>
      <c r="L133" s="212">
        <v>7879</v>
      </c>
      <c r="M133" s="212">
        <v>12433</v>
      </c>
      <c r="N133" s="147">
        <v>21000</v>
      </c>
      <c r="O133" s="147">
        <v>21000</v>
      </c>
      <c r="P133" s="146">
        <f>18000+3000</f>
        <v>21000</v>
      </c>
      <c r="Q133" s="146">
        <f>18000+3000</f>
        <v>21000</v>
      </c>
      <c r="R133" s="146">
        <f>18000+3000</f>
        <v>21000</v>
      </c>
      <c r="S133" s="146">
        <f>18000+3000</f>
        <v>21000</v>
      </c>
      <c r="T133" s="146">
        <f>18000+3000</f>
        <v>21000</v>
      </c>
    </row>
    <row r="134" spans="1:27" ht="24" customHeight="1">
      <c r="A134" s="263" t="s">
        <v>126</v>
      </c>
      <c r="B134" s="202"/>
      <c r="C134" s="202"/>
      <c r="D134" s="263" t="s">
        <v>960</v>
      </c>
      <c r="E134" s="202"/>
      <c r="F134" s="202"/>
      <c r="G134" s="202"/>
      <c r="H134" s="202"/>
      <c r="I134" s="202"/>
      <c r="J134" s="202"/>
      <c r="K134" s="202"/>
      <c r="L134" s="211">
        <v>2671</v>
      </c>
      <c r="M134" s="211">
        <v>1253</v>
      </c>
      <c r="N134" s="150">
        <v>10000</v>
      </c>
      <c r="O134" s="150">
        <v>7000</v>
      </c>
      <c r="P134" s="149">
        <v>10000</v>
      </c>
      <c r="Q134" s="149">
        <v>10000</v>
      </c>
      <c r="R134" s="149">
        <v>10000</v>
      </c>
      <c r="S134" s="149">
        <v>10000</v>
      </c>
      <c r="T134" s="149">
        <v>10000</v>
      </c>
    </row>
    <row r="135" spans="1:27" ht="24" customHeight="1">
      <c r="A135" s="263" t="s">
        <v>916</v>
      </c>
      <c r="B135" s="202"/>
      <c r="C135" s="202"/>
      <c r="D135" s="263" t="s">
        <v>917</v>
      </c>
      <c r="E135" s="320"/>
      <c r="F135" s="320"/>
      <c r="G135" s="320"/>
      <c r="H135" s="320"/>
      <c r="I135" s="320"/>
      <c r="J135" s="320"/>
      <c r="K135" s="320"/>
      <c r="L135" s="209">
        <v>174263</v>
      </c>
      <c r="M135" s="209">
        <v>97459</v>
      </c>
      <c r="N135" s="147">
        <v>167600</v>
      </c>
      <c r="O135" s="147">
        <f t="shared" ref="O135:T135" si="9">O459</f>
        <v>150656</v>
      </c>
      <c r="P135" s="146">
        <f t="shared" si="9"/>
        <v>31450</v>
      </c>
      <c r="Q135" s="146">
        <f t="shared" si="9"/>
        <v>34000</v>
      </c>
      <c r="R135" s="146">
        <f t="shared" si="9"/>
        <v>29000</v>
      </c>
      <c r="S135" s="146">
        <f t="shared" si="9"/>
        <v>29000</v>
      </c>
      <c r="T135" s="146">
        <f t="shared" si="9"/>
        <v>29000</v>
      </c>
      <c r="V135" s="148"/>
    </row>
    <row r="136" spans="1:27" ht="24" customHeight="1">
      <c r="A136" s="727" t="s">
        <v>1360</v>
      </c>
      <c r="B136" s="726"/>
      <c r="C136" s="726"/>
      <c r="D136" s="1" t="s">
        <v>1358</v>
      </c>
      <c r="E136" s="726"/>
      <c r="F136" s="726"/>
      <c r="G136" s="726"/>
      <c r="H136" s="726"/>
      <c r="I136" s="726"/>
      <c r="J136" s="726"/>
      <c r="K136" s="726"/>
      <c r="L136" s="215">
        <v>0</v>
      </c>
      <c r="M136" s="215">
        <v>0</v>
      </c>
      <c r="N136" s="158">
        <v>0</v>
      </c>
      <c r="O136" s="158">
        <v>0</v>
      </c>
      <c r="P136" s="157">
        <v>9358</v>
      </c>
      <c r="Q136" s="157">
        <v>4300</v>
      </c>
      <c r="R136" s="157">
        <v>2604</v>
      </c>
      <c r="S136" s="157">
        <v>5832</v>
      </c>
      <c r="T136" s="157">
        <v>9761</v>
      </c>
      <c r="V136" s="148"/>
    </row>
    <row r="137" spans="1:27" ht="24" customHeight="1">
      <c r="A137" s="263" t="s">
        <v>125</v>
      </c>
      <c r="B137" s="202"/>
      <c r="C137" s="202"/>
      <c r="D137" s="263" t="s">
        <v>90</v>
      </c>
      <c r="E137" s="202"/>
      <c r="F137" s="202"/>
      <c r="G137" s="202"/>
      <c r="H137" s="202"/>
      <c r="I137" s="202"/>
      <c r="J137" s="202"/>
      <c r="K137" s="202"/>
      <c r="L137" s="211">
        <v>0</v>
      </c>
      <c r="M137" s="211">
        <v>395</v>
      </c>
      <c r="N137" s="150">
        <v>200</v>
      </c>
      <c r="O137" s="150">
        <v>0</v>
      </c>
      <c r="P137" s="149">
        <v>0</v>
      </c>
      <c r="Q137" s="149">
        <v>0</v>
      </c>
      <c r="R137" s="149">
        <v>0</v>
      </c>
      <c r="S137" s="149">
        <v>0</v>
      </c>
      <c r="T137" s="149">
        <v>0</v>
      </c>
    </row>
    <row r="138" spans="1:27" ht="24" customHeight="1">
      <c r="A138" s="263" t="s">
        <v>124</v>
      </c>
      <c r="B138" s="202"/>
      <c r="C138" s="202"/>
      <c r="D138" s="733" t="s">
        <v>961</v>
      </c>
      <c r="E138" s="732"/>
      <c r="F138" s="732"/>
      <c r="G138" s="732"/>
      <c r="H138" s="732"/>
      <c r="I138" s="732"/>
      <c r="J138" s="732"/>
      <c r="K138" s="732"/>
      <c r="L138" s="209">
        <v>4863</v>
      </c>
      <c r="M138" s="209">
        <v>7931</v>
      </c>
      <c r="N138" s="147">
        <v>4500</v>
      </c>
      <c r="O138" s="147">
        <v>4500</v>
      </c>
      <c r="P138" s="146">
        <v>4500</v>
      </c>
      <c r="Q138" s="146">
        <v>4500</v>
      </c>
      <c r="R138" s="146">
        <v>4500</v>
      </c>
      <c r="S138" s="146">
        <v>4500</v>
      </c>
      <c r="T138" s="146">
        <v>4500</v>
      </c>
    </row>
    <row r="139" spans="1:27" ht="24" customHeight="1">
      <c r="A139" s="263" t="s">
        <v>123</v>
      </c>
      <c r="B139" s="202"/>
      <c r="C139" s="202"/>
      <c r="D139" s="263" t="s">
        <v>224</v>
      </c>
      <c r="E139" s="315"/>
      <c r="F139" s="315"/>
      <c r="G139" s="315"/>
      <c r="H139" s="315"/>
      <c r="I139" s="315"/>
      <c r="J139" s="315"/>
      <c r="K139" s="315"/>
      <c r="L139" s="211">
        <v>29512</v>
      </c>
      <c r="M139" s="211">
        <v>35130</v>
      </c>
      <c r="N139" s="150">
        <v>36500</v>
      </c>
      <c r="O139" s="150">
        <v>36500</v>
      </c>
      <c r="P139" s="149">
        <v>36500</v>
      </c>
      <c r="Q139" s="149">
        <v>36500</v>
      </c>
      <c r="R139" s="149">
        <v>36500</v>
      </c>
      <c r="S139" s="149">
        <v>36500</v>
      </c>
      <c r="T139" s="149">
        <v>36500</v>
      </c>
      <c r="V139" s="148"/>
    </row>
    <row r="140" spans="1:27" ht="24" customHeight="1">
      <c r="A140" s="263" t="s">
        <v>122</v>
      </c>
      <c r="B140" s="202"/>
      <c r="C140" s="202"/>
      <c r="D140" s="263" t="s">
        <v>89</v>
      </c>
      <c r="E140" s="202"/>
      <c r="F140" s="202"/>
      <c r="G140" s="202"/>
      <c r="H140" s="202"/>
      <c r="I140" s="202"/>
      <c r="J140" s="202"/>
      <c r="K140" s="202"/>
      <c r="L140" s="209">
        <v>980</v>
      </c>
      <c r="M140" s="209">
        <v>1129</v>
      </c>
      <c r="N140" s="147">
        <v>1600</v>
      </c>
      <c r="O140" s="147">
        <v>1200</v>
      </c>
      <c r="P140" s="146">
        <v>1600</v>
      </c>
      <c r="Q140" s="146">
        <v>1600</v>
      </c>
      <c r="R140" s="146">
        <v>1600</v>
      </c>
      <c r="S140" s="146">
        <v>1600</v>
      </c>
      <c r="T140" s="146">
        <v>1600</v>
      </c>
    </row>
    <row r="141" spans="1:27" ht="24" customHeight="1">
      <c r="A141" s="263" t="s">
        <v>201</v>
      </c>
      <c r="B141" s="202"/>
      <c r="C141" s="202"/>
      <c r="D141" s="263" t="s">
        <v>962</v>
      </c>
      <c r="E141" s="517"/>
      <c r="F141" s="517"/>
      <c r="G141" s="517"/>
      <c r="H141" s="517"/>
      <c r="I141" s="517"/>
      <c r="J141" s="517"/>
      <c r="K141" s="517"/>
      <c r="L141" s="211">
        <v>1990</v>
      </c>
      <c r="M141" s="211">
        <v>9100</v>
      </c>
      <c r="N141" s="150">
        <v>3750</v>
      </c>
      <c r="O141" s="150">
        <v>5300</v>
      </c>
      <c r="P141" s="149">
        <v>5300</v>
      </c>
      <c r="Q141" s="149">
        <v>5300</v>
      </c>
      <c r="R141" s="149">
        <v>5300</v>
      </c>
      <c r="S141" s="149">
        <v>5300</v>
      </c>
      <c r="T141" s="149">
        <v>5300</v>
      </c>
      <c r="V141" s="411"/>
    </row>
    <row r="142" spans="1:27" ht="24" customHeight="1">
      <c r="A142" s="751" t="s">
        <v>121</v>
      </c>
      <c r="B142" s="517"/>
      <c r="C142" s="517"/>
      <c r="D142" s="263" t="s">
        <v>10</v>
      </c>
      <c r="E142" s="517"/>
      <c r="F142" s="517"/>
      <c r="G142" s="517"/>
      <c r="H142" s="517"/>
      <c r="I142" s="517"/>
      <c r="J142" s="517"/>
      <c r="K142" s="517"/>
      <c r="L142" s="211">
        <v>16861</v>
      </c>
      <c r="M142" s="211">
        <v>21923</v>
      </c>
      <c r="N142" s="150">
        <v>31000</v>
      </c>
      <c r="O142" s="150">
        <v>30000</v>
      </c>
      <c r="P142" s="149">
        <v>30000</v>
      </c>
      <c r="Q142" s="149">
        <v>30000</v>
      </c>
      <c r="R142" s="149">
        <v>30000</v>
      </c>
      <c r="S142" s="149">
        <v>30000</v>
      </c>
      <c r="T142" s="149">
        <v>30000</v>
      </c>
      <c r="V142" s="411"/>
    </row>
    <row r="143" spans="1:27" ht="24" customHeight="1">
      <c r="A143" s="263" t="s">
        <v>120</v>
      </c>
      <c r="B143" s="202"/>
      <c r="C143" s="202"/>
      <c r="D143" s="263" t="s">
        <v>127</v>
      </c>
      <c r="E143" s="202"/>
      <c r="F143" s="202"/>
      <c r="G143" s="202"/>
      <c r="H143" s="202"/>
      <c r="I143" s="202"/>
      <c r="J143" s="202"/>
      <c r="K143" s="202"/>
      <c r="L143" s="212">
        <v>0</v>
      </c>
      <c r="M143" s="212">
        <v>0</v>
      </c>
      <c r="N143" s="147">
        <v>5000</v>
      </c>
      <c r="O143" s="147">
        <v>0</v>
      </c>
      <c r="P143" s="146">
        <v>0</v>
      </c>
      <c r="Q143" s="146">
        <v>0</v>
      </c>
      <c r="R143" s="146">
        <v>0</v>
      </c>
      <c r="S143" s="146">
        <v>0</v>
      </c>
      <c r="T143" s="146">
        <v>0</v>
      </c>
      <c r="V143" s="411"/>
      <c r="AA143" s="159"/>
    </row>
    <row r="144" spans="1:27" ht="24" customHeight="1">
      <c r="A144" s="263" t="s">
        <v>119</v>
      </c>
      <c r="B144" s="202"/>
      <c r="C144" s="202"/>
      <c r="D144" s="263" t="s">
        <v>907</v>
      </c>
      <c r="E144" s="202"/>
      <c r="F144" s="202"/>
      <c r="G144" s="202"/>
      <c r="H144" s="202"/>
      <c r="I144" s="202"/>
      <c r="J144" s="202"/>
      <c r="K144" s="202"/>
      <c r="L144" s="209">
        <v>16684</v>
      </c>
      <c r="M144" s="209">
        <v>18560</v>
      </c>
      <c r="N144" s="147">
        <v>20000</v>
      </c>
      <c r="O144" s="147">
        <v>20000</v>
      </c>
      <c r="P144" s="146">
        <v>20000</v>
      </c>
      <c r="Q144" s="146">
        <v>20000</v>
      </c>
      <c r="R144" s="146">
        <v>20000</v>
      </c>
      <c r="S144" s="146">
        <v>20000</v>
      </c>
      <c r="T144" s="146">
        <v>20000</v>
      </c>
      <c r="V144" s="180"/>
    </row>
    <row r="145" spans="1:31" ht="24" customHeight="1">
      <c r="A145" s="263" t="s">
        <v>118</v>
      </c>
      <c r="B145" s="202"/>
      <c r="C145" s="202"/>
      <c r="D145" s="593" t="s">
        <v>1209</v>
      </c>
      <c r="E145" s="592"/>
      <c r="F145" s="591"/>
      <c r="G145" s="591"/>
      <c r="H145" s="591"/>
      <c r="I145" s="591"/>
      <c r="J145" s="591"/>
      <c r="K145" s="591"/>
      <c r="L145" s="209">
        <v>16921</v>
      </c>
      <c r="M145" s="209">
        <v>12489</v>
      </c>
      <c r="N145" s="147">
        <v>19500</v>
      </c>
      <c r="O145" s="147">
        <v>19500</v>
      </c>
      <c r="P145" s="146">
        <v>19500</v>
      </c>
      <c r="Q145" s="146">
        <v>19500</v>
      </c>
      <c r="R145" s="146">
        <v>19500</v>
      </c>
      <c r="S145" s="146">
        <v>19500</v>
      </c>
      <c r="T145" s="146">
        <v>19500</v>
      </c>
    </row>
    <row r="146" spans="1:31" ht="24" customHeight="1">
      <c r="A146" s="263" t="s">
        <v>242</v>
      </c>
      <c r="B146" s="202"/>
      <c r="C146" s="202"/>
      <c r="D146" s="263" t="s">
        <v>1183</v>
      </c>
      <c r="E146" s="202"/>
      <c r="F146" s="202"/>
      <c r="G146" s="202"/>
      <c r="H146" s="202"/>
      <c r="I146" s="202"/>
      <c r="J146" s="202"/>
      <c r="K146" s="202"/>
      <c r="L146" s="209">
        <v>2894</v>
      </c>
      <c r="M146" s="209">
        <v>3239</v>
      </c>
      <c r="N146" s="147">
        <v>4000</v>
      </c>
      <c r="O146" s="147">
        <v>4000</v>
      </c>
      <c r="P146" s="146">
        <v>4000</v>
      </c>
      <c r="Q146" s="146">
        <v>4000</v>
      </c>
      <c r="R146" s="146">
        <v>4000</v>
      </c>
      <c r="S146" s="146">
        <v>4000</v>
      </c>
      <c r="T146" s="146">
        <v>4000</v>
      </c>
    </row>
    <row r="147" spans="1:31" ht="24" customHeight="1">
      <c r="A147" s="263" t="s">
        <v>200</v>
      </c>
      <c r="B147" s="264"/>
      <c r="C147" s="264"/>
      <c r="D147" s="128" t="s">
        <v>657</v>
      </c>
      <c r="E147" s="264"/>
      <c r="F147" s="202"/>
      <c r="G147" s="202"/>
      <c r="H147" s="202"/>
      <c r="I147" s="202"/>
      <c r="J147" s="202"/>
      <c r="K147" s="202"/>
      <c r="L147" s="211">
        <v>6660</v>
      </c>
      <c r="M147" s="211">
        <v>6660</v>
      </c>
      <c r="N147" s="150">
        <v>7000</v>
      </c>
      <c r="O147" s="150">
        <v>6660</v>
      </c>
      <c r="P147" s="149">
        <v>7000</v>
      </c>
      <c r="Q147" s="149">
        <v>7000</v>
      </c>
      <c r="R147" s="149">
        <v>7000</v>
      </c>
      <c r="S147" s="149">
        <v>7000</v>
      </c>
      <c r="T147" s="149">
        <v>7000</v>
      </c>
    </row>
    <row r="148" spans="1:31" ht="24" customHeight="1">
      <c r="A148" s="263" t="s">
        <v>587</v>
      </c>
      <c r="B148" s="264"/>
      <c r="C148" s="264"/>
      <c r="D148" s="631" t="s">
        <v>86</v>
      </c>
      <c r="E148" s="632"/>
      <c r="F148" s="633"/>
      <c r="G148" s="633"/>
      <c r="H148" s="633"/>
      <c r="I148" s="633"/>
      <c r="J148" s="633"/>
      <c r="K148" s="633"/>
      <c r="L148" s="213">
        <v>5903</v>
      </c>
      <c r="M148" s="213">
        <v>6010</v>
      </c>
      <c r="N148" s="155">
        <v>7000</v>
      </c>
      <c r="O148" s="155">
        <f>ROUND((366.84*12)+(80*12),0)</f>
        <v>5362</v>
      </c>
      <c r="P148" s="154">
        <v>5750</v>
      </c>
      <c r="Q148" s="154">
        <v>6000</v>
      </c>
      <c r="R148" s="154">
        <v>6000</v>
      </c>
      <c r="S148" s="154">
        <v>6000</v>
      </c>
      <c r="T148" s="154">
        <v>6000</v>
      </c>
    </row>
    <row r="149" spans="1:31" ht="24" customHeight="1">
      <c r="A149" s="616" t="s">
        <v>1245</v>
      </c>
      <c r="B149" s="617"/>
      <c r="C149" s="617"/>
      <c r="D149" s="704" t="s">
        <v>87</v>
      </c>
      <c r="E149" s="617"/>
      <c r="F149" s="617"/>
      <c r="G149" s="617"/>
      <c r="H149" s="617"/>
      <c r="I149" s="617"/>
      <c r="J149" s="617"/>
      <c r="K149" s="617"/>
      <c r="L149" s="215">
        <v>0</v>
      </c>
      <c r="M149" s="215">
        <v>0</v>
      </c>
      <c r="N149" s="158">
        <v>12500</v>
      </c>
      <c r="O149" s="158">
        <f>ROUND(943.54*12,0)</f>
        <v>11322</v>
      </c>
      <c r="P149" s="157">
        <f>ROUND(O149*1.03,0)</f>
        <v>11662</v>
      </c>
      <c r="Q149" s="157">
        <f>ROUND(P149*1.03,0)</f>
        <v>12012</v>
      </c>
      <c r="R149" s="157">
        <f>ROUND(Q149*1.03,0)</f>
        <v>12372</v>
      </c>
      <c r="S149" s="157">
        <f>ROUND(R149*1.03,0)</f>
        <v>12743</v>
      </c>
      <c r="T149" s="157">
        <f>ROUND(S149*1.03,0)</f>
        <v>13125</v>
      </c>
    </row>
    <row r="150" spans="1:31" ht="24" customHeight="1">
      <c r="A150" s="263" t="s">
        <v>212</v>
      </c>
      <c r="B150" s="202"/>
      <c r="C150" s="202"/>
      <c r="D150" s="263" t="s">
        <v>964</v>
      </c>
      <c r="E150" s="520"/>
      <c r="F150" s="520"/>
      <c r="G150" s="520"/>
      <c r="H150" s="520"/>
      <c r="I150" s="520"/>
      <c r="J150" s="520"/>
      <c r="K150" s="520"/>
      <c r="L150" s="213">
        <v>57055</v>
      </c>
      <c r="M150" s="213">
        <v>51117</v>
      </c>
      <c r="N150" s="155">
        <v>60000</v>
      </c>
      <c r="O150" s="155">
        <v>60000</v>
      </c>
      <c r="P150" s="154">
        <v>60000</v>
      </c>
      <c r="Q150" s="154">
        <v>60000</v>
      </c>
      <c r="R150" s="154">
        <v>60000</v>
      </c>
      <c r="S150" s="154">
        <v>60000</v>
      </c>
      <c r="T150" s="154">
        <v>60000</v>
      </c>
      <c r="V150" s="148"/>
      <c r="Y150" s="148"/>
    </row>
    <row r="151" spans="1:31" ht="24" customHeight="1">
      <c r="A151" s="263" t="s">
        <v>134</v>
      </c>
      <c r="B151" s="202"/>
      <c r="C151" s="202"/>
      <c r="D151" s="263" t="s">
        <v>94</v>
      </c>
      <c r="E151" s="202"/>
      <c r="F151" s="202"/>
      <c r="G151" s="202"/>
      <c r="H151" s="202"/>
      <c r="I151" s="202"/>
      <c r="J151" s="202"/>
      <c r="K151" s="202"/>
      <c r="L151" s="209">
        <v>12562</v>
      </c>
      <c r="M151" s="209">
        <v>10641</v>
      </c>
      <c r="N151" s="155">
        <v>23000</v>
      </c>
      <c r="O151" s="155">
        <v>15000</v>
      </c>
      <c r="P151" s="154">
        <v>15000</v>
      </c>
      <c r="Q151" s="154">
        <v>15000</v>
      </c>
      <c r="R151" s="154">
        <v>15000</v>
      </c>
      <c r="S151" s="154">
        <v>15000</v>
      </c>
      <c r="T151" s="154">
        <v>15000</v>
      </c>
      <c r="V151" s="411"/>
    </row>
    <row r="152" spans="1:31" ht="24" customHeight="1">
      <c r="A152" s="263" t="s">
        <v>133</v>
      </c>
      <c r="B152" s="202"/>
      <c r="C152" s="202"/>
      <c r="D152" s="263" t="s">
        <v>11</v>
      </c>
      <c r="E152" s="202"/>
      <c r="F152" s="202"/>
      <c r="G152" s="202"/>
      <c r="H152" s="202"/>
      <c r="I152" s="202"/>
      <c r="J152" s="202"/>
      <c r="K152" s="202"/>
      <c r="L152" s="209">
        <v>2299</v>
      </c>
      <c r="M152" s="209">
        <v>1883</v>
      </c>
      <c r="N152" s="147">
        <v>4500</v>
      </c>
      <c r="O152" s="147">
        <v>4500</v>
      </c>
      <c r="P152" s="146">
        <v>4500</v>
      </c>
      <c r="Q152" s="146">
        <v>4500</v>
      </c>
      <c r="R152" s="146">
        <v>4500</v>
      </c>
      <c r="S152" s="146">
        <v>4500</v>
      </c>
      <c r="T152" s="146">
        <v>4500</v>
      </c>
    </row>
    <row r="153" spans="1:31" ht="24" customHeight="1">
      <c r="A153" s="263" t="s">
        <v>132</v>
      </c>
      <c r="B153" s="202"/>
      <c r="C153" s="202"/>
      <c r="D153" s="263" t="s">
        <v>12</v>
      </c>
      <c r="E153" s="202"/>
      <c r="F153" s="202"/>
      <c r="G153" s="202"/>
      <c r="H153" s="202"/>
      <c r="I153" s="202"/>
      <c r="J153" s="202"/>
      <c r="K153" s="202"/>
      <c r="L153" s="209">
        <v>14123</v>
      </c>
      <c r="M153" s="209">
        <v>9123</v>
      </c>
      <c r="N153" s="147">
        <v>10000</v>
      </c>
      <c r="O153" s="147">
        <v>16000</v>
      </c>
      <c r="P153" s="146">
        <v>16000</v>
      </c>
      <c r="Q153" s="146">
        <v>16000</v>
      </c>
      <c r="R153" s="146">
        <v>16000</v>
      </c>
      <c r="S153" s="146">
        <v>16000</v>
      </c>
      <c r="T153" s="146">
        <v>16000</v>
      </c>
      <c r="V153" s="148"/>
    </row>
    <row r="154" spans="1:31" ht="24" customHeight="1">
      <c r="A154" s="263" t="s">
        <v>131</v>
      </c>
      <c r="B154" s="514"/>
      <c r="C154" s="514"/>
      <c r="D154" s="675" t="s">
        <v>233</v>
      </c>
      <c r="E154" s="514"/>
      <c r="F154" s="514"/>
      <c r="G154" s="514"/>
      <c r="H154" s="514"/>
      <c r="I154" s="514"/>
      <c r="J154" s="514"/>
      <c r="K154" s="514"/>
      <c r="L154" s="209">
        <v>5473</v>
      </c>
      <c r="M154" s="209">
        <v>5961</v>
      </c>
      <c r="N154" s="147">
        <v>12000</v>
      </c>
      <c r="O154" s="147">
        <v>12500</v>
      </c>
      <c r="P154" s="146">
        <v>12500</v>
      </c>
      <c r="Q154" s="146">
        <v>12500</v>
      </c>
      <c r="R154" s="146">
        <v>12500</v>
      </c>
      <c r="S154" s="146">
        <v>12500</v>
      </c>
      <c r="T154" s="146">
        <v>12500</v>
      </c>
    </row>
    <row r="155" spans="1:31" ht="24" customHeight="1">
      <c r="A155" s="263" t="s">
        <v>211</v>
      </c>
      <c r="B155" s="202"/>
      <c r="C155" s="202"/>
      <c r="D155" s="263" t="s">
        <v>963</v>
      </c>
      <c r="E155" s="202"/>
      <c r="F155" s="202"/>
      <c r="G155" s="202"/>
      <c r="H155" s="202"/>
      <c r="I155" s="202"/>
      <c r="J155" s="202"/>
      <c r="K155" s="202"/>
      <c r="L155" s="211">
        <v>302</v>
      </c>
      <c r="M155" s="211">
        <v>604</v>
      </c>
      <c r="N155" s="150">
        <v>3000</v>
      </c>
      <c r="O155" s="150">
        <v>0</v>
      </c>
      <c r="P155" s="149">
        <v>0</v>
      </c>
      <c r="Q155" s="149">
        <v>0</v>
      </c>
      <c r="R155" s="149">
        <v>0</v>
      </c>
      <c r="S155" s="149">
        <v>0</v>
      </c>
      <c r="T155" s="149">
        <v>0</v>
      </c>
      <c r="V155" s="148"/>
    </row>
    <row r="156" spans="1:31" ht="24" customHeight="1">
      <c r="A156" s="263" t="s">
        <v>658</v>
      </c>
      <c r="B156" s="202"/>
      <c r="C156" s="202"/>
      <c r="D156" s="263" t="s">
        <v>659</v>
      </c>
      <c r="E156" s="202"/>
      <c r="F156" s="202"/>
      <c r="G156" s="202"/>
      <c r="H156" s="202"/>
      <c r="I156" s="202"/>
      <c r="J156" s="202"/>
      <c r="K156" s="202"/>
      <c r="L156" s="211">
        <v>300</v>
      </c>
      <c r="M156" s="211">
        <v>1012</v>
      </c>
      <c r="N156" s="150">
        <v>2000</v>
      </c>
      <c r="O156" s="150">
        <v>1039</v>
      </c>
      <c r="P156" s="149">
        <v>1500</v>
      </c>
      <c r="Q156" s="149">
        <v>1500</v>
      </c>
      <c r="R156" s="149">
        <v>1500</v>
      </c>
      <c r="S156" s="149">
        <v>1500</v>
      </c>
      <c r="T156" s="149">
        <v>1500</v>
      </c>
      <c r="V156" s="148"/>
    </row>
    <row r="157" spans="1:31" ht="24" customHeight="1">
      <c r="A157" s="263" t="s">
        <v>219</v>
      </c>
      <c r="B157" s="202"/>
      <c r="C157" s="202"/>
      <c r="D157" s="263" t="s">
        <v>1120</v>
      </c>
      <c r="E157" s="420"/>
      <c r="F157" s="420"/>
      <c r="G157" s="420"/>
      <c r="H157" s="420"/>
      <c r="I157" s="420"/>
      <c r="J157" s="420"/>
      <c r="K157" s="420"/>
      <c r="L157" s="209">
        <v>5281</v>
      </c>
      <c r="M157" s="209">
        <v>4636</v>
      </c>
      <c r="N157" s="147">
        <v>6000</v>
      </c>
      <c r="O157" s="147">
        <v>6000</v>
      </c>
      <c r="P157" s="146">
        <v>6000</v>
      </c>
      <c r="Q157" s="146">
        <v>6000</v>
      </c>
      <c r="R157" s="146">
        <v>6000</v>
      </c>
      <c r="S157" s="146">
        <v>6000</v>
      </c>
      <c r="T157" s="146">
        <v>6000</v>
      </c>
    </row>
    <row r="158" spans="1:31" ht="24" customHeight="1">
      <c r="A158" s="263" t="s">
        <v>130</v>
      </c>
      <c r="B158" s="202"/>
      <c r="C158" s="202"/>
      <c r="D158" s="631" t="s">
        <v>136</v>
      </c>
      <c r="E158" s="633"/>
      <c r="F158" s="633"/>
      <c r="G158" s="633"/>
      <c r="H158" s="633"/>
      <c r="I158" s="633"/>
      <c r="J158" s="633"/>
      <c r="K158" s="633"/>
      <c r="L158" s="211">
        <v>58009</v>
      </c>
      <c r="M158" s="211">
        <v>54933</v>
      </c>
      <c r="N158" s="150">
        <v>64200</v>
      </c>
      <c r="O158" s="150">
        <v>58000</v>
      </c>
      <c r="P158" s="149">
        <f>ROUND(O158*1.07,0)</f>
        <v>62060</v>
      </c>
      <c r="Q158" s="149">
        <f>ROUND(P158*1.05,0)</f>
        <v>65163</v>
      </c>
      <c r="R158" s="149">
        <f>ROUND(Q158*1.05,0)</f>
        <v>68421</v>
      </c>
      <c r="S158" s="149">
        <f>ROUND(R158*1.05,0)</f>
        <v>71842</v>
      </c>
      <c r="T158" s="149">
        <f>ROUND(S158*1.05,0)</f>
        <v>75434</v>
      </c>
      <c r="V158" s="151"/>
    </row>
    <row r="159" spans="1:31" ht="24" customHeight="1">
      <c r="A159" s="263" t="s">
        <v>129</v>
      </c>
      <c r="B159" s="202"/>
      <c r="C159" s="202"/>
      <c r="D159" s="263" t="s">
        <v>135</v>
      </c>
      <c r="E159" s="202"/>
      <c r="F159" s="202"/>
      <c r="G159" s="202"/>
      <c r="H159" s="202"/>
      <c r="I159" s="202"/>
      <c r="J159" s="202"/>
      <c r="K159" s="202"/>
      <c r="L159" s="216">
        <v>298</v>
      </c>
      <c r="M159" s="216">
        <v>7922</v>
      </c>
      <c r="N159" s="172">
        <v>10000</v>
      </c>
      <c r="O159" s="172">
        <v>10000</v>
      </c>
      <c r="P159" s="160">
        <v>10000</v>
      </c>
      <c r="Q159" s="160">
        <v>10000</v>
      </c>
      <c r="R159" s="160">
        <v>10000</v>
      </c>
      <c r="S159" s="160">
        <v>10000</v>
      </c>
      <c r="T159" s="160">
        <v>10000</v>
      </c>
    </row>
    <row r="160" spans="1:31" s="202" customFormat="1" ht="24" customHeight="1">
      <c r="A160" s="263"/>
      <c r="D160" s="263"/>
      <c r="L160" s="231">
        <f>SUM(L117:L159)</f>
        <v>4673413</v>
      </c>
      <c r="M160" s="231">
        <f t="shared" ref="M160:T160" si="10">SUM(M117:M159)</f>
        <v>4903925</v>
      </c>
      <c r="N160" s="230">
        <f>SUM(N117:N159)</f>
        <v>5558217</v>
      </c>
      <c r="O160" s="230">
        <f t="shared" si="10"/>
        <v>5387096</v>
      </c>
      <c r="P160" s="231">
        <f t="shared" si="10"/>
        <v>5536325</v>
      </c>
      <c r="Q160" s="231">
        <f t="shared" si="10"/>
        <v>5724362</v>
      </c>
      <c r="R160" s="231">
        <f t="shared" si="10"/>
        <v>5943610</v>
      </c>
      <c r="S160" s="231">
        <f>SUM(S117:S159)</f>
        <v>6159069</v>
      </c>
      <c r="T160" s="231">
        <f t="shared" si="10"/>
        <v>6394785</v>
      </c>
      <c r="U160" s="65"/>
      <c r="V160" s="845"/>
      <c r="W160" s="845"/>
      <c r="X160" s="844"/>
      <c r="Y160" s="838"/>
      <c r="Z160" s="838"/>
      <c r="AA160" s="838"/>
      <c r="AB160" s="838"/>
      <c r="AC160" s="838"/>
      <c r="AD160" s="838"/>
      <c r="AE160" s="838"/>
    </row>
    <row r="161" spans="1:31" ht="15" customHeight="1">
      <c r="A161" s="263"/>
      <c r="B161" s="202"/>
      <c r="C161" s="202"/>
      <c r="D161" s="263"/>
      <c r="E161" s="202"/>
      <c r="F161" s="202"/>
      <c r="G161" s="202"/>
      <c r="H161" s="202"/>
      <c r="I161" s="202"/>
      <c r="J161" s="202"/>
      <c r="K161" s="202"/>
      <c r="L161" s="209"/>
      <c r="M161" s="209"/>
      <c r="N161" s="147"/>
      <c r="O161" s="147"/>
      <c r="P161" s="146"/>
      <c r="Q161" s="146"/>
      <c r="R161" s="146"/>
      <c r="S161" s="146"/>
      <c r="T161" s="146"/>
    </row>
    <row r="162" spans="1:31" ht="24" customHeight="1">
      <c r="A162" s="267" t="s">
        <v>545</v>
      </c>
      <c r="B162" s="539"/>
      <c r="C162" s="539"/>
      <c r="D162" s="539"/>
      <c r="E162" s="202"/>
      <c r="F162" s="202"/>
      <c r="G162" s="202"/>
      <c r="H162" s="202"/>
      <c r="I162" s="202"/>
      <c r="J162" s="202"/>
      <c r="K162" s="202"/>
      <c r="L162" s="218"/>
      <c r="M162" s="218"/>
      <c r="N162" s="164"/>
      <c r="O162" s="164"/>
      <c r="P162" s="163"/>
      <c r="Q162" s="163"/>
      <c r="R162" s="163"/>
      <c r="S162" s="163"/>
      <c r="T162" s="163"/>
    </row>
    <row r="163" spans="1:31" ht="24" customHeight="1">
      <c r="A163" s="263" t="s">
        <v>137</v>
      </c>
      <c r="B163" s="264"/>
      <c r="C163" s="264"/>
      <c r="D163" s="263" t="s">
        <v>841</v>
      </c>
      <c r="E163" s="321"/>
      <c r="F163" s="321"/>
      <c r="G163" s="321"/>
      <c r="H163" s="321"/>
      <c r="I163" s="321"/>
      <c r="J163" s="321"/>
      <c r="K163" s="321"/>
      <c r="L163" s="211">
        <v>321278</v>
      </c>
      <c r="M163" s="211">
        <v>331861</v>
      </c>
      <c r="N163" s="158">
        <v>409067</v>
      </c>
      <c r="O163" s="158">
        <v>411000</v>
      </c>
      <c r="P163" s="157">
        <v>440585</v>
      </c>
      <c r="Q163" s="157">
        <v>453803</v>
      </c>
      <c r="R163" s="157">
        <v>467417</v>
      </c>
      <c r="S163" s="157">
        <v>481440</v>
      </c>
      <c r="T163" s="157">
        <v>495883</v>
      </c>
      <c r="V163" s="370"/>
      <c r="W163" s="371"/>
      <c r="X163" s="371"/>
      <c r="Y163" s="371"/>
    </row>
    <row r="164" spans="1:31" ht="24" customHeight="1">
      <c r="A164" s="263" t="s">
        <v>554</v>
      </c>
      <c r="B164" s="266"/>
      <c r="C164" s="266"/>
      <c r="D164" s="263" t="s">
        <v>69</v>
      </c>
      <c r="E164" s="266"/>
      <c r="F164" s="266"/>
      <c r="G164" s="321"/>
      <c r="H164" s="321"/>
      <c r="I164" s="321"/>
      <c r="J164" s="321"/>
      <c r="K164" s="321"/>
      <c r="L164" s="211">
        <v>18234</v>
      </c>
      <c r="M164" s="211">
        <v>42347</v>
      </c>
      <c r="N164" s="150">
        <v>48000</v>
      </c>
      <c r="O164" s="150">
        <v>24000</v>
      </c>
      <c r="P164" s="149">
        <v>48000</v>
      </c>
      <c r="Q164" s="149">
        <v>48000</v>
      </c>
      <c r="R164" s="149">
        <v>48000</v>
      </c>
      <c r="S164" s="149">
        <v>48000</v>
      </c>
      <c r="T164" s="149">
        <v>48000</v>
      </c>
      <c r="V164" s="370"/>
      <c r="W164" s="371"/>
      <c r="X164" s="371"/>
      <c r="Y164" s="371"/>
      <c r="Z164" s="148"/>
      <c r="AA164" s="148"/>
      <c r="AE164" s="181"/>
    </row>
    <row r="165" spans="1:31" ht="24" customHeight="1">
      <c r="A165" s="263" t="s">
        <v>139</v>
      </c>
      <c r="B165" s="264"/>
      <c r="C165" s="264"/>
      <c r="D165" s="263" t="s">
        <v>8</v>
      </c>
      <c r="E165" s="321"/>
      <c r="F165" s="321"/>
      <c r="G165" s="321"/>
      <c r="H165" s="321"/>
      <c r="I165" s="321"/>
      <c r="J165" s="321"/>
      <c r="K165" s="321"/>
      <c r="L165" s="211">
        <v>34748</v>
      </c>
      <c r="M165" s="211">
        <v>35454</v>
      </c>
      <c r="N165" s="158">
        <v>44657</v>
      </c>
      <c r="O165" s="158">
        <v>44657</v>
      </c>
      <c r="P165" s="157">
        <v>47071</v>
      </c>
      <c r="Q165" s="149">
        <v>49828</v>
      </c>
      <c r="R165" s="149">
        <v>52818</v>
      </c>
      <c r="S165" s="149">
        <v>56040</v>
      </c>
      <c r="T165" s="149">
        <v>59456</v>
      </c>
      <c r="V165" s="370"/>
      <c r="W165" s="371"/>
      <c r="X165" s="371"/>
      <c r="Y165" s="371"/>
    </row>
    <row r="166" spans="1:31" ht="24" customHeight="1">
      <c r="A166" s="263" t="s">
        <v>138</v>
      </c>
      <c r="B166" s="202"/>
      <c r="C166" s="202"/>
      <c r="D166" s="263" t="s">
        <v>9</v>
      </c>
      <c r="E166" s="322"/>
      <c r="F166" s="322"/>
      <c r="G166" s="322"/>
      <c r="H166" s="322"/>
      <c r="I166" s="322"/>
      <c r="J166" s="322"/>
      <c r="K166" s="322"/>
      <c r="L166" s="211">
        <v>24811</v>
      </c>
      <c r="M166" s="211">
        <v>27585</v>
      </c>
      <c r="N166" s="158">
        <v>34320</v>
      </c>
      <c r="O166" s="158">
        <v>32500</v>
      </c>
      <c r="P166" s="157">
        <v>36504</v>
      </c>
      <c r="Q166" s="157">
        <v>37599</v>
      </c>
      <c r="R166" s="157">
        <v>38727</v>
      </c>
      <c r="S166" s="157">
        <v>39889</v>
      </c>
      <c r="T166" s="157">
        <v>41086</v>
      </c>
      <c r="V166" s="370"/>
      <c r="W166" s="371"/>
      <c r="X166" s="371"/>
      <c r="Y166" s="371"/>
    </row>
    <row r="167" spans="1:31" ht="24" customHeight="1">
      <c r="A167" s="263" t="s">
        <v>515</v>
      </c>
      <c r="B167" s="202"/>
      <c r="C167" s="202"/>
      <c r="D167" s="263" t="s">
        <v>13</v>
      </c>
      <c r="E167" s="322"/>
      <c r="F167" s="322"/>
      <c r="G167" s="322"/>
      <c r="H167" s="322"/>
      <c r="I167" s="322"/>
      <c r="J167" s="322"/>
      <c r="K167" s="322"/>
      <c r="L167" s="212">
        <v>84090</v>
      </c>
      <c r="M167" s="212">
        <v>69889</v>
      </c>
      <c r="N167" s="155">
        <v>90525</v>
      </c>
      <c r="O167" s="158">
        <f>ROUND((52056.65)+(150*3)+(-327.1*6)+(5325.68*2)+(24*4),0)+5000</f>
        <v>66291</v>
      </c>
      <c r="P167" s="154">
        <v>88827</v>
      </c>
      <c r="Q167" s="154">
        <v>95933</v>
      </c>
      <c r="R167" s="154">
        <v>103608</v>
      </c>
      <c r="S167" s="154">
        <v>111897</v>
      </c>
      <c r="T167" s="154">
        <v>120849</v>
      </c>
      <c r="V167" s="370"/>
      <c r="W167" s="371"/>
      <c r="X167" s="370"/>
      <c r="Y167" s="371"/>
      <c r="AA167" s="148"/>
    </row>
    <row r="168" spans="1:31" ht="24" customHeight="1">
      <c r="A168" s="263" t="s">
        <v>516</v>
      </c>
      <c r="B168" s="202"/>
      <c r="C168" s="202"/>
      <c r="D168" s="263" t="s">
        <v>173</v>
      </c>
      <c r="E168" s="322"/>
      <c r="F168" s="322"/>
      <c r="G168" s="322"/>
      <c r="H168" s="322"/>
      <c r="I168" s="322"/>
      <c r="J168" s="322"/>
      <c r="K168" s="322"/>
      <c r="L168" s="212">
        <v>491</v>
      </c>
      <c r="M168" s="212">
        <v>401</v>
      </c>
      <c r="N168" s="155">
        <v>557</v>
      </c>
      <c r="O168" s="155">
        <v>491</v>
      </c>
      <c r="P168" s="154">
        <v>393</v>
      </c>
      <c r="Q168" s="154">
        <v>397</v>
      </c>
      <c r="R168" s="154">
        <v>401</v>
      </c>
      <c r="S168" s="154">
        <v>405</v>
      </c>
      <c r="T168" s="154">
        <v>409</v>
      </c>
      <c r="V168" s="370"/>
      <c r="W168" s="371"/>
      <c r="X168" s="370"/>
      <c r="Y168" s="371"/>
      <c r="AA168" s="148"/>
    </row>
    <row r="169" spans="1:31" ht="24" customHeight="1">
      <c r="A169" s="263" t="s">
        <v>517</v>
      </c>
      <c r="B169" s="202"/>
      <c r="C169" s="202"/>
      <c r="D169" s="263" t="s">
        <v>530</v>
      </c>
      <c r="E169" s="322"/>
      <c r="F169" s="322"/>
      <c r="G169" s="322"/>
      <c r="H169" s="322"/>
      <c r="I169" s="322"/>
      <c r="J169" s="322"/>
      <c r="K169" s="322"/>
      <c r="L169" s="212">
        <v>5866</v>
      </c>
      <c r="M169" s="212">
        <v>4669</v>
      </c>
      <c r="N169" s="155">
        <v>6612</v>
      </c>
      <c r="O169" s="155">
        <v>5590</v>
      </c>
      <c r="P169" s="154">
        <v>5706</v>
      </c>
      <c r="Q169" s="154">
        <v>5991</v>
      </c>
      <c r="R169" s="154">
        <v>6291</v>
      </c>
      <c r="S169" s="154">
        <v>6606</v>
      </c>
      <c r="T169" s="154">
        <v>6936</v>
      </c>
      <c r="V169" s="370"/>
      <c r="W169" s="371"/>
      <c r="X169" s="370"/>
      <c r="Y169" s="371"/>
      <c r="AA169" s="148"/>
    </row>
    <row r="170" spans="1:31" ht="24" customHeight="1">
      <c r="A170" s="263" t="s">
        <v>535</v>
      </c>
      <c r="B170" s="202"/>
      <c r="C170" s="202"/>
      <c r="D170" s="263" t="s">
        <v>532</v>
      </c>
      <c r="E170" s="322"/>
      <c r="F170" s="322"/>
      <c r="G170" s="322"/>
      <c r="H170" s="322"/>
      <c r="I170" s="322"/>
      <c r="J170" s="322"/>
      <c r="K170" s="322"/>
      <c r="L170" s="212">
        <v>732</v>
      </c>
      <c r="M170" s="212">
        <v>587</v>
      </c>
      <c r="N170" s="155">
        <v>819</v>
      </c>
      <c r="O170" s="155">
        <v>772</v>
      </c>
      <c r="P170" s="154">
        <v>846</v>
      </c>
      <c r="Q170" s="154">
        <v>846</v>
      </c>
      <c r="R170" s="154">
        <v>846</v>
      </c>
      <c r="S170" s="154">
        <v>871</v>
      </c>
      <c r="T170" s="154">
        <v>897</v>
      </c>
      <c r="V170" s="370"/>
      <c r="W170" s="371"/>
      <c r="X170" s="370"/>
      <c r="Y170" s="371"/>
      <c r="AA170" s="148"/>
    </row>
    <row r="171" spans="1:31" ht="24" customHeight="1">
      <c r="A171" s="263" t="s">
        <v>146</v>
      </c>
      <c r="B171" s="264"/>
      <c r="C171" s="264"/>
      <c r="D171" s="263" t="s">
        <v>91</v>
      </c>
      <c r="E171" s="264"/>
      <c r="F171" s="264"/>
      <c r="G171" s="264"/>
      <c r="H171" s="264"/>
      <c r="I171" s="264"/>
      <c r="J171" s="264"/>
      <c r="K171" s="264"/>
      <c r="L171" s="209">
        <v>3789</v>
      </c>
      <c r="M171" s="209">
        <v>1537</v>
      </c>
      <c r="N171" s="147">
        <v>6800</v>
      </c>
      <c r="O171" s="147">
        <v>5200</v>
      </c>
      <c r="P171" s="146">
        <f>6800+500</f>
        <v>7300</v>
      </c>
      <c r="Q171" s="146">
        <f>6800+500</f>
        <v>7300</v>
      </c>
      <c r="R171" s="146">
        <f>6800+500</f>
        <v>7300</v>
      </c>
      <c r="S171" s="146">
        <f>6800+500</f>
        <v>7300</v>
      </c>
      <c r="T171" s="146">
        <f>6800+500</f>
        <v>7300</v>
      </c>
      <c r="V171" s="148"/>
    </row>
    <row r="172" spans="1:31" ht="24" customHeight="1">
      <c r="A172" s="263" t="s">
        <v>145</v>
      </c>
      <c r="B172" s="202"/>
      <c r="C172" s="202"/>
      <c r="D172" s="263" t="s">
        <v>960</v>
      </c>
      <c r="E172" s="202"/>
      <c r="F172" s="202"/>
      <c r="G172" s="202"/>
      <c r="H172" s="202"/>
      <c r="I172" s="202"/>
      <c r="J172" s="202"/>
      <c r="K172" s="202"/>
      <c r="L172" s="209">
        <v>5316</v>
      </c>
      <c r="M172" s="209">
        <v>219</v>
      </c>
      <c r="N172" s="147">
        <v>6500</v>
      </c>
      <c r="O172" s="147">
        <v>6500</v>
      </c>
      <c r="P172" s="146">
        <v>6500</v>
      </c>
      <c r="Q172" s="146">
        <v>6500</v>
      </c>
      <c r="R172" s="146">
        <v>6500</v>
      </c>
      <c r="S172" s="146">
        <v>6500</v>
      </c>
      <c r="T172" s="146">
        <v>6500</v>
      </c>
      <c r="V172" s="370"/>
      <c r="W172" s="371"/>
      <c r="X172" s="664"/>
    </row>
    <row r="173" spans="1:31" ht="24" customHeight="1">
      <c r="A173" s="715" t="s">
        <v>1339</v>
      </c>
      <c r="B173" s="714"/>
      <c r="C173" s="714"/>
      <c r="D173" s="715" t="s">
        <v>917</v>
      </c>
      <c r="E173" s="714"/>
      <c r="F173" s="714"/>
      <c r="G173" s="714"/>
      <c r="H173" s="714"/>
      <c r="I173" s="714"/>
      <c r="J173" s="714"/>
      <c r="K173" s="714"/>
      <c r="L173" s="209">
        <v>0</v>
      </c>
      <c r="M173" s="209">
        <v>0</v>
      </c>
      <c r="N173" s="147">
        <v>0</v>
      </c>
      <c r="O173" s="147">
        <v>0</v>
      </c>
      <c r="P173" s="146">
        <f>P458</f>
        <v>40000</v>
      </c>
      <c r="Q173" s="146">
        <f>Q458</f>
        <v>0</v>
      </c>
      <c r="R173" s="146">
        <f>R458</f>
        <v>0</v>
      </c>
      <c r="S173" s="146">
        <f>S458</f>
        <v>0</v>
      </c>
      <c r="T173" s="146">
        <f>T458</f>
        <v>0</v>
      </c>
      <c r="V173" s="151"/>
      <c r="W173" s="371"/>
      <c r="X173" s="664"/>
    </row>
    <row r="174" spans="1:31" ht="24" customHeight="1">
      <c r="A174" s="727" t="s">
        <v>1361</v>
      </c>
      <c r="B174" s="726"/>
      <c r="C174" s="726"/>
      <c r="D174" s="1" t="s">
        <v>1358</v>
      </c>
      <c r="E174" s="726"/>
      <c r="F174" s="726"/>
      <c r="G174" s="726"/>
      <c r="H174" s="726"/>
      <c r="I174" s="726"/>
      <c r="J174" s="726"/>
      <c r="K174" s="726"/>
      <c r="L174" s="215">
        <v>0</v>
      </c>
      <c r="M174" s="215">
        <v>0</v>
      </c>
      <c r="N174" s="158">
        <v>0</v>
      </c>
      <c r="O174" s="158">
        <v>0</v>
      </c>
      <c r="P174" s="157">
        <v>3624</v>
      </c>
      <c r="Q174" s="157">
        <v>1323</v>
      </c>
      <c r="R174" s="157">
        <v>3125</v>
      </c>
      <c r="S174" s="157">
        <v>1458</v>
      </c>
      <c r="T174" s="157">
        <v>4402</v>
      </c>
      <c r="V174" s="370"/>
      <c r="W174" s="371"/>
      <c r="X174" s="664"/>
    </row>
    <row r="175" spans="1:31" ht="24" customHeight="1">
      <c r="A175" s="263" t="s">
        <v>144</v>
      </c>
      <c r="B175" s="264"/>
      <c r="C175" s="264"/>
      <c r="D175" s="263" t="s">
        <v>90</v>
      </c>
      <c r="E175" s="264"/>
      <c r="F175" s="264"/>
      <c r="G175" s="264"/>
      <c r="H175" s="264"/>
      <c r="I175" s="264"/>
      <c r="J175" s="264"/>
      <c r="K175" s="264"/>
      <c r="L175" s="209">
        <v>2450</v>
      </c>
      <c r="M175" s="209">
        <v>3659</v>
      </c>
      <c r="N175" s="147">
        <v>2500</v>
      </c>
      <c r="O175" s="147">
        <v>2500</v>
      </c>
      <c r="P175" s="146">
        <v>2500</v>
      </c>
      <c r="Q175" s="146">
        <v>2500</v>
      </c>
      <c r="R175" s="146">
        <v>2500</v>
      </c>
      <c r="S175" s="146">
        <v>2500</v>
      </c>
      <c r="T175" s="146">
        <v>2500</v>
      </c>
    </row>
    <row r="176" spans="1:31" ht="24" customHeight="1">
      <c r="A176" s="263" t="s">
        <v>143</v>
      </c>
      <c r="B176" s="202"/>
      <c r="C176" s="202"/>
      <c r="D176" s="263" t="s">
        <v>961</v>
      </c>
      <c r="E176" s="202"/>
      <c r="F176" s="202"/>
      <c r="G176" s="202"/>
      <c r="H176" s="202"/>
      <c r="I176" s="202"/>
      <c r="J176" s="202"/>
      <c r="K176" s="202"/>
      <c r="L176" s="211">
        <v>1286</v>
      </c>
      <c r="M176" s="211">
        <v>883</v>
      </c>
      <c r="N176" s="150">
        <v>2000</v>
      </c>
      <c r="O176" s="150">
        <v>1500</v>
      </c>
      <c r="P176" s="149">
        <v>1500</v>
      </c>
      <c r="Q176" s="149">
        <v>1500</v>
      </c>
      <c r="R176" s="149">
        <v>1500</v>
      </c>
      <c r="S176" s="149">
        <v>1500</v>
      </c>
      <c r="T176" s="149">
        <v>1500</v>
      </c>
    </row>
    <row r="177" spans="1:31" ht="24" customHeight="1">
      <c r="A177" s="263" t="s">
        <v>142</v>
      </c>
      <c r="B177" s="264"/>
      <c r="C177" s="264"/>
      <c r="D177" s="263" t="s">
        <v>224</v>
      </c>
      <c r="E177" s="264"/>
      <c r="F177" s="264"/>
      <c r="G177" s="264"/>
      <c r="H177" s="264"/>
      <c r="I177" s="264"/>
      <c r="J177" s="264"/>
      <c r="K177" s="264"/>
      <c r="L177" s="209">
        <v>3011</v>
      </c>
      <c r="M177" s="209">
        <v>4008</v>
      </c>
      <c r="N177" s="147">
        <v>3500</v>
      </c>
      <c r="O177" s="147">
        <v>4000</v>
      </c>
      <c r="P177" s="146">
        <v>4000</v>
      </c>
      <c r="Q177" s="146">
        <v>4000</v>
      </c>
      <c r="R177" s="146">
        <v>4000</v>
      </c>
      <c r="S177" s="146">
        <v>4000</v>
      </c>
      <c r="T177" s="146">
        <v>4000</v>
      </c>
      <c r="V177" s="148"/>
      <c r="AB177" s="181"/>
    </row>
    <row r="178" spans="1:31" ht="24" customHeight="1">
      <c r="A178" s="263" t="s">
        <v>141</v>
      </c>
      <c r="B178" s="202"/>
      <c r="C178" s="202"/>
      <c r="D178" s="263" t="s">
        <v>89</v>
      </c>
      <c r="E178" s="202"/>
      <c r="F178" s="202"/>
      <c r="G178" s="202"/>
      <c r="H178" s="202"/>
      <c r="I178" s="202"/>
      <c r="J178" s="202"/>
      <c r="K178" s="202"/>
      <c r="L178" s="211">
        <v>610</v>
      </c>
      <c r="M178" s="211">
        <v>535</v>
      </c>
      <c r="N178" s="150">
        <v>2500</v>
      </c>
      <c r="O178" s="150">
        <v>1000</v>
      </c>
      <c r="P178" s="149">
        <v>1000</v>
      </c>
      <c r="Q178" s="149">
        <v>1000</v>
      </c>
      <c r="R178" s="149">
        <v>1000</v>
      </c>
      <c r="S178" s="149">
        <v>1000</v>
      </c>
      <c r="T178" s="149">
        <v>1000</v>
      </c>
    </row>
    <row r="179" spans="1:31" ht="24" customHeight="1">
      <c r="A179" s="263" t="s">
        <v>226</v>
      </c>
      <c r="B179" s="202"/>
      <c r="C179" s="202"/>
      <c r="D179" s="531" t="s">
        <v>227</v>
      </c>
      <c r="E179" s="532"/>
      <c r="F179" s="532"/>
      <c r="G179" s="532"/>
      <c r="H179" s="532"/>
      <c r="I179" s="532"/>
      <c r="J179" s="532"/>
      <c r="K179" s="532"/>
      <c r="L179" s="209">
        <v>455</v>
      </c>
      <c r="M179" s="209">
        <v>595</v>
      </c>
      <c r="N179" s="147">
        <v>5000</v>
      </c>
      <c r="O179" s="147">
        <v>5000</v>
      </c>
      <c r="P179" s="146">
        <v>5000</v>
      </c>
      <c r="Q179" s="146">
        <v>5000</v>
      </c>
      <c r="R179" s="146">
        <v>5000</v>
      </c>
      <c r="S179" s="146">
        <v>5000</v>
      </c>
      <c r="T179" s="146">
        <v>5000</v>
      </c>
    </row>
    <row r="180" spans="1:31" ht="24" customHeight="1">
      <c r="A180" s="263" t="s">
        <v>202</v>
      </c>
      <c r="B180" s="264"/>
      <c r="C180" s="264"/>
      <c r="D180" s="263" t="s">
        <v>962</v>
      </c>
      <c r="E180" s="264"/>
      <c r="F180" s="264"/>
      <c r="G180" s="202"/>
      <c r="H180" s="202"/>
      <c r="I180" s="202"/>
      <c r="J180" s="202"/>
      <c r="K180" s="202"/>
      <c r="L180" s="209">
        <v>1570</v>
      </c>
      <c r="M180" s="209">
        <v>2222</v>
      </c>
      <c r="N180" s="147">
        <v>2100</v>
      </c>
      <c r="O180" s="147">
        <v>2100</v>
      </c>
      <c r="P180" s="146">
        <v>2100</v>
      </c>
      <c r="Q180" s="146">
        <v>2100</v>
      </c>
      <c r="R180" s="146">
        <v>2100</v>
      </c>
      <c r="S180" s="146">
        <v>2100</v>
      </c>
      <c r="T180" s="146">
        <v>2100</v>
      </c>
    </row>
    <row r="181" spans="1:31" ht="24" customHeight="1">
      <c r="A181" s="263" t="s">
        <v>140</v>
      </c>
      <c r="B181" s="202"/>
      <c r="C181" s="202"/>
      <c r="D181" s="263" t="s">
        <v>10</v>
      </c>
      <c r="E181" s="202"/>
      <c r="F181" s="202"/>
      <c r="G181" s="202"/>
      <c r="H181" s="202"/>
      <c r="I181" s="202"/>
      <c r="J181" s="202"/>
      <c r="K181" s="202"/>
      <c r="L181" s="209">
        <f>79613+1415</f>
        <v>81028</v>
      </c>
      <c r="M181" s="209">
        <v>33139</v>
      </c>
      <c r="N181" s="147">
        <f>15000+3000</f>
        <v>18000</v>
      </c>
      <c r="O181" s="147">
        <f>15000+3000</f>
        <v>18000</v>
      </c>
      <c r="P181" s="146">
        <f>8500+15000+50000+3000</f>
        <v>76500</v>
      </c>
      <c r="Q181" s="146">
        <f>8500+15000+50000+3000</f>
        <v>76500</v>
      </c>
      <c r="R181" s="146">
        <f>8500+15000+3000</f>
        <v>26500</v>
      </c>
      <c r="S181" s="146">
        <f>8500+5000+3000</f>
        <v>16500</v>
      </c>
      <c r="T181" s="146">
        <f>10000+3000</f>
        <v>13000</v>
      </c>
    </row>
    <row r="182" spans="1:31" ht="24" customHeight="1">
      <c r="A182" s="263" t="s">
        <v>588</v>
      </c>
      <c r="B182" s="264"/>
      <c r="C182" s="264"/>
      <c r="D182" s="263" t="s">
        <v>86</v>
      </c>
      <c r="E182" s="264"/>
      <c r="F182" s="264"/>
      <c r="G182" s="264"/>
      <c r="H182" s="264"/>
      <c r="I182" s="264"/>
      <c r="J182" s="264"/>
      <c r="K182" s="264"/>
      <c r="L182" s="209">
        <v>3300</v>
      </c>
      <c r="M182" s="209">
        <v>3132</v>
      </c>
      <c r="N182" s="147">
        <v>3000</v>
      </c>
      <c r="O182" s="147">
        <v>3150</v>
      </c>
      <c r="P182" s="146">
        <v>3150</v>
      </c>
      <c r="Q182" s="146">
        <v>3150</v>
      </c>
      <c r="R182" s="146">
        <v>3150</v>
      </c>
      <c r="S182" s="146">
        <v>3150</v>
      </c>
      <c r="T182" s="146">
        <v>3150</v>
      </c>
    </row>
    <row r="183" spans="1:31" ht="24" customHeight="1">
      <c r="A183" s="263" t="s">
        <v>150</v>
      </c>
      <c r="B183" s="264"/>
      <c r="C183" s="264"/>
      <c r="D183" s="263" t="s">
        <v>11</v>
      </c>
      <c r="E183" s="264"/>
      <c r="F183" s="264"/>
      <c r="G183" s="264"/>
      <c r="H183" s="264"/>
      <c r="I183" s="264"/>
      <c r="J183" s="264"/>
      <c r="K183" s="264"/>
      <c r="L183" s="209">
        <v>2862</v>
      </c>
      <c r="M183" s="209">
        <v>1742</v>
      </c>
      <c r="N183" s="147">
        <v>1500</v>
      </c>
      <c r="O183" s="147">
        <v>1500</v>
      </c>
      <c r="P183" s="146">
        <v>1500</v>
      </c>
      <c r="Q183" s="146">
        <v>1500</v>
      </c>
      <c r="R183" s="146">
        <v>1500</v>
      </c>
      <c r="S183" s="146">
        <v>1500</v>
      </c>
      <c r="T183" s="146">
        <v>1500</v>
      </c>
    </row>
    <row r="184" spans="1:31" ht="24" customHeight="1">
      <c r="A184" s="263" t="s">
        <v>149</v>
      </c>
      <c r="B184" s="202"/>
      <c r="C184" s="202"/>
      <c r="D184" s="263" t="s">
        <v>12</v>
      </c>
      <c r="E184" s="202"/>
      <c r="F184" s="202"/>
      <c r="G184" s="202"/>
      <c r="H184" s="202"/>
      <c r="I184" s="202"/>
      <c r="J184" s="202"/>
      <c r="K184" s="202"/>
      <c r="L184" s="209">
        <v>3848</v>
      </c>
      <c r="M184" s="209">
        <v>4575</v>
      </c>
      <c r="N184" s="147">
        <v>4200</v>
      </c>
      <c r="O184" s="147">
        <v>4200</v>
      </c>
      <c r="P184" s="146">
        <v>3000</v>
      </c>
      <c r="Q184" s="146">
        <v>3000</v>
      </c>
      <c r="R184" s="146">
        <v>3000</v>
      </c>
      <c r="S184" s="146">
        <v>3000</v>
      </c>
      <c r="T184" s="146">
        <v>3000</v>
      </c>
    </row>
    <row r="185" spans="1:31" ht="24" customHeight="1">
      <c r="A185" s="263" t="s">
        <v>148</v>
      </c>
      <c r="B185" s="521"/>
      <c r="C185" s="521"/>
      <c r="D185" s="677" t="s">
        <v>233</v>
      </c>
      <c r="E185" s="676"/>
      <c r="F185" s="676"/>
      <c r="G185" s="676"/>
      <c r="H185" s="676"/>
      <c r="I185" s="676"/>
      <c r="J185" s="676"/>
      <c r="K185" s="676"/>
      <c r="L185" s="211">
        <v>857</v>
      </c>
      <c r="M185" s="211">
        <v>2985</v>
      </c>
      <c r="N185" s="150">
        <v>5100</v>
      </c>
      <c r="O185" s="150">
        <v>5100</v>
      </c>
      <c r="P185" s="149">
        <v>1000</v>
      </c>
      <c r="Q185" s="149">
        <v>1000</v>
      </c>
      <c r="R185" s="149">
        <v>1000</v>
      </c>
      <c r="S185" s="149">
        <v>1000</v>
      </c>
      <c r="T185" s="149">
        <v>1000</v>
      </c>
    </row>
    <row r="186" spans="1:31" ht="24" customHeight="1">
      <c r="A186" s="263" t="s">
        <v>147</v>
      </c>
      <c r="B186" s="202"/>
      <c r="C186" s="202"/>
      <c r="D186" s="263" t="s">
        <v>965</v>
      </c>
      <c r="E186" s="202"/>
      <c r="F186" s="202"/>
      <c r="G186" s="202"/>
      <c r="H186" s="202"/>
      <c r="I186" s="202"/>
      <c r="J186" s="202"/>
      <c r="K186" s="202"/>
      <c r="L186" s="209">
        <v>508</v>
      </c>
      <c r="M186" s="209">
        <v>254</v>
      </c>
      <c r="N186" s="147">
        <v>1250</v>
      </c>
      <c r="O186" s="147">
        <v>700</v>
      </c>
      <c r="P186" s="146">
        <v>750</v>
      </c>
      <c r="Q186" s="146">
        <v>750</v>
      </c>
      <c r="R186" s="146">
        <v>750</v>
      </c>
      <c r="S186" s="146">
        <v>750</v>
      </c>
      <c r="T186" s="146">
        <v>750</v>
      </c>
    </row>
    <row r="187" spans="1:31" ht="24" customHeight="1">
      <c r="A187" s="263" t="s">
        <v>616</v>
      </c>
      <c r="B187" s="264"/>
      <c r="C187" s="264"/>
      <c r="D187" s="631" t="s">
        <v>136</v>
      </c>
      <c r="E187" s="632"/>
      <c r="F187" s="632"/>
      <c r="G187" s="632"/>
      <c r="H187" s="632"/>
      <c r="I187" s="632"/>
      <c r="J187" s="632"/>
      <c r="K187" s="632"/>
      <c r="L187" s="216">
        <v>802</v>
      </c>
      <c r="M187" s="216">
        <v>1680</v>
      </c>
      <c r="N187" s="172">
        <v>2140</v>
      </c>
      <c r="O187" s="172">
        <v>2140</v>
      </c>
      <c r="P187" s="160">
        <f>ROUND(O187*1.07,0)</f>
        <v>2290</v>
      </c>
      <c r="Q187" s="173">
        <f>ROUND(P187*1.05,0)</f>
        <v>2405</v>
      </c>
      <c r="R187" s="173">
        <f>ROUND(Q187*1.05,0)</f>
        <v>2525</v>
      </c>
      <c r="S187" s="173">
        <f>ROUND(R187*1.05,0)</f>
        <v>2651</v>
      </c>
      <c r="T187" s="173">
        <f>ROUND(S187*1.05,0)</f>
        <v>2784</v>
      </c>
      <c r="V187" s="151"/>
    </row>
    <row r="188" spans="1:31" s="202" customFormat="1" ht="24" customHeight="1">
      <c r="A188" s="263"/>
      <c r="B188" s="264"/>
      <c r="C188" s="264"/>
      <c r="D188" s="263"/>
      <c r="E188" s="319"/>
      <c r="F188" s="319"/>
      <c r="G188" s="319"/>
      <c r="H188" s="319"/>
      <c r="I188" s="319"/>
      <c r="J188" s="319"/>
      <c r="K188" s="319"/>
      <c r="L188" s="231">
        <f>SUM(L163:L187)</f>
        <v>601942</v>
      </c>
      <c r="M188" s="231">
        <f t="shared" ref="M188:T188" si="11">SUM(M163:M187)</f>
        <v>573958</v>
      </c>
      <c r="N188" s="230">
        <f>SUM(N163:N187)</f>
        <v>700647</v>
      </c>
      <c r="O188" s="230">
        <f t="shared" si="11"/>
        <v>647891</v>
      </c>
      <c r="P188" s="231">
        <f t="shared" si="11"/>
        <v>829646</v>
      </c>
      <c r="Q188" s="231">
        <f t="shared" si="11"/>
        <v>811925</v>
      </c>
      <c r="R188" s="231">
        <f t="shared" si="11"/>
        <v>789558</v>
      </c>
      <c r="S188" s="231">
        <f>SUM(S163:S187)</f>
        <v>805057</v>
      </c>
      <c r="T188" s="231">
        <f t="shared" si="11"/>
        <v>833002</v>
      </c>
      <c r="U188" s="65"/>
      <c r="V188" s="845"/>
      <c r="W188" s="845"/>
      <c r="X188" s="844"/>
      <c r="Y188" s="838"/>
      <c r="Z188" s="838"/>
      <c r="AA188" s="838"/>
      <c r="AB188" s="838"/>
      <c r="AC188" s="838"/>
      <c r="AD188" s="838"/>
      <c r="AE188" s="838"/>
    </row>
    <row r="189" spans="1:31" ht="15" customHeight="1">
      <c r="A189" s="263"/>
      <c r="B189" s="264"/>
      <c r="C189" s="264"/>
      <c r="D189" s="263"/>
      <c r="E189" s="264"/>
      <c r="F189" s="264"/>
      <c r="G189" s="264"/>
      <c r="H189" s="264"/>
      <c r="I189" s="264"/>
      <c r="J189" s="264"/>
      <c r="K189" s="264"/>
      <c r="L189" s="209"/>
      <c r="M189" s="209"/>
      <c r="N189" s="147"/>
      <c r="O189" s="147"/>
      <c r="P189" s="146"/>
      <c r="Q189" s="146"/>
      <c r="R189" s="146"/>
      <c r="S189" s="146"/>
      <c r="T189" s="146"/>
    </row>
    <row r="190" spans="1:31" ht="24" customHeight="1">
      <c r="A190" s="267" t="s">
        <v>1057</v>
      </c>
      <c r="B190" s="202"/>
      <c r="C190" s="202"/>
      <c r="D190" s="202"/>
      <c r="E190" s="202"/>
      <c r="F190" s="202"/>
      <c r="G190" s="202"/>
      <c r="H190" s="202"/>
      <c r="I190" s="202"/>
      <c r="J190" s="202"/>
      <c r="K190" s="202"/>
      <c r="L190" s="218"/>
      <c r="M190" s="218"/>
      <c r="N190" s="164"/>
      <c r="O190" s="164"/>
      <c r="P190" s="163"/>
      <c r="Q190" s="163"/>
      <c r="R190" s="163"/>
      <c r="S190" s="163"/>
      <c r="T190" s="163"/>
    </row>
    <row r="191" spans="1:31" ht="24" customHeight="1">
      <c r="A191" s="263" t="s">
        <v>152</v>
      </c>
      <c r="B191" s="264"/>
      <c r="C191" s="264"/>
      <c r="D191" s="263" t="s">
        <v>841</v>
      </c>
      <c r="E191" s="328"/>
      <c r="F191" s="328"/>
      <c r="G191" s="328"/>
      <c r="H191" s="328"/>
      <c r="I191" s="328"/>
      <c r="J191" s="328"/>
      <c r="K191" s="328"/>
      <c r="L191" s="209">
        <v>329967</v>
      </c>
      <c r="M191" s="209">
        <v>339927</v>
      </c>
      <c r="N191" s="158">
        <v>355725</v>
      </c>
      <c r="O191" s="158">
        <v>357500</v>
      </c>
      <c r="P191" s="157">
        <v>382309</v>
      </c>
      <c r="Q191" s="157">
        <v>393778</v>
      </c>
      <c r="R191" s="157">
        <v>405591</v>
      </c>
      <c r="S191" s="157">
        <v>417759</v>
      </c>
      <c r="T191" s="157">
        <v>430292</v>
      </c>
      <c r="V191" s="370"/>
      <c r="W191" s="371"/>
      <c r="X191" s="371"/>
      <c r="Y191" s="371"/>
      <c r="Z191" s="148"/>
    </row>
    <row r="192" spans="1:31" ht="24" customHeight="1">
      <c r="A192" s="263" t="s">
        <v>1061</v>
      </c>
      <c r="B192" s="383"/>
      <c r="C192" s="383"/>
      <c r="D192" s="263" t="s">
        <v>69</v>
      </c>
      <c r="E192" s="383"/>
      <c r="F192" s="383"/>
      <c r="G192" s="383"/>
      <c r="H192" s="383"/>
      <c r="I192" s="383"/>
      <c r="J192" s="383"/>
      <c r="K192" s="383"/>
      <c r="L192" s="209">
        <v>7709</v>
      </c>
      <c r="M192" s="209">
        <v>8455</v>
      </c>
      <c r="N192" s="158">
        <v>11600</v>
      </c>
      <c r="O192" s="158">
        <v>11600</v>
      </c>
      <c r="P192" s="157">
        <v>11600</v>
      </c>
      <c r="Q192" s="157">
        <v>11600</v>
      </c>
      <c r="R192" s="157">
        <v>11600</v>
      </c>
      <c r="S192" s="157">
        <v>11600</v>
      </c>
      <c r="T192" s="157">
        <v>11600</v>
      </c>
      <c r="V192" s="370"/>
      <c r="W192" s="371"/>
      <c r="X192" s="371"/>
      <c r="Y192" s="371"/>
      <c r="Z192" s="148"/>
      <c r="AA192" s="148"/>
    </row>
    <row r="193" spans="1:27" ht="24" customHeight="1">
      <c r="A193" s="263" t="s">
        <v>151</v>
      </c>
      <c r="B193" s="264"/>
      <c r="C193" s="264"/>
      <c r="D193" s="263" t="s">
        <v>14</v>
      </c>
      <c r="E193" s="264"/>
      <c r="F193" s="264"/>
      <c r="G193" s="264"/>
      <c r="H193" s="264"/>
      <c r="I193" s="264"/>
      <c r="J193" s="264"/>
      <c r="K193" s="264"/>
      <c r="L193" s="211">
        <v>8101</v>
      </c>
      <c r="M193" s="211">
        <v>13672</v>
      </c>
      <c r="N193" s="150">
        <v>15000</v>
      </c>
      <c r="O193" s="150">
        <v>27000</v>
      </c>
      <c r="P193" s="149">
        <v>15000</v>
      </c>
      <c r="Q193" s="149">
        <v>15000</v>
      </c>
      <c r="R193" s="149">
        <v>15000</v>
      </c>
      <c r="S193" s="149">
        <v>15000</v>
      </c>
      <c r="T193" s="149">
        <v>15000</v>
      </c>
      <c r="V193" s="370"/>
      <c r="W193" s="371"/>
      <c r="X193" s="371"/>
      <c r="Y193" s="371"/>
    </row>
    <row r="194" spans="1:27" ht="24" customHeight="1">
      <c r="A194" s="263" t="s">
        <v>154</v>
      </c>
      <c r="B194" s="264"/>
      <c r="C194" s="264"/>
      <c r="D194" s="263" t="s">
        <v>8</v>
      </c>
      <c r="E194" s="264"/>
      <c r="F194" s="264"/>
      <c r="G194" s="264"/>
      <c r="H194" s="264"/>
      <c r="I194" s="264"/>
      <c r="J194" s="264"/>
      <c r="K194" s="264"/>
      <c r="L194" s="211">
        <v>36546</v>
      </c>
      <c r="M194" s="211">
        <v>37768</v>
      </c>
      <c r="N194" s="158">
        <v>40471</v>
      </c>
      <c r="O194" s="158">
        <v>41000</v>
      </c>
      <c r="P194" s="157">
        <v>42448</v>
      </c>
      <c r="Q194" s="149">
        <v>44884</v>
      </c>
      <c r="R194" s="149">
        <v>47527</v>
      </c>
      <c r="S194" s="149">
        <v>50373</v>
      </c>
      <c r="T194" s="149">
        <v>53391</v>
      </c>
      <c r="V194" s="370"/>
      <c r="W194" s="371"/>
      <c r="X194" s="371"/>
      <c r="Y194" s="371"/>
    </row>
    <row r="195" spans="1:27" ht="24" customHeight="1">
      <c r="A195" s="263" t="s">
        <v>153</v>
      </c>
      <c r="B195" s="202"/>
      <c r="C195" s="202"/>
      <c r="D195" s="263" t="s">
        <v>9</v>
      </c>
      <c r="E195" s="202"/>
      <c r="F195" s="202"/>
      <c r="G195" s="202"/>
      <c r="H195" s="202"/>
      <c r="I195" s="202"/>
      <c r="J195" s="202"/>
      <c r="K195" s="202"/>
      <c r="L195" s="211">
        <v>25567</v>
      </c>
      <c r="M195" s="211">
        <v>26608</v>
      </c>
      <c r="N195" s="158">
        <v>28250</v>
      </c>
      <c r="O195" s="158">
        <v>29000</v>
      </c>
      <c r="P195" s="157">
        <v>30161</v>
      </c>
      <c r="Q195" s="157">
        <v>31066</v>
      </c>
      <c r="R195" s="157">
        <v>31998</v>
      </c>
      <c r="S195" s="157">
        <v>32958</v>
      </c>
      <c r="T195" s="157">
        <v>33947</v>
      </c>
      <c r="V195" s="370"/>
      <c r="W195" s="371"/>
      <c r="X195" s="371"/>
      <c r="Y195" s="371"/>
    </row>
    <row r="196" spans="1:27" ht="24" customHeight="1">
      <c r="A196" s="263" t="s">
        <v>518</v>
      </c>
      <c r="B196" s="202"/>
      <c r="C196" s="202"/>
      <c r="D196" s="263" t="s">
        <v>13</v>
      </c>
      <c r="E196" s="202"/>
      <c r="F196" s="202"/>
      <c r="G196" s="202"/>
      <c r="H196" s="202"/>
      <c r="I196" s="202"/>
      <c r="J196" s="202"/>
      <c r="K196" s="202"/>
      <c r="L196" s="212">
        <v>106676</v>
      </c>
      <c r="M196" s="212">
        <v>121383</v>
      </c>
      <c r="N196" s="155">
        <v>134171</v>
      </c>
      <c r="O196" s="158">
        <f>ROUND((96399.26)+(-449.18*6)+(10261.2*2)+(10.67*4),0)+7000</f>
        <v>121269</v>
      </c>
      <c r="P196" s="157">
        <v>115626</v>
      </c>
      <c r="Q196" s="157">
        <v>124876</v>
      </c>
      <c r="R196" s="157">
        <v>134866</v>
      </c>
      <c r="S196" s="157">
        <v>145655</v>
      </c>
      <c r="T196" s="157">
        <v>157307</v>
      </c>
      <c r="V196" s="370"/>
      <c r="W196" s="371"/>
      <c r="X196" s="370"/>
      <c r="Y196" s="371"/>
      <c r="AA196" s="148"/>
    </row>
    <row r="197" spans="1:27" ht="24" customHeight="1">
      <c r="A197" s="263" t="s">
        <v>519</v>
      </c>
      <c r="B197" s="202"/>
      <c r="C197" s="202"/>
      <c r="D197" s="263" t="s">
        <v>173</v>
      </c>
      <c r="E197" s="202"/>
      <c r="F197" s="202"/>
      <c r="G197" s="202"/>
      <c r="H197" s="202"/>
      <c r="I197" s="202"/>
      <c r="J197" s="202"/>
      <c r="K197" s="202"/>
      <c r="L197" s="212">
        <v>645</v>
      </c>
      <c r="M197" s="212">
        <v>610</v>
      </c>
      <c r="N197" s="155">
        <v>594</v>
      </c>
      <c r="O197" s="155">
        <v>594</v>
      </c>
      <c r="P197" s="154">
        <v>437</v>
      </c>
      <c r="Q197" s="154">
        <v>441</v>
      </c>
      <c r="R197" s="154">
        <v>445</v>
      </c>
      <c r="S197" s="154">
        <v>449</v>
      </c>
      <c r="T197" s="154">
        <v>453</v>
      </c>
      <c r="V197" s="370"/>
      <c r="W197" s="371"/>
      <c r="X197" s="370"/>
      <c r="Y197" s="371"/>
      <c r="AA197" s="148"/>
    </row>
    <row r="198" spans="1:27" ht="24" customHeight="1">
      <c r="A198" s="263" t="s">
        <v>520</v>
      </c>
      <c r="B198" s="202"/>
      <c r="C198" s="202"/>
      <c r="D198" s="263" t="s">
        <v>530</v>
      </c>
      <c r="E198" s="202"/>
      <c r="F198" s="202"/>
      <c r="G198" s="202"/>
      <c r="H198" s="202"/>
      <c r="I198" s="202"/>
      <c r="J198" s="202"/>
      <c r="K198" s="202"/>
      <c r="L198" s="212">
        <v>8406</v>
      </c>
      <c r="M198" s="212">
        <v>9010</v>
      </c>
      <c r="N198" s="155">
        <v>9461</v>
      </c>
      <c r="O198" s="155">
        <v>7827</v>
      </c>
      <c r="P198" s="154">
        <v>7363</v>
      </c>
      <c r="Q198" s="154">
        <v>7731</v>
      </c>
      <c r="R198" s="154">
        <v>8118</v>
      </c>
      <c r="S198" s="154">
        <v>8524</v>
      </c>
      <c r="T198" s="154">
        <v>8950</v>
      </c>
      <c r="V198" s="370"/>
      <c r="W198" s="371"/>
      <c r="X198" s="370"/>
      <c r="Y198" s="371"/>
      <c r="AA198" s="148"/>
    </row>
    <row r="199" spans="1:27" ht="24" customHeight="1">
      <c r="A199" s="263" t="s">
        <v>536</v>
      </c>
      <c r="B199" s="202"/>
      <c r="C199" s="202"/>
      <c r="D199" s="263" t="s">
        <v>532</v>
      </c>
      <c r="E199" s="202"/>
      <c r="F199" s="202"/>
      <c r="G199" s="202"/>
      <c r="H199" s="202"/>
      <c r="I199" s="202"/>
      <c r="J199" s="202"/>
      <c r="K199" s="202"/>
      <c r="L199" s="212">
        <v>1045</v>
      </c>
      <c r="M199" s="212">
        <v>1067</v>
      </c>
      <c r="N199" s="155">
        <v>1099</v>
      </c>
      <c r="O199" s="155">
        <v>1066</v>
      </c>
      <c r="P199" s="154">
        <v>1065</v>
      </c>
      <c r="Q199" s="154">
        <v>1065</v>
      </c>
      <c r="R199" s="154">
        <v>1065</v>
      </c>
      <c r="S199" s="154">
        <v>1097</v>
      </c>
      <c r="T199" s="154">
        <v>1130</v>
      </c>
      <c r="V199" s="370"/>
      <c r="W199" s="371"/>
      <c r="X199" s="370"/>
      <c r="Y199" s="371"/>
      <c r="AA199" s="148"/>
    </row>
    <row r="200" spans="1:27" ht="24" customHeight="1">
      <c r="A200" s="263" t="s">
        <v>158</v>
      </c>
      <c r="B200" s="264"/>
      <c r="C200" s="264"/>
      <c r="D200" s="545" t="s">
        <v>91</v>
      </c>
      <c r="E200" s="544"/>
      <c r="F200" s="544"/>
      <c r="G200" s="544"/>
      <c r="H200" s="544"/>
      <c r="I200" s="544"/>
      <c r="J200" s="544"/>
      <c r="K200" s="544"/>
      <c r="L200" s="209">
        <v>6514</v>
      </c>
      <c r="M200" s="209">
        <v>2895</v>
      </c>
      <c r="N200" s="147">
        <v>3000</v>
      </c>
      <c r="O200" s="147">
        <v>3000</v>
      </c>
      <c r="P200" s="146">
        <v>3000</v>
      </c>
      <c r="Q200" s="146">
        <v>3000</v>
      </c>
      <c r="R200" s="146">
        <v>3000</v>
      </c>
      <c r="S200" s="146">
        <v>3000</v>
      </c>
      <c r="T200" s="146">
        <v>3000</v>
      </c>
    </row>
    <row r="201" spans="1:27" ht="24" customHeight="1">
      <c r="A201" s="263" t="s">
        <v>1177</v>
      </c>
      <c r="B201" s="487"/>
      <c r="C201" s="487"/>
      <c r="D201" s="263" t="s">
        <v>960</v>
      </c>
      <c r="E201" s="487"/>
      <c r="F201" s="487"/>
      <c r="G201" s="487"/>
      <c r="H201" s="487"/>
      <c r="I201" s="487"/>
      <c r="J201" s="487"/>
      <c r="K201" s="487"/>
      <c r="L201" s="209">
        <v>0</v>
      </c>
      <c r="M201" s="209">
        <v>1157</v>
      </c>
      <c r="N201" s="147">
        <v>2000</v>
      </c>
      <c r="O201" s="147">
        <v>2000</v>
      </c>
      <c r="P201" s="146">
        <v>2000</v>
      </c>
      <c r="Q201" s="146">
        <v>2000</v>
      </c>
      <c r="R201" s="146">
        <v>2000</v>
      </c>
      <c r="S201" s="146">
        <v>2000</v>
      </c>
      <c r="T201" s="146">
        <v>2000</v>
      </c>
    </row>
    <row r="202" spans="1:27" ht="24" customHeight="1">
      <c r="A202" s="263" t="s">
        <v>920</v>
      </c>
      <c r="B202" s="264"/>
      <c r="C202" s="264"/>
      <c r="D202" s="263" t="s">
        <v>917</v>
      </c>
      <c r="E202" s="319"/>
      <c r="F202" s="319"/>
      <c r="G202" s="319"/>
      <c r="H202" s="319"/>
      <c r="I202" s="319"/>
      <c r="J202" s="319"/>
      <c r="K202" s="319"/>
      <c r="L202" s="209">
        <v>194379</v>
      </c>
      <c r="M202" s="209">
        <v>63626</v>
      </c>
      <c r="N202" s="147">
        <v>75965</v>
      </c>
      <c r="O202" s="147">
        <f t="shared" ref="O202:T202" si="12">O460</f>
        <v>38831</v>
      </c>
      <c r="P202" s="146">
        <f t="shared" si="12"/>
        <v>0</v>
      </c>
      <c r="Q202" s="146">
        <f t="shared" si="12"/>
        <v>0</v>
      </c>
      <c r="R202" s="146">
        <f t="shared" si="12"/>
        <v>0</v>
      </c>
      <c r="S202" s="146">
        <f t="shared" si="12"/>
        <v>0</v>
      </c>
      <c r="T202" s="146">
        <f t="shared" si="12"/>
        <v>2826</v>
      </c>
      <c r="V202" s="370"/>
      <c r="W202" s="371"/>
      <c r="X202" s="664"/>
    </row>
    <row r="203" spans="1:27" ht="24" customHeight="1">
      <c r="A203" s="727" t="s">
        <v>1362</v>
      </c>
      <c r="B203" s="726"/>
      <c r="C203" s="726"/>
      <c r="D203" s="1" t="s">
        <v>1358</v>
      </c>
      <c r="E203" s="726"/>
      <c r="F203" s="726"/>
      <c r="G203" s="726"/>
      <c r="H203" s="726"/>
      <c r="I203" s="726"/>
      <c r="J203" s="726"/>
      <c r="K203" s="726"/>
      <c r="L203" s="215">
        <v>0</v>
      </c>
      <c r="M203" s="215">
        <v>0</v>
      </c>
      <c r="N203" s="158">
        <v>0</v>
      </c>
      <c r="O203" s="158">
        <v>0</v>
      </c>
      <c r="P203" s="157">
        <v>1523</v>
      </c>
      <c r="Q203" s="157">
        <v>0</v>
      </c>
      <c r="R203" s="157">
        <v>868</v>
      </c>
      <c r="S203" s="157">
        <v>3402</v>
      </c>
      <c r="T203" s="157">
        <v>1276</v>
      </c>
      <c r="V203" s="370"/>
      <c r="W203" s="371"/>
      <c r="X203" s="664"/>
    </row>
    <row r="204" spans="1:27" ht="24" customHeight="1">
      <c r="A204" s="263" t="s">
        <v>905</v>
      </c>
      <c r="B204" s="519"/>
      <c r="C204" s="519"/>
      <c r="D204" s="263" t="s">
        <v>906</v>
      </c>
      <c r="E204" s="519"/>
      <c r="F204" s="519"/>
      <c r="G204" s="519"/>
      <c r="H204" s="519"/>
      <c r="I204" s="519"/>
      <c r="J204" s="519"/>
      <c r="K204" s="519"/>
      <c r="L204" s="209">
        <v>23108</v>
      </c>
      <c r="M204" s="209">
        <v>18871</v>
      </c>
      <c r="N204" s="147">
        <v>25000</v>
      </c>
      <c r="O204" s="147">
        <v>20000</v>
      </c>
      <c r="P204" s="146">
        <v>20000</v>
      </c>
      <c r="Q204" s="146">
        <v>20000</v>
      </c>
      <c r="R204" s="146">
        <v>20000</v>
      </c>
      <c r="S204" s="146">
        <v>20000</v>
      </c>
      <c r="T204" s="146">
        <v>20000</v>
      </c>
      <c r="V204" s="148"/>
    </row>
    <row r="205" spans="1:27" ht="24" customHeight="1">
      <c r="A205" s="263" t="s">
        <v>157</v>
      </c>
      <c r="B205" s="202"/>
      <c r="C205" s="202"/>
      <c r="D205" s="263" t="s">
        <v>224</v>
      </c>
      <c r="E205" s="202"/>
      <c r="F205" s="202"/>
      <c r="G205" s="202"/>
      <c r="H205" s="202"/>
      <c r="I205" s="202"/>
      <c r="J205" s="202"/>
      <c r="K205" s="202"/>
      <c r="L205" s="209">
        <v>2449</v>
      </c>
      <c r="M205" s="209">
        <v>2751</v>
      </c>
      <c r="N205" s="147">
        <v>3000</v>
      </c>
      <c r="O205" s="147">
        <v>3500</v>
      </c>
      <c r="P205" s="146">
        <v>3500</v>
      </c>
      <c r="Q205" s="146">
        <v>3500</v>
      </c>
      <c r="R205" s="146">
        <v>3500</v>
      </c>
      <c r="S205" s="146">
        <v>3500</v>
      </c>
      <c r="T205" s="146">
        <v>3500</v>
      </c>
      <c r="V205" s="148"/>
    </row>
    <row r="206" spans="1:27" ht="24" customHeight="1">
      <c r="A206" s="263" t="s">
        <v>232</v>
      </c>
      <c r="B206" s="202"/>
      <c r="C206" s="202"/>
      <c r="D206" s="263" t="s">
        <v>163</v>
      </c>
      <c r="E206" s="327"/>
      <c r="F206" s="327"/>
      <c r="G206" s="327"/>
      <c r="H206" s="327"/>
      <c r="I206" s="327"/>
      <c r="J206" s="327"/>
      <c r="K206" s="327"/>
      <c r="L206" s="211">
        <v>7002</v>
      </c>
      <c r="M206" s="211">
        <v>7142</v>
      </c>
      <c r="N206" s="150">
        <v>7142</v>
      </c>
      <c r="O206" s="150">
        <v>7142</v>
      </c>
      <c r="P206" s="149">
        <f>ROUND(O206*1.05,0)</f>
        <v>7499</v>
      </c>
      <c r="Q206" s="149">
        <f>ROUND(P206*1.05,0)</f>
        <v>7874</v>
      </c>
      <c r="R206" s="149">
        <f>ROUND(Q206*1.05,0)</f>
        <v>8268</v>
      </c>
      <c r="S206" s="149">
        <f>ROUND(R206*1.05,0)</f>
        <v>8681</v>
      </c>
      <c r="T206" s="149">
        <f>ROUND(S206*1.05,0)</f>
        <v>9115</v>
      </c>
      <c r="V206" s="151"/>
    </row>
    <row r="207" spans="1:27" ht="24" customHeight="1">
      <c r="A207" s="263" t="s">
        <v>228</v>
      </c>
      <c r="B207" s="202"/>
      <c r="C207" s="202"/>
      <c r="D207" s="263" t="s">
        <v>1119</v>
      </c>
      <c r="E207" s="434"/>
      <c r="F207" s="434"/>
      <c r="G207" s="434"/>
      <c r="H207" s="434"/>
      <c r="I207" s="434"/>
      <c r="J207" s="434"/>
      <c r="K207" s="434"/>
      <c r="L207" s="209">
        <v>8225</v>
      </c>
      <c r="M207" s="209">
        <v>8980</v>
      </c>
      <c r="N207" s="150">
        <v>20000</v>
      </c>
      <c r="O207" s="150">
        <v>10000</v>
      </c>
      <c r="P207" s="149">
        <v>15000</v>
      </c>
      <c r="Q207" s="149">
        <v>15000</v>
      </c>
      <c r="R207" s="149">
        <v>15000</v>
      </c>
      <c r="S207" s="149">
        <v>15000</v>
      </c>
      <c r="T207" s="149">
        <v>15000</v>
      </c>
      <c r="W207" s="182"/>
    </row>
    <row r="208" spans="1:27" ht="24" customHeight="1">
      <c r="A208" s="263" t="s">
        <v>156</v>
      </c>
      <c r="B208" s="202"/>
      <c r="C208" s="658"/>
      <c r="D208" s="659" t="s">
        <v>10</v>
      </c>
      <c r="E208" s="658"/>
      <c r="F208" s="658"/>
      <c r="G208" s="658"/>
      <c r="H208" s="658"/>
      <c r="I208" s="658"/>
      <c r="J208" s="658"/>
      <c r="K208" s="658"/>
      <c r="L208" s="211">
        <v>3906</v>
      </c>
      <c r="M208" s="211">
        <v>6428</v>
      </c>
      <c r="N208" s="150">
        <v>3500</v>
      </c>
      <c r="O208" s="150">
        <v>3500</v>
      </c>
      <c r="P208" s="149">
        <v>4000</v>
      </c>
      <c r="Q208" s="149">
        <v>4000</v>
      </c>
      <c r="R208" s="149">
        <v>4000</v>
      </c>
      <c r="S208" s="149">
        <v>4000</v>
      </c>
      <c r="T208" s="149">
        <v>4000</v>
      </c>
    </row>
    <row r="209" spans="1:26" ht="24" customHeight="1">
      <c r="A209" s="554" t="s">
        <v>1198</v>
      </c>
      <c r="B209" s="350"/>
      <c r="C209" s="350"/>
      <c r="D209" s="554" t="s">
        <v>1033</v>
      </c>
      <c r="E209" s="553"/>
      <c r="F209" s="553"/>
      <c r="G209" s="266"/>
      <c r="H209" s="266"/>
      <c r="I209" s="266"/>
      <c r="J209" s="266"/>
      <c r="K209" s="266"/>
      <c r="L209" s="211">
        <v>3296</v>
      </c>
      <c r="M209" s="211">
        <v>426</v>
      </c>
      <c r="N209" s="150">
        <v>750</v>
      </c>
      <c r="O209" s="150">
        <v>450</v>
      </c>
      <c r="P209" s="153">
        <v>9000</v>
      </c>
      <c r="Q209" s="149">
        <f>ROUND(106000*1.06,0)</f>
        <v>112360</v>
      </c>
      <c r="R209" s="149">
        <v>0</v>
      </c>
      <c r="S209" s="149">
        <v>0</v>
      </c>
      <c r="T209" s="149">
        <v>0</v>
      </c>
    </row>
    <row r="210" spans="1:26" ht="24" customHeight="1">
      <c r="A210" s="715" t="s">
        <v>1348</v>
      </c>
      <c r="B210" s="714"/>
      <c r="C210" s="714"/>
      <c r="D210" s="715" t="s">
        <v>321</v>
      </c>
      <c r="E210" s="714"/>
      <c r="F210" s="714"/>
      <c r="G210" s="714"/>
      <c r="H210" s="714"/>
      <c r="I210" s="714"/>
      <c r="J210" s="714"/>
      <c r="K210" s="714"/>
      <c r="L210" s="232">
        <v>0</v>
      </c>
      <c r="M210" s="232">
        <v>0</v>
      </c>
      <c r="N210" s="184">
        <v>0</v>
      </c>
      <c r="O210" s="184">
        <v>0</v>
      </c>
      <c r="P210" s="183">
        <f>ROUND(9000/3,0)</f>
        <v>3000</v>
      </c>
      <c r="Q210" s="183">
        <f>ROUND(9000/3,0)</f>
        <v>3000</v>
      </c>
      <c r="R210" s="183">
        <f>ROUND(9000/3,0)</f>
        <v>3000</v>
      </c>
      <c r="S210" s="183">
        <f>ROUND(9000/3,0)</f>
        <v>3000</v>
      </c>
      <c r="T210" s="183">
        <f>ROUND(9000/3,0)</f>
        <v>3000</v>
      </c>
      <c r="V210" s="151"/>
    </row>
    <row r="211" spans="1:26" ht="24" customHeight="1">
      <c r="A211" s="263" t="s">
        <v>155</v>
      </c>
      <c r="B211" s="264"/>
      <c r="C211" s="264"/>
      <c r="D211" s="263" t="s">
        <v>86</v>
      </c>
      <c r="E211" s="524"/>
      <c r="F211" s="524"/>
      <c r="G211" s="524"/>
      <c r="H211" s="524"/>
      <c r="I211" s="524"/>
      <c r="J211" s="524"/>
      <c r="K211" s="524"/>
      <c r="L211" s="232">
        <v>793</v>
      </c>
      <c r="M211" s="232">
        <v>6162</v>
      </c>
      <c r="N211" s="184">
        <v>3600</v>
      </c>
      <c r="O211" s="184">
        <v>2500</v>
      </c>
      <c r="P211" s="183">
        <v>6000</v>
      </c>
      <c r="Q211" s="183">
        <v>6000</v>
      </c>
      <c r="R211" s="183">
        <v>6000</v>
      </c>
      <c r="S211" s="183">
        <v>6000</v>
      </c>
      <c r="T211" s="183">
        <v>6000</v>
      </c>
    </row>
    <row r="212" spans="1:26" ht="24" customHeight="1">
      <c r="A212" s="616" t="s">
        <v>1246</v>
      </c>
      <c r="B212" s="617"/>
      <c r="C212" s="617"/>
      <c r="D212" s="704" t="s">
        <v>87</v>
      </c>
      <c r="E212" s="703"/>
      <c r="F212" s="703"/>
      <c r="G212" s="703"/>
      <c r="H212" s="703"/>
      <c r="I212" s="617"/>
      <c r="J212" s="617"/>
      <c r="K212" s="617"/>
      <c r="L212" s="215">
        <v>0</v>
      </c>
      <c r="M212" s="215">
        <v>0</v>
      </c>
      <c r="N212" s="158">
        <v>4167</v>
      </c>
      <c r="O212" s="158">
        <f>ROUND(97.02*12,0)</f>
        <v>1164</v>
      </c>
      <c r="P212" s="157">
        <f>ROUND(O212*1.03,0)</f>
        <v>1199</v>
      </c>
      <c r="Q212" s="157">
        <f>ROUND(P212*1.03,0)</f>
        <v>1235</v>
      </c>
      <c r="R212" s="157">
        <f>ROUND(Q212*1.03,0)</f>
        <v>1272</v>
      </c>
      <c r="S212" s="157">
        <f>ROUND(R212*1.03,0)</f>
        <v>1310</v>
      </c>
      <c r="T212" s="157">
        <f>ROUND(S212*1.03,0)</f>
        <v>1349</v>
      </c>
    </row>
    <row r="213" spans="1:26" ht="24" customHeight="1">
      <c r="A213" s="263" t="s">
        <v>893</v>
      </c>
      <c r="B213" s="264"/>
      <c r="C213" s="264"/>
      <c r="D213" s="547" t="s">
        <v>894</v>
      </c>
      <c r="E213" s="546"/>
      <c r="F213" s="546"/>
      <c r="G213" s="546"/>
      <c r="H213" s="546"/>
      <c r="I213" s="546"/>
      <c r="J213" s="546"/>
      <c r="K213" s="546"/>
      <c r="L213" s="228">
        <v>48132</v>
      </c>
      <c r="M213" s="228">
        <v>30385</v>
      </c>
      <c r="N213" s="185">
        <v>55000</v>
      </c>
      <c r="O213" s="185">
        <v>55000</v>
      </c>
      <c r="P213" s="177">
        <v>55000</v>
      </c>
      <c r="Q213" s="177">
        <v>55000</v>
      </c>
      <c r="R213" s="177">
        <v>55000</v>
      </c>
      <c r="S213" s="177">
        <v>55000</v>
      </c>
      <c r="T213" s="177">
        <v>55000</v>
      </c>
    </row>
    <row r="214" spans="1:26" ht="24" customHeight="1">
      <c r="A214" s="263" t="s">
        <v>162</v>
      </c>
      <c r="B214" s="264"/>
      <c r="C214" s="264"/>
      <c r="D214" s="263" t="s">
        <v>94</v>
      </c>
      <c r="E214" s="264"/>
      <c r="F214" s="264"/>
      <c r="G214" s="264"/>
      <c r="H214" s="264"/>
      <c r="I214" s="264"/>
      <c r="J214" s="264"/>
      <c r="K214" s="264"/>
      <c r="L214" s="209">
        <v>5043</v>
      </c>
      <c r="M214" s="209">
        <v>4620</v>
      </c>
      <c r="N214" s="147">
        <v>4863</v>
      </c>
      <c r="O214" s="147">
        <v>4863</v>
      </c>
      <c r="P214" s="146">
        <f>ROUND((4*500)+(60*5)+1000+(25*52)+500,0)</f>
        <v>5100</v>
      </c>
      <c r="Q214" s="146">
        <f>ROUND((4*500)+(60*5)+1000+(25*52)+500,0)</f>
        <v>5100</v>
      </c>
      <c r="R214" s="146">
        <f>ROUND((4*500)+(60*5)+1000+(25*52)+500,0)</f>
        <v>5100</v>
      </c>
      <c r="S214" s="146">
        <f>ROUND((4*500)+(60*5)+1000+(25*52)+500,0)</f>
        <v>5100</v>
      </c>
      <c r="T214" s="146">
        <f>ROUND((4*500)+(60*5)+1000+(25*52)+500,0)</f>
        <v>5100</v>
      </c>
      <c r="V214" s="148"/>
    </row>
    <row r="215" spans="1:26" ht="24" customHeight="1">
      <c r="A215" s="715" t="s">
        <v>1345</v>
      </c>
      <c r="B215" s="713"/>
      <c r="C215" s="713"/>
      <c r="D215" s="715" t="s">
        <v>257</v>
      </c>
      <c r="E215" s="713"/>
      <c r="F215" s="713"/>
      <c r="G215" s="713"/>
      <c r="H215" s="713"/>
      <c r="I215" s="713"/>
      <c r="J215" s="713"/>
      <c r="K215" s="713"/>
      <c r="L215" s="212">
        <v>0</v>
      </c>
      <c r="M215" s="212">
        <v>0</v>
      </c>
      <c r="N215" s="156">
        <v>0</v>
      </c>
      <c r="O215" s="156">
        <v>0</v>
      </c>
      <c r="P215" s="153">
        <v>0</v>
      </c>
      <c r="Q215" s="153">
        <v>120000</v>
      </c>
      <c r="R215" s="153">
        <v>120000</v>
      </c>
      <c r="S215" s="153">
        <v>120000</v>
      </c>
      <c r="T215" s="153">
        <v>120000</v>
      </c>
      <c r="V215" s="151"/>
      <c r="W215" s="148"/>
    </row>
    <row r="216" spans="1:26" ht="24" customHeight="1">
      <c r="A216" s="715" t="s">
        <v>1346</v>
      </c>
      <c r="B216" s="713"/>
      <c r="C216" s="713"/>
      <c r="D216" s="715" t="s">
        <v>259</v>
      </c>
      <c r="E216" s="713"/>
      <c r="F216" s="713"/>
      <c r="G216" s="713"/>
      <c r="H216" s="713"/>
      <c r="I216" s="713"/>
      <c r="J216" s="713"/>
      <c r="K216" s="713"/>
      <c r="L216" s="212">
        <v>0</v>
      </c>
      <c r="M216" s="212">
        <v>0</v>
      </c>
      <c r="N216" s="156">
        <v>0</v>
      </c>
      <c r="O216" s="156">
        <v>0</v>
      </c>
      <c r="P216" s="153">
        <v>15000</v>
      </c>
      <c r="Q216" s="153">
        <v>15000</v>
      </c>
      <c r="R216" s="153">
        <v>0</v>
      </c>
      <c r="S216" s="153">
        <v>0</v>
      </c>
      <c r="T216" s="153">
        <v>0</v>
      </c>
      <c r="V216" s="151"/>
    </row>
    <row r="217" spans="1:26" ht="24" customHeight="1">
      <c r="A217" s="263" t="s">
        <v>161</v>
      </c>
      <c r="B217" s="264"/>
      <c r="C217" s="264"/>
      <c r="D217" s="263" t="s">
        <v>12</v>
      </c>
      <c r="E217" s="326"/>
      <c r="F217" s="326"/>
      <c r="G217" s="326"/>
      <c r="H217" s="326"/>
      <c r="I217" s="326"/>
      <c r="J217" s="326"/>
      <c r="K217" s="326"/>
      <c r="L217" s="212">
        <v>8828</v>
      </c>
      <c r="M217" s="212">
        <v>5287</v>
      </c>
      <c r="N217" s="147">
        <v>20500</v>
      </c>
      <c r="O217" s="147">
        <v>25000</v>
      </c>
      <c r="P217" s="146">
        <v>10000</v>
      </c>
      <c r="Q217" s="146">
        <v>10000</v>
      </c>
      <c r="R217" s="146">
        <v>10000</v>
      </c>
      <c r="S217" s="146">
        <v>10000</v>
      </c>
      <c r="T217" s="146">
        <v>10000</v>
      </c>
      <c r="V217" s="180"/>
    </row>
    <row r="218" spans="1:26" ht="24" customHeight="1">
      <c r="A218" s="263" t="s">
        <v>160</v>
      </c>
      <c r="B218" s="264"/>
      <c r="C218" s="264"/>
      <c r="D218" s="711" t="s">
        <v>164</v>
      </c>
      <c r="E218" s="709"/>
      <c r="F218" s="709"/>
      <c r="G218" s="709"/>
      <c r="H218" s="709"/>
      <c r="I218" s="709"/>
      <c r="J218" s="709"/>
      <c r="K218" s="709"/>
      <c r="L218" s="209">
        <v>0</v>
      </c>
      <c r="M218" s="209">
        <v>0</v>
      </c>
      <c r="N218" s="147">
        <v>2000</v>
      </c>
      <c r="O218" s="147">
        <v>0</v>
      </c>
      <c r="P218" s="146">
        <v>0</v>
      </c>
      <c r="Q218" s="146">
        <v>0</v>
      </c>
      <c r="R218" s="146">
        <v>0</v>
      </c>
      <c r="S218" s="146">
        <v>0</v>
      </c>
      <c r="T218" s="146">
        <v>0</v>
      </c>
      <c r="V218" s="148"/>
      <c r="W218" s="148"/>
      <c r="Z218" s="148"/>
    </row>
    <row r="219" spans="1:26" ht="24" customHeight="1">
      <c r="A219" s="263" t="s">
        <v>895</v>
      </c>
      <c r="B219" s="264"/>
      <c r="C219" s="264"/>
      <c r="D219" s="263" t="s">
        <v>896</v>
      </c>
      <c r="E219" s="264"/>
      <c r="F219" s="264"/>
      <c r="G219" s="264"/>
      <c r="H219" s="264"/>
      <c r="I219" s="264"/>
      <c r="J219" s="264"/>
      <c r="K219" s="264"/>
      <c r="L219" s="209">
        <v>15265</v>
      </c>
      <c r="M219" s="209">
        <v>27441</v>
      </c>
      <c r="N219" s="147">
        <v>34000</v>
      </c>
      <c r="O219" s="147">
        <v>34000</v>
      </c>
      <c r="P219" s="146">
        <v>30000</v>
      </c>
      <c r="Q219" s="146">
        <v>30000</v>
      </c>
      <c r="R219" s="146">
        <v>30000</v>
      </c>
      <c r="S219" s="146">
        <v>30000</v>
      </c>
      <c r="T219" s="146">
        <v>30000</v>
      </c>
      <c r="V219" s="148"/>
      <c r="Z219" s="148"/>
    </row>
    <row r="220" spans="1:26" ht="24" customHeight="1">
      <c r="A220" s="263" t="s">
        <v>225</v>
      </c>
      <c r="B220" s="264"/>
      <c r="C220" s="264"/>
      <c r="D220" s="263" t="s">
        <v>16</v>
      </c>
      <c r="E220" s="326"/>
      <c r="F220" s="326"/>
      <c r="G220" s="326"/>
      <c r="H220" s="326"/>
      <c r="I220" s="326"/>
      <c r="J220" s="326"/>
      <c r="K220" s="326"/>
      <c r="L220" s="211">
        <v>3415</v>
      </c>
      <c r="M220" s="211">
        <v>3270</v>
      </c>
      <c r="N220" s="150">
        <v>5000</v>
      </c>
      <c r="O220" s="150">
        <v>5000</v>
      </c>
      <c r="P220" s="149">
        <v>6000</v>
      </c>
      <c r="Q220" s="149">
        <v>6000</v>
      </c>
      <c r="R220" s="149">
        <v>6000</v>
      </c>
      <c r="S220" s="149">
        <v>6000</v>
      </c>
      <c r="T220" s="149">
        <v>6000</v>
      </c>
    </row>
    <row r="221" spans="1:26" ht="24" customHeight="1">
      <c r="A221" s="757" t="s">
        <v>1376</v>
      </c>
      <c r="B221" s="755"/>
      <c r="C221" s="755"/>
      <c r="D221" s="757" t="s">
        <v>1377</v>
      </c>
      <c r="E221" s="755"/>
      <c r="F221" s="755"/>
      <c r="G221" s="755"/>
      <c r="H221" s="755"/>
      <c r="I221" s="755"/>
      <c r="J221" s="755"/>
      <c r="K221" s="755"/>
      <c r="L221" s="212">
        <v>0</v>
      </c>
      <c r="M221" s="212">
        <v>0</v>
      </c>
      <c r="N221" s="156">
        <v>0</v>
      </c>
      <c r="O221" s="156">
        <v>0</v>
      </c>
      <c r="P221" s="153">
        <v>35000</v>
      </c>
      <c r="Q221" s="153">
        <f>10000+25000</f>
        <v>35000</v>
      </c>
      <c r="R221" s="153">
        <f>10000+25000</f>
        <v>35000</v>
      </c>
      <c r="S221" s="153">
        <f>10000+25000</f>
        <v>35000</v>
      </c>
      <c r="T221" s="153">
        <v>0</v>
      </c>
    </row>
    <row r="222" spans="1:26" ht="24" customHeight="1">
      <c r="A222" s="263" t="s">
        <v>213</v>
      </c>
      <c r="B222" s="264"/>
      <c r="C222" s="264"/>
      <c r="D222" s="567" t="s">
        <v>963</v>
      </c>
      <c r="E222" s="566"/>
      <c r="F222" s="566"/>
      <c r="G222" s="566"/>
      <c r="H222" s="566"/>
      <c r="I222" s="566"/>
      <c r="J222" s="566"/>
      <c r="K222" s="566"/>
      <c r="L222" s="211">
        <v>20580</v>
      </c>
      <c r="M222" s="211">
        <v>12775</v>
      </c>
      <c r="N222" s="150">
        <v>20000</v>
      </c>
      <c r="O222" s="150">
        <v>20000</v>
      </c>
      <c r="P222" s="149">
        <v>25000</v>
      </c>
      <c r="Q222" s="149">
        <v>25000</v>
      </c>
      <c r="R222" s="149">
        <v>25000</v>
      </c>
      <c r="S222" s="149">
        <v>25000</v>
      </c>
      <c r="T222" s="149">
        <v>25000</v>
      </c>
    </row>
    <row r="223" spans="1:26" ht="24" customHeight="1">
      <c r="A223" s="715" t="s">
        <v>1347</v>
      </c>
      <c r="B223" s="713"/>
      <c r="C223" s="713"/>
      <c r="D223" s="715" t="s">
        <v>1239</v>
      </c>
      <c r="E223" s="713"/>
      <c r="F223" s="713"/>
      <c r="G223" s="713"/>
      <c r="H223" s="713"/>
      <c r="I223" s="713"/>
      <c r="J223" s="713"/>
      <c r="K223" s="713"/>
      <c r="L223" s="209">
        <v>0</v>
      </c>
      <c r="M223" s="209">
        <v>0</v>
      </c>
      <c r="N223" s="147">
        <v>0</v>
      </c>
      <c r="O223" s="147">
        <v>0</v>
      </c>
      <c r="P223" s="146">
        <v>17000</v>
      </c>
      <c r="Q223" s="146">
        <v>17000</v>
      </c>
      <c r="R223" s="146">
        <v>17000</v>
      </c>
      <c r="S223" s="146">
        <v>17000</v>
      </c>
      <c r="T223" s="146">
        <v>17000</v>
      </c>
    </row>
    <row r="224" spans="1:26" ht="24" customHeight="1">
      <c r="A224" s="715" t="s">
        <v>1350</v>
      </c>
      <c r="B224" s="714"/>
      <c r="C224" s="714"/>
      <c r="D224" s="715" t="s">
        <v>995</v>
      </c>
      <c r="E224" s="714"/>
      <c r="F224" s="714"/>
      <c r="G224" s="714"/>
      <c r="H224" s="714"/>
      <c r="I224" s="714"/>
      <c r="J224" s="714"/>
      <c r="K224" s="714"/>
      <c r="L224" s="212">
        <v>0</v>
      </c>
      <c r="M224" s="212">
        <v>0</v>
      </c>
      <c r="N224" s="156">
        <v>0</v>
      </c>
      <c r="O224" s="156">
        <v>0</v>
      </c>
      <c r="P224" s="183">
        <f>ROUND(3600/3,0)</f>
        <v>1200</v>
      </c>
      <c r="Q224" s="183">
        <f>ROUND(3600/3,0)</f>
        <v>1200</v>
      </c>
      <c r="R224" s="183">
        <f>ROUND(3600/3,0)</f>
        <v>1200</v>
      </c>
      <c r="S224" s="183">
        <f>ROUND(3600/3,0)</f>
        <v>1200</v>
      </c>
      <c r="T224" s="183">
        <f>ROUND(3600/3,0)</f>
        <v>1200</v>
      </c>
    </row>
    <row r="225" spans="1:31" ht="24" customHeight="1">
      <c r="A225" s="263" t="s">
        <v>159</v>
      </c>
      <c r="B225" s="264"/>
      <c r="C225" s="264"/>
      <c r="D225" s="631" t="s">
        <v>136</v>
      </c>
      <c r="E225" s="632"/>
      <c r="F225" s="632"/>
      <c r="G225" s="632"/>
      <c r="H225" s="632"/>
      <c r="I225" s="632"/>
      <c r="J225" s="632"/>
      <c r="K225" s="632"/>
      <c r="L225" s="216">
        <v>14486</v>
      </c>
      <c r="M225" s="216">
        <v>15391</v>
      </c>
      <c r="N225" s="174">
        <v>21400</v>
      </c>
      <c r="O225" s="174">
        <v>21400</v>
      </c>
      <c r="P225" s="173">
        <f>ROUND(O225*1.07,0)</f>
        <v>22898</v>
      </c>
      <c r="Q225" s="173">
        <f>ROUND(P225*1.05,0)</f>
        <v>24043</v>
      </c>
      <c r="R225" s="173">
        <f>ROUND(Q225*1.05,0)</f>
        <v>25245</v>
      </c>
      <c r="S225" s="173">
        <f>ROUND(R225*1.05,0)</f>
        <v>26507</v>
      </c>
      <c r="T225" s="173">
        <f>ROUND(S225*1.05,0)</f>
        <v>27832</v>
      </c>
      <c r="V225" s="151"/>
      <c r="Y225" s="194"/>
    </row>
    <row r="226" spans="1:31" s="202" customFormat="1" ht="24" customHeight="1">
      <c r="A226" s="263"/>
      <c r="B226" s="266"/>
      <c r="C226" s="266"/>
      <c r="D226" s="263"/>
      <c r="E226" s="266"/>
      <c r="F226" s="266"/>
      <c r="G226" s="266"/>
      <c r="H226" s="266"/>
      <c r="I226" s="266"/>
      <c r="J226" s="266"/>
      <c r="K226" s="266"/>
      <c r="L226" s="234">
        <f>SUM(L191:L225)</f>
        <v>890083</v>
      </c>
      <c r="M226" s="234">
        <f t="shared" ref="M226:T226" si="13">SUM(M191:M225)</f>
        <v>776107</v>
      </c>
      <c r="N226" s="225">
        <f t="shared" si="13"/>
        <v>907258</v>
      </c>
      <c r="O226" s="225">
        <f t="shared" si="13"/>
        <v>854206</v>
      </c>
      <c r="P226" s="234">
        <f t="shared" si="13"/>
        <v>903928</v>
      </c>
      <c r="Q226" s="234">
        <f t="shared" si="13"/>
        <v>1151753</v>
      </c>
      <c r="R226" s="234">
        <f t="shared" si="13"/>
        <v>1052663</v>
      </c>
      <c r="S226" s="234">
        <f t="shared" si="13"/>
        <v>1084115</v>
      </c>
      <c r="T226" s="234">
        <f t="shared" si="13"/>
        <v>1080268</v>
      </c>
      <c r="U226" s="65"/>
      <c r="V226" s="845"/>
      <c r="W226" s="845"/>
      <c r="X226" s="844"/>
      <c r="Y226" s="838"/>
      <c r="Z226" s="838"/>
      <c r="AA226" s="838"/>
      <c r="AB226" s="838"/>
      <c r="AC226" s="838"/>
      <c r="AD226" s="838"/>
      <c r="AE226" s="838"/>
    </row>
    <row r="227" spans="1:31" s="723" customFormat="1" ht="15" customHeight="1">
      <c r="A227" s="722"/>
      <c r="B227" s="266"/>
      <c r="C227" s="266"/>
      <c r="D227" s="722"/>
      <c r="E227" s="266"/>
      <c r="F227" s="266"/>
      <c r="G227" s="266"/>
      <c r="H227" s="266"/>
      <c r="I227" s="266"/>
      <c r="J227" s="266"/>
      <c r="K227" s="266"/>
      <c r="L227" s="234"/>
      <c r="M227" s="234"/>
      <c r="N227" s="225"/>
      <c r="O227" s="225"/>
      <c r="P227" s="234"/>
      <c r="Q227" s="234"/>
      <c r="R227" s="234"/>
      <c r="S227" s="234"/>
      <c r="T227" s="234"/>
      <c r="U227" s="65"/>
      <c r="V227" s="838"/>
      <c r="W227" s="838"/>
      <c r="X227" s="838"/>
      <c r="Y227" s="838"/>
      <c r="Z227" s="838"/>
      <c r="AA227" s="838"/>
      <c r="AB227" s="838"/>
      <c r="AC227" s="838"/>
      <c r="AD227" s="838"/>
      <c r="AE227" s="838"/>
    </row>
    <row r="228" spans="1:31" ht="24" customHeight="1">
      <c r="A228" s="267" t="s">
        <v>1058</v>
      </c>
      <c r="B228" s="202"/>
      <c r="C228" s="202"/>
      <c r="D228" s="202"/>
      <c r="E228" s="202"/>
      <c r="F228" s="202"/>
      <c r="G228" s="202"/>
      <c r="H228" s="202"/>
      <c r="I228" s="202"/>
      <c r="J228" s="202"/>
      <c r="K228" s="202"/>
      <c r="L228" s="218"/>
      <c r="M228" s="218"/>
      <c r="N228" s="164"/>
      <c r="O228" s="164"/>
      <c r="P228" s="163"/>
      <c r="Q228" s="163"/>
      <c r="R228" s="163"/>
      <c r="S228" s="163"/>
      <c r="T228" s="163"/>
      <c r="V228" s="459"/>
      <c r="W228" s="459"/>
      <c r="X228" s="457"/>
      <c r="Y228" s="459"/>
      <c r="Z228" s="457"/>
      <c r="AA228" s="459"/>
      <c r="AB228" s="457"/>
      <c r="AC228" s="344"/>
      <c r="AD228" s="344"/>
      <c r="AE228" s="457"/>
    </row>
    <row r="229" spans="1:31" ht="24" customHeight="1">
      <c r="A229" s="202" t="s">
        <v>651</v>
      </c>
      <c r="B229" s="202"/>
      <c r="C229" s="202"/>
      <c r="D229" s="631" t="s">
        <v>652</v>
      </c>
      <c r="E229" s="633"/>
      <c r="F229" s="633"/>
      <c r="G229" s="633"/>
      <c r="H229" s="633"/>
      <c r="I229" s="633"/>
      <c r="J229" s="633"/>
      <c r="K229" s="633"/>
      <c r="L229" s="211">
        <v>33486</v>
      </c>
      <c r="M229" s="211">
        <v>35103</v>
      </c>
      <c r="N229" s="150">
        <v>33000</v>
      </c>
      <c r="O229" s="150">
        <f>ROUND((10121.1)+(2665.8*3)+(2437.52*5),0)+1000</f>
        <v>31306</v>
      </c>
      <c r="P229" s="149">
        <f>ROUND(O229*1.025,0)</f>
        <v>32089</v>
      </c>
      <c r="Q229" s="149">
        <f>ROUND(P229*1.025,0)</f>
        <v>32891</v>
      </c>
      <c r="R229" s="149">
        <f>ROUND(Q229*1.025,0)</f>
        <v>33713</v>
      </c>
      <c r="S229" s="149">
        <f>ROUND(R229*1.025,0)</f>
        <v>34556</v>
      </c>
      <c r="T229" s="149">
        <f>ROUND(S229*1.025,0)</f>
        <v>35420</v>
      </c>
      <c r="V229" s="151"/>
      <c r="W229" s="151"/>
      <c r="X229" s="460"/>
      <c r="Y229" s="459"/>
      <c r="Z229" s="460"/>
      <c r="AA229" s="459"/>
      <c r="AB229" s="460"/>
      <c r="AC229" s="344"/>
      <c r="AD229" s="344"/>
      <c r="AE229" s="457"/>
    </row>
    <row r="230" spans="1:31" ht="24" customHeight="1">
      <c r="A230" s="263" t="s">
        <v>167</v>
      </c>
      <c r="B230" s="264"/>
      <c r="C230" s="264"/>
      <c r="D230" s="631" t="s">
        <v>169</v>
      </c>
      <c r="E230" s="632"/>
      <c r="F230" s="632"/>
      <c r="G230" s="632"/>
      <c r="H230" s="632"/>
      <c r="I230" s="632"/>
      <c r="J230" s="632"/>
      <c r="K230" s="632"/>
      <c r="L230" s="209">
        <v>1201414</v>
      </c>
      <c r="M230" s="209">
        <v>1262212</v>
      </c>
      <c r="N230" s="147">
        <v>1000000</v>
      </c>
      <c r="O230" s="147">
        <f>ROUND((529778.7+10561.7+12836.25+90345+92486.98)+(4*92750)+(30*16.5),0)</f>
        <v>1107504</v>
      </c>
      <c r="P230" s="146">
        <f>ROUND(((O230/16.5)*16.91)+(125*16.91),0)</f>
        <v>1137138</v>
      </c>
      <c r="Q230" s="146">
        <f>ROUND(((P230/16.91)*17.34)+(120*17.34),0)</f>
        <v>1168135</v>
      </c>
      <c r="R230" s="146">
        <f>ROUND(((Q230/17.34)*17.77)+(120*17.77),0)</f>
        <v>1199235</v>
      </c>
      <c r="S230" s="146">
        <f>ROUND(((R230/17.77)*18.21)+(120*18.21),0)</f>
        <v>1231114</v>
      </c>
      <c r="T230" s="146">
        <f>ROUND(S230*1.03,0)</f>
        <v>1268047</v>
      </c>
      <c r="V230" s="148"/>
      <c r="W230" s="781"/>
      <c r="X230" s="459"/>
      <c r="Y230" s="459"/>
      <c r="Z230" s="459"/>
      <c r="AA230" s="459"/>
      <c r="AB230" s="344"/>
      <c r="AC230" s="344"/>
      <c r="AD230" s="344"/>
      <c r="AE230" s="344"/>
    </row>
    <row r="231" spans="1:31" ht="24" customHeight="1">
      <c r="A231" s="263" t="s">
        <v>166</v>
      </c>
      <c r="B231" s="202"/>
      <c r="C231" s="202"/>
      <c r="D231" s="263" t="s">
        <v>168</v>
      </c>
      <c r="E231" s="202"/>
      <c r="F231" s="202"/>
      <c r="G231" s="202"/>
      <c r="H231" s="202"/>
      <c r="I231" s="202"/>
      <c r="J231" s="202"/>
      <c r="K231" s="202"/>
      <c r="L231" s="217">
        <v>4800</v>
      </c>
      <c r="M231" s="217">
        <v>4080</v>
      </c>
      <c r="N231" s="172">
        <v>6000</v>
      </c>
      <c r="O231" s="172">
        <v>3840</v>
      </c>
      <c r="P231" s="160">
        <v>5000</v>
      </c>
      <c r="Q231" s="160">
        <v>5000</v>
      </c>
      <c r="R231" s="160">
        <v>5000</v>
      </c>
      <c r="S231" s="160">
        <v>5000</v>
      </c>
      <c r="T231" s="160">
        <v>5000</v>
      </c>
      <c r="V231" s="148"/>
    </row>
    <row r="232" spans="1:31" s="202" customFormat="1" ht="24" customHeight="1">
      <c r="A232" s="263"/>
      <c r="D232" s="263"/>
      <c r="L232" s="235">
        <f t="shared" ref="L232:T232" si="14">SUM(L229:L231)</f>
        <v>1239700</v>
      </c>
      <c r="M232" s="235">
        <f t="shared" si="14"/>
        <v>1301395</v>
      </c>
      <c r="N232" s="227">
        <f t="shared" si="14"/>
        <v>1039000</v>
      </c>
      <c r="O232" s="227">
        <f t="shared" si="14"/>
        <v>1142650</v>
      </c>
      <c r="P232" s="235">
        <f t="shared" si="14"/>
        <v>1174227</v>
      </c>
      <c r="Q232" s="235">
        <f t="shared" si="14"/>
        <v>1206026</v>
      </c>
      <c r="R232" s="235">
        <f t="shared" si="14"/>
        <v>1237948</v>
      </c>
      <c r="S232" s="235">
        <f t="shared" si="14"/>
        <v>1270670</v>
      </c>
      <c r="T232" s="235">
        <f t="shared" si="14"/>
        <v>1308467</v>
      </c>
      <c r="U232" s="65"/>
      <c r="V232" s="845"/>
      <c r="W232" s="845"/>
      <c r="X232" s="844"/>
      <c r="Y232" s="267"/>
      <c r="AD232" s="822"/>
    </row>
    <row r="233" spans="1:31" s="202" customFormat="1" ht="15" customHeight="1">
      <c r="A233" s="263"/>
      <c r="D233" s="263"/>
      <c r="L233" s="235"/>
      <c r="M233" s="235"/>
      <c r="N233" s="227"/>
      <c r="O233" s="227"/>
      <c r="P233" s="235"/>
      <c r="Q233" s="235"/>
      <c r="R233" s="235"/>
      <c r="S233" s="235"/>
      <c r="T233" s="235"/>
      <c r="U233" s="65"/>
      <c r="V233" s="838"/>
      <c r="W233" s="838"/>
      <c r="X233" s="838"/>
      <c r="AD233" s="822"/>
    </row>
    <row r="234" spans="1:31" s="202" customFormat="1" ht="24" customHeight="1">
      <c r="A234" s="263"/>
      <c r="D234" s="263"/>
      <c r="F234" s="902" t="s">
        <v>876</v>
      </c>
      <c r="G234" s="902"/>
      <c r="H234" s="902"/>
      <c r="I234" s="902"/>
      <c r="J234" s="902"/>
      <c r="K234" s="902"/>
      <c r="L234" s="235">
        <f t="shared" ref="L234:T234" si="15">L226+L232</f>
        <v>2129783</v>
      </c>
      <c r="M234" s="235">
        <f t="shared" si="15"/>
        <v>2077502</v>
      </c>
      <c r="N234" s="227">
        <f t="shared" si="15"/>
        <v>1946258</v>
      </c>
      <c r="O234" s="227">
        <f t="shared" si="15"/>
        <v>1996856</v>
      </c>
      <c r="P234" s="235">
        <f t="shared" si="15"/>
        <v>2078155</v>
      </c>
      <c r="Q234" s="235">
        <f t="shared" si="15"/>
        <v>2357779</v>
      </c>
      <c r="R234" s="235">
        <f t="shared" si="15"/>
        <v>2290611</v>
      </c>
      <c r="S234" s="235">
        <f t="shared" si="15"/>
        <v>2354785</v>
      </c>
      <c r="T234" s="235">
        <f t="shared" si="15"/>
        <v>2388735</v>
      </c>
      <c r="U234" s="308"/>
      <c r="V234" s="838"/>
      <c r="W234" s="838"/>
      <c r="X234" s="838"/>
      <c r="AD234" s="822"/>
    </row>
    <row r="235" spans="1:31" ht="15" customHeight="1">
      <c r="A235" s="263"/>
      <c r="B235" s="202"/>
      <c r="C235" s="202"/>
      <c r="D235" s="263"/>
      <c r="E235" s="202"/>
      <c r="F235" s="268"/>
      <c r="G235" s="268"/>
      <c r="H235" s="268"/>
      <c r="I235" s="268"/>
      <c r="J235" s="268"/>
      <c r="K235" s="268"/>
      <c r="L235" s="235"/>
      <c r="M235" s="235"/>
      <c r="N235" s="175"/>
      <c r="O235" s="175"/>
      <c r="P235" s="176"/>
      <c r="Q235" s="176"/>
      <c r="R235" s="176"/>
      <c r="S235" s="176"/>
      <c r="T235" s="176"/>
    </row>
    <row r="236" spans="1:31" ht="24" customHeight="1">
      <c r="A236" s="269" t="s">
        <v>543</v>
      </c>
      <c r="B236" s="202"/>
      <c r="C236" s="202"/>
      <c r="D236" s="263"/>
      <c r="E236" s="202"/>
      <c r="F236" s="202"/>
      <c r="G236" s="202"/>
      <c r="H236" s="202"/>
      <c r="I236" s="202"/>
      <c r="J236" s="202"/>
      <c r="K236" s="202"/>
      <c r="L236" s="212"/>
      <c r="M236" s="212"/>
      <c r="N236" s="156"/>
      <c r="O236" s="156"/>
      <c r="P236" s="153"/>
      <c r="Q236" s="153"/>
      <c r="R236" s="153"/>
      <c r="S236" s="153"/>
      <c r="T236" s="153"/>
    </row>
    <row r="237" spans="1:31" ht="24" customHeight="1">
      <c r="A237" s="619" t="s">
        <v>1251</v>
      </c>
      <c r="B237" s="618"/>
      <c r="C237" s="618"/>
      <c r="D237" s="619" t="s">
        <v>1252</v>
      </c>
      <c r="E237" s="618"/>
      <c r="F237" s="618"/>
      <c r="G237" s="618"/>
      <c r="H237" s="618"/>
      <c r="I237" s="618"/>
      <c r="J237" s="618"/>
      <c r="K237" s="618"/>
      <c r="L237" s="211">
        <v>0</v>
      </c>
      <c r="M237" s="211">
        <v>0</v>
      </c>
      <c r="N237" s="150">
        <v>26464</v>
      </c>
      <c r="O237" s="150">
        <v>16740</v>
      </c>
      <c r="P237" s="149">
        <v>0</v>
      </c>
      <c r="Q237" s="149">
        <v>0</v>
      </c>
      <c r="R237" s="149">
        <v>0</v>
      </c>
      <c r="S237" s="149">
        <v>0</v>
      </c>
      <c r="T237" s="149">
        <v>0</v>
      </c>
      <c r="V237" s="148"/>
    </row>
    <row r="238" spans="1:31" ht="24" customHeight="1">
      <c r="A238" s="263" t="s">
        <v>236</v>
      </c>
      <c r="B238" s="264"/>
      <c r="C238" s="264"/>
      <c r="D238" s="263" t="s">
        <v>237</v>
      </c>
      <c r="E238" s="264"/>
      <c r="F238" s="264"/>
      <c r="G238" s="264"/>
      <c r="H238" s="264"/>
      <c r="I238" s="264"/>
      <c r="J238" s="264"/>
      <c r="K238" s="264"/>
      <c r="L238" s="211">
        <v>6129</v>
      </c>
      <c r="M238" s="211">
        <v>800</v>
      </c>
      <c r="N238" s="150">
        <v>500</v>
      </c>
      <c r="O238" s="150">
        <v>700</v>
      </c>
      <c r="P238" s="149">
        <v>500</v>
      </c>
      <c r="Q238" s="149">
        <v>500</v>
      </c>
      <c r="R238" s="149">
        <v>500</v>
      </c>
      <c r="S238" s="149">
        <v>500</v>
      </c>
      <c r="T238" s="149">
        <v>500</v>
      </c>
      <c r="V238" s="148"/>
    </row>
    <row r="239" spans="1:31" ht="24" customHeight="1">
      <c r="A239" s="733" t="s">
        <v>1370</v>
      </c>
      <c r="B239" s="731"/>
      <c r="C239" s="731"/>
      <c r="D239" s="733" t="s">
        <v>1371</v>
      </c>
      <c r="E239" s="731"/>
      <c r="F239" s="731"/>
      <c r="G239" s="731"/>
      <c r="H239" s="731"/>
      <c r="I239" s="731"/>
      <c r="J239" s="731"/>
      <c r="K239" s="731"/>
      <c r="L239" s="211">
        <v>0</v>
      </c>
      <c r="M239" s="211">
        <v>0</v>
      </c>
      <c r="N239" s="150">
        <v>0</v>
      </c>
      <c r="O239" s="150">
        <v>1281</v>
      </c>
      <c r="P239" s="149">
        <v>0</v>
      </c>
      <c r="Q239" s="149">
        <v>0</v>
      </c>
      <c r="R239" s="149">
        <v>0</v>
      </c>
      <c r="S239" s="149">
        <v>0</v>
      </c>
      <c r="T239" s="149">
        <v>0</v>
      </c>
      <c r="V239" s="148"/>
    </row>
    <row r="240" spans="1:31" ht="24" customHeight="1">
      <c r="A240" s="263" t="s">
        <v>171</v>
      </c>
      <c r="B240" s="264"/>
      <c r="C240" s="264"/>
      <c r="D240" s="263" t="s">
        <v>172</v>
      </c>
      <c r="E240" s="443"/>
      <c r="F240" s="443"/>
      <c r="G240" s="443"/>
      <c r="H240" s="443"/>
      <c r="I240" s="443"/>
      <c r="J240" s="443"/>
      <c r="K240" s="443"/>
      <c r="L240" s="211">
        <v>18460</v>
      </c>
      <c r="M240" s="211">
        <v>11298</v>
      </c>
      <c r="N240" s="150">
        <v>20000</v>
      </c>
      <c r="O240" s="150">
        <f>7348+3179</f>
        <v>10527</v>
      </c>
      <c r="P240" s="149">
        <v>20000</v>
      </c>
      <c r="Q240" s="149">
        <v>20000</v>
      </c>
      <c r="R240" s="149">
        <v>20000</v>
      </c>
      <c r="S240" s="149">
        <v>20000</v>
      </c>
      <c r="T240" s="149">
        <v>20000</v>
      </c>
    </row>
    <row r="241" spans="1:30" ht="24" customHeight="1">
      <c r="A241" s="574" t="s">
        <v>170</v>
      </c>
      <c r="B241" s="575"/>
      <c r="C241" s="575"/>
      <c r="D241" s="574" t="s">
        <v>229</v>
      </c>
      <c r="E241" s="575"/>
      <c r="F241" s="575"/>
      <c r="G241" s="575"/>
      <c r="H241" s="575"/>
      <c r="I241" s="575"/>
      <c r="J241" s="575"/>
      <c r="K241" s="574"/>
      <c r="L241" s="211">
        <v>279135</v>
      </c>
      <c r="M241" s="211">
        <v>286792</v>
      </c>
      <c r="N241" s="150">
        <v>308503</v>
      </c>
      <c r="O241" s="150">
        <f>211379+(11553*3)+4379+820+37664+7054</f>
        <v>295955</v>
      </c>
      <c r="P241" s="149">
        <v>313712</v>
      </c>
      <c r="Q241" s="149">
        <v>332535</v>
      </c>
      <c r="R241" s="149">
        <v>352487</v>
      </c>
      <c r="S241" s="149">
        <v>373636</v>
      </c>
      <c r="T241" s="149">
        <v>396054</v>
      </c>
      <c r="V241" s="148"/>
    </row>
    <row r="242" spans="1:30" ht="24" customHeight="1">
      <c r="A242" s="574" t="s">
        <v>671</v>
      </c>
      <c r="B242" s="575"/>
      <c r="C242" s="575"/>
      <c r="D242" s="265" t="s">
        <v>674</v>
      </c>
      <c r="E242" s="633"/>
      <c r="F242" s="633"/>
      <c r="G242" s="633"/>
      <c r="H242" s="633"/>
      <c r="I242" s="633"/>
      <c r="J242" s="633"/>
      <c r="K242" s="633"/>
      <c r="L242" s="211">
        <v>27988</v>
      </c>
      <c r="M242" s="211">
        <v>33255</v>
      </c>
      <c r="N242" s="155">
        <v>42101</v>
      </c>
      <c r="O242" s="158">
        <f>ROUND((27399.96)+(5975.33*2)+(39*4)+(-4009.88*3)+(-997.66*3)+(-2161.63*3),0)+10000</f>
        <v>27999</v>
      </c>
      <c r="P242" s="154">
        <v>41367</v>
      </c>
      <c r="Q242" s="154">
        <v>44676</v>
      </c>
      <c r="R242" s="154">
        <v>48250</v>
      </c>
      <c r="S242" s="154">
        <v>47793</v>
      </c>
      <c r="T242" s="154">
        <v>46523</v>
      </c>
      <c r="V242" s="370"/>
      <c r="W242" s="371"/>
      <c r="X242" s="371"/>
      <c r="Y242" s="371"/>
      <c r="Z242" s="151"/>
      <c r="AA242" s="148"/>
      <c r="AB242" s="148"/>
    </row>
    <row r="243" spans="1:30" ht="24" customHeight="1">
      <c r="A243" s="574" t="s">
        <v>672</v>
      </c>
      <c r="B243" s="575"/>
      <c r="C243" s="575"/>
      <c r="D243" s="265" t="s">
        <v>675</v>
      </c>
      <c r="E243" s="633"/>
      <c r="F243" s="633"/>
      <c r="G243" s="633"/>
      <c r="H243" s="633"/>
      <c r="I243" s="633"/>
      <c r="J243" s="633"/>
      <c r="K243" s="633"/>
      <c r="L243" s="211">
        <v>1052</v>
      </c>
      <c r="M243" s="211">
        <v>260</v>
      </c>
      <c r="N243" s="155">
        <v>530</v>
      </c>
      <c r="O243" s="155">
        <v>530</v>
      </c>
      <c r="P243" s="154">
        <v>449</v>
      </c>
      <c r="Q243" s="154">
        <v>471</v>
      </c>
      <c r="R243" s="154">
        <v>495</v>
      </c>
      <c r="S243" s="154">
        <v>261</v>
      </c>
      <c r="T243" s="154">
        <v>0</v>
      </c>
      <c r="V243" s="370"/>
      <c r="W243" s="371"/>
      <c r="X243" s="371"/>
      <c r="Y243" s="370"/>
      <c r="Z243" s="151"/>
      <c r="AA243" s="148"/>
    </row>
    <row r="244" spans="1:30" ht="24" customHeight="1">
      <c r="A244" s="574" t="s">
        <v>673</v>
      </c>
      <c r="B244" s="575"/>
      <c r="C244" s="575"/>
      <c r="D244" s="265" t="s">
        <v>676</v>
      </c>
      <c r="E244" s="633"/>
      <c r="F244" s="633"/>
      <c r="G244" s="633"/>
      <c r="H244" s="633"/>
      <c r="I244" s="633"/>
      <c r="J244" s="633"/>
      <c r="K244" s="633"/>
      <c r="L244" s="211">
        <v>160</v>
      </c>
      <c r="M244" s="211">
        <v>74</v>
      </c>
      <c r="N244" s="155">
        <v>77</v>
      </c>
      <c r="O244" s="155">
        <v>77</v>
      </c>
      <c r="P244" s="154">
        <v>80</v>
      </c>
      <c r="Q244" s="154">
        <v>80</v>
      </c>
      <c r="R244" s="154">
        <v>80</v>
      </c>
      <c r="S244" s="154">
        <v>44</v>
      </c>
      <c r="T244" s="154">
        <v>0</v>
      </c>
      <c r="V244" s="370"/>
      <c r="W244" s="371"/>
      <c r="X244" s="370"/>
      <c r="Y244" s="371"/>
      <c r="Z244" s="151"/>
      <c r="AA244" s="148"/>
    </row>
    <row r="245" spans="1:30" ht="24" customHeight="1">
      <c r="A245" s="574" t="s">
        <v>1210</v>
      </c>
      <c r="B245" s="575"/>
      <c r="C245" s="575"/>
      <c r="D245" s="265" t="s">
        <v>1211</v>
      </c>
      <c r="E245" s="575"/>
      <c r="F245" s="575"/>
      <c r="G245" s="575"/>
      <c r="H245" s="575"/>
      <c r="I245" s="575"/>
      <c r="J245" s="575"/>
      <c r="K245" s="575"/>
      <c r="L245" s="212">
        <v>0</v>
      </c>
      <c r="M245" s="212">
        <v>5187</v>
      </c>
      <c r="N245" s="155">
        <v>50000</v>
      </c>
      <c r="O245" s="155">
        <f>ROUND((31112.6)+(4150*5),0)</f>
        <v>51863</v>
      </c>
      <c r="P245" s="154">
        <f>ROUND(O245*1.03,0)</f>
        <v>53419</v>
      </c>
      <c r="Q245" s="154">
        <f>ROUND(P245*1.03,0)</f>
        <v>55022</v>
      </c>
      <c r="R245" s="154">
        <f>ROUND(Q245*1.03,0)</f>
        <v>56673</v>
      </c>
      <c r="S245" s="154">
        <f>ROUND(R245*1.03,0)</f>
        <v>58373</v>
      </c>
      <c r="T245" s="154">
        <f>ROUND(S245*1.03,0)</f>
        <v>60124</v>
      </c>
      <c r="V245" s="370"/>
      <c r="W245" s="371"/>
      <c r="X245" s="370"/>
      <c r="Y245" s="371"/>
      <c r="AA245" s="148"/>
    </row>
    <row r="246" spans="1:30" ht="24" customHeight="1">
      <c r="A246" s="580" t="s">
        <v>1216</v>
      </c>
      <c r="B246" s="581"/>
      <c r="C246" s="581"/>
      <c r="D246" s="265" t="s">
        <v>1217</v>
      </c>
      <c r="E246" s="710"/>
      <c r="F246" s="710"/>
      <c r="G246" s="710"/>
      <c r="H246" s="710"/>
      <c r="I246" s="710"/>
      <c r="J246" s="710"/>
      <c r="K246" s="710"/>
      <c r="L246" s="212">
        <v>2045</v>
      </c>
      <c r="M246" s="212">
        <v>0</v>
      </c>
      <c r="N246" s="155">
        <v>0</v>
      </c>
      <c r="O246" s="155">
        <v>0</v>
      </c>
      <c r="P246" s="154">
        <v>0</v>
      </c>
      <c r="Q246" s="154">
        <v>0</v>
      </c>
      <c r="R246" s="154">
        <v>0</v>
      </c>
      <c r="S246" s="153">
        <v>0</v>
      </c>
      <c r="T246" s="153">
        <v>0</v>
      </c>
      <c r="V246" s="370"/>
      <c r="W246" s="371"/>
      <c r="X246" s="370"/>
      <c r="Y246" s="371"/>
      <c r="AA246" s="148"/>
    </row>
    <row r="247" spans="1:30" ht="24" customHeight="1">
      <c r="A247" s="707" t="s">
        <v>1329</v>
      </c>
      <c r="B247" s="708"/>
      <c r="C247" s="708"/>
      <c r="D247" s="265" t="s">
        <v>1369</v>
      </c>
      <c r="E247" s="708"/>
      <c r="F247" s="708"/>
      <c r="G247" s="708"/>
      <c r="H247" s="708"/>
      <c r="I247" s="708"/>
      <c r="J247" s="708"/>
      <c r="K247" s="708"/>
      <c r="L247" s="212">
        <v>0</v>
      </c>
      <c r="M247" s="212">
        <v>0</v>
      </c>
      <c r="N247" s="155">
        <v>0</v>
      </c>
      <c r="O247" s="155">
        <f>ROUND((((O12+O22+O23+O24+O25)*0.02)+(O15*0.005))*(11/12),0)</f>
        <v>51934</v>
      </c>
      <c r="P247" s="154">
        <f>ROUND((((P12+P22+P23+P24+P25)*0.02)+(P15*0.005)),0)</f>
        <v>57357</v>
      </c>
      <c r="Q247" s="154">
        <f>ROUND((((Q12+Q22+Q23+Q24+Q25)*0.02)+(Q15*0.005)),0)</f>
        <v>58222</v>
      </c>
      <c r="R247" s="154">
        <f>ROUND((((R12+R22+R23+R24+R25)*0.02)+(R15*0.005)),0)</f>
        <v>59100</v>
      </c>
      <c r="S247" s="154">
        <f>ROUND((((S12+S22+S23+S24+S25)*0.02)+(S15*0.005)),0)</f>
        <v>59993</v>
      </c>
      <c r="T247" s="154">
        <f>ROUND((((T12+T22+T23+T24+T25)*0.02)+(T15*0.005)),0)</f>
        <v>60900</v>
      </c>
      <c r="V247" s="370"/>
      <c r="W247" s="371"/>
      <c r="X247" s="664"/>
      <c r="Y247" s="371"/>
      <c r="AA247" s="148"/>
    </row>
    <row r="248" spans="1:30" ht="24" customHeight="1">
      <c r="A248" s="704" t="s">
        <v>1281</v>
      </c>
      <c r="B248" s="266"/>
      <c r="C248" s="266"/>
      <c r="D248" s="716" t="s">
        <v>1257</v>
      </c>
      <c r="E248" s="266"/>
      <c r="F248" s="266"/>
      <c r="G248" s="266"/>
      <c r="H248" s="266"/>
      <c r="I248" s="266"/>
      <c r="J248" s="266"/>
      <c r="K248" s="266"/>
      <c r="L248" s="211">
        <v>0</v>
      </c>
      <c r="M248" s="211">
        <v>0</v>
      </c>
      <c r="N248" s="150">
        <v>12000</v>
      </c>
      <c r="O248" s="150">
        <v>3000</v>
      </c>
      <c r="P248" s="149">
        <v>12000</v>
      </c>
      <c r="Q248" s="149">
        <v>12000</v>
      </c>
      <c r="R248" s="149">
        <v>12000</v>
      </c>
      <c r="S248" s="149">
        <v>12000</v>
      </c>
      <c r="T248" s="149">
        <v>12000</v>
      </c>
      <c r="W248" s="148"/>
      <c r="X248" s="370"/>
      <c r="Y248" s="371"/>
      <c r="AA248" s="148"/>
    </row>
    <row r="249" spans="1:30" ht="24" customHeight="1">
      <c r="A249" s="574" t="s">
        <v>1133</v>
      </c>
      <c r="B249" s="575"/>
      <c r="C249" s="575"/>
      <c r="D249" s="265" t="s">
        <v>1134</v>
      </c>
      <c r="E249" s="710"/>
      <c r="F249" s="710"/>
      <c r="G249" s="710"/>
      <c r="H249" s="710"/>
      <c r="I249" s="710"/>
      <c r="J249" s="710"/>
      <c r="K249" s="710"/>
      <c r="L249" s="212">
        <v>0</v>
      </c>
      <c r="M249" s="212">
        <v>0</v>
      </c>
      <c r="N249" s="155">
        <v>14375</v>
      </c>
      <c r="O249" s="155">
        <v>14375</v>
      </c>
      <c r="P249" s="154">
        <f>13250+1125</f>
        <v>14375</v>
      </c>
      <c r="Q249" s="154">
        <f>13250+1125</f>
        <v>14375</v>
      </c>
      <c r="R249" s="154">
        <f>13250+1125</f>
        <v>14375</v>
      </c>
      <c r="S249" s="153">
        <v>14375</v>
      </c>
      <c r="T249" s="153">
        <v>0</v>
      </c>
      <c r="V249" s="148"/>
      <c r="Y249" s="148"/>
      <c r="Z249" s="151"/>
      <c r="AA249" s="148"/>
    </row>
    <row r="250" spans="1:30" ht="24" customHeight="1">
      <c r="A250" s="662" t="s">
        <v>1282</v>
      </c>
      <c r="B250" s="663"/>
      <c r="C250" s="663"/>
      <c r="D250" s="265" t="s">
        <v>1277</v>
      </c>
      <c r="E250" s="710"/>
      <c r="F250" s="710"/>
      <c r="G250" s="710"/>
      <c r="H250" s="710"/>
      <c r="I250" s="710"/>
      <c r="J250" s="710"/>
      <c r="K250" s="710"/>
      <c r="L250" s="212">
        <v>0</v>
      </c>
      <c r="M250" s="212">
        <v>0</v>
      </c>
      <c r="N250" s="155">
        <v>35000</v>
      </c>
      <c r="O250" s="155">
        <v>6000</v>
      </c>
      <c r="P250" s="154">
        <v>50000</v>
      </c>
      <c r="Q250" s="154">
        <f>ROUND(P250*1.03,0)</f>
        <v>51500</v>
      </c>
      <c r="R250" s="154">
        <f>ROUND(Q250*1.03,0)</f>
        <v>53045</v>
      </c>
      <c r="S250" s="154">
        <f>ROUND(R250*1.03,0)</f>
        <v>54636</v>
      </c>
      <c r="T250" s="154">
        <f>ROUND(S250*1.03,0)</f>
        <v>56275</v>
      </c>
      <c r="V250" s="151"/>
      <c r="W250" s="344"/>
      <c r="X250" s="664"/>
      <c r="Y250" s="148"/>
      <c r="Z250" s="151"/>
      <c r="AA250" s="148"/>
    </row>
    <row r="251" spans="1:30" ht="24" customHeight="1">
      <c r="A251" s="263" t="s">
        <v>921</v>
      </c>
      <c r="B251" s="202"/>
      <c r="C251" s="202"/>
      <c r="D251" s="704" t="s">
        <v>922</v>
      </c>
      <c r="E251" s="703"/>
      <c r="F251" s="703"/>
      <c r="G251" s="703"/>
      <c r="H251" s="703"/>
      <c r="I251" s="703"/>
      <c r="J251" s="703"/>
      <c r="K251" s="704"/>
      <c r="L251" s="212">
        <v>60628</v>
      </c>
      <c r="M251" s="212">
        <v>61613</v>
      </c>
      <c r="N251" s="156">
        <v>64000</v>
      </c>
      <c r="O251" s="156">
        <v>62000</v>
      </c>
      <c r="P251" s="153">
        <v>60000</v>
      </c>
      <c r="Q251" s="153">
        <v>43600</v>
      </c>
      <c r="R251" s="153">
        <v>30000</v>
      </c>
      <c r="S251" s="153">
        <v>30000</v>
      </c>
      <c r="T251" s="153">
        <v>30000</v>
      </c>
      <c r="V251" s="151"/>
      <c r="Y251" s="148"/>
      <c r="AA251" s="148"/>
    </row>
    <row r="252" spans="1:30" ht="24" customHeight="1">
      <c r="A252" s="263" t="s">
        <v>595</v>
      </c>
      <c r="B252" s="202"/>
      <c r="C252" s="202"/>
      <c r="D252" s="263" t="s">
        <v>594</v>
      </c>
      <c r="E252" s="416"/>
      <c r="F252" s="416"/>
      <c r="G252" s="416"/>
      <c r="H252" s="416"/>
      <c r="I252" s="416"/>
      <c r="J252" s="416"/>
      <c r="K252" s="263"/>
      <c r="L252" s="212">
        <v>72679</v>
      </c>
      <c r="M252" s="212">
        <v>74842</v>
      </c>
      <c r="N252" s="150">
        <v>78584</v>
      </c>
      <c r="O252" s="150">
        <f>95559+14000+10000</f>
        <v>119559</v>
      </c>
      <c r="P252" s="149">
        <f>ROUND((((2755858*1.035)-1775000)*0.09)+14000,0)</f>
        <v>110958</v>
      </c>
      <c r="Q252" s="149">
        <f>ROUND((((2852313*1.035)-1775000)*0.09)+14000,0)</f>
        <v>119943</v>
      </c>
      <c r="R252" s="149">
        <f>ROUND((((2952144*1.035)-1775000)*0.09)+17000,0)</f>
        <v>132242</v>
      </c>
      <c r="S252" s="149">
        <f>ROUND((((3055469*1.035)-1775000)*0.09)+17000,0)</f>
        <v>141867</v>
      </c>
      <c r="T252" s="149">
        <f>ROUND((((3162411*1.035)-1775000)*0.09)+17000,0)</f>
        <v>151829</v>
      </c>
      <c r="V252" s="148"/>
    </row>
    <row r="253" spans="1:30" ht="24" customHeight="1">
      <c r="A253" s="263" t="s">
        <v>600</v>
      </c>
      <c r="B253" s="266"/>
      <c r="C253" s="266"/>
      <c r="D253" s="265" t="s">
        <v>601</v>
      </c>
      <c r="E253" s="266"/>
      <c r="F253" s="266"/>
      <c r="G253" s="266"/>
      <c r="H253" s="266"/>
      <c r="I253" s="266"/>
      <c r="J253" s="266"/>
      <c r="K253" s="266"/>
      <c r="L253" s="211">
        <v>50875</v>
      </c>
      <c r="M253" s="211">
        <v>117691</v>
      </c>
      <c r="N253" s="150">
        <v>160280</v>
      </c>
      <c r="O253" s="150">
        <v>210000</v>
      </c>
      <c r="P253" s="149">
        <f>100000+30000+6000</f>
        <v>136000</v>
      </c>
      <c r="Q253" s="149">
        <f>ROUND(P253*1.05,0)</f>
        <v>142800</v>
      </c>
      <c r="R253" s="149">
        <f>ROUND(Q253*1.05,0)</f>
        <v>149940</v>
      </c>
      <c r="S253" s="149">
        <f>ROUND(R253*1.05,0)</f>
        <v>157437</v>
      </c>
      <c r="T253" s="149">
        <f>ROUND(S253*1.05,0)</f>
        <v>165309</v>
      </c>
      <c r="V253" s="151"/>
      <c r="W253" s="193"/>
      <c r="X253" s="850"/>
      <c r="Y253" s="850"/>
      <c r="Z253" s="850"/>
      <c r="AA253" s="850"/>
      <c r="AB253" s="850"/>
    </row>
    <row r="254" spans="1:30" ht="24" customHeight="1">
      <c r="A254" s="263" t="s">
        <v>203</v>
      </c>
      <c r="B254" s="266"/>
      <c r="C254" s="266"/>
      <c r="D254" s="263" t="s">
        <v>185</v>
      </c>
      <c r="E254" s="266"/>
      <c r="F254" s="266"/>
      <c r="G254" s="266"/>
      <c r="H254" s="266"/>
      <c r="I254" s="266"/>
      <c r="J254" s="266"/>
      <c r="K254" s="266"/>
      <c r="L254" s="211">
        <v>88017</v>
      </c>
      <c r="M254" s="211">
        <v>102825</v>
      </c>
      <c r="N254" s="150">
        <v>120000</v>
      </c>
      <c r="O254" s="150">
        <v>105000</v>
      </c>
      <c r="P254" s="149">
        <v>110000</v>
      </c>
      <c r="Q254" s="149">
        <v>110000</v>
      </c>
      <c r="R254" s="149">
        <v>110000</v>
      </c>
      <c r="S254" s="149">
        <v>110000</v>
      </c>
      <c r="T254" s="149">
        <v>110000</v>
      </c>
      <c r="V254" s="151"/>
    </row>
    <row r="255" spans="1:30" ht="24" customHeight="1">
      <c r="A255" s="263" t="s">
        <v>180</v>
      </c>
      <c r="B255" s="266"/>
      <c r="C255" s="266"/>
      <c r="D255" s="263" t="s">
        <v>184</v>
      </c>
      <c r="E255" s="266"/>
      <c r="F255" s="266"/>
      <c r="G255" s="266"/>
      <c r="H255" s="266"/>
      <c r="I255" s="266"/>
      <c r="J255" s="266"/>
      <c r="K255" s="266"/>
      <c r="L255" s="211">
        <v>166659</v>
      </c>
      <c r="M255" s="211">
        <v>211454</v>
      </c>
      <c r="N255" s="150">
        <v>120000</v>
      </c>
      <c r="O255" s="150">
        <v>200000</v>
      </c>
      <c r="P255" s="149">
        <v>120000</v>
      </c>
      <c r="Q255" s="149">
        <v>120000</v>
      </c>
      <c r="R255" s="149">
        <v>120000</v>
      </c>
      <c r="S255" s="149">
        <v>120000</v>
      </c>
      <c r="T255" s="149">
        <v>120000</v>
      </c>
      <c r="V255" s="151"/>
      <c r="W255" s="182"/>
      <c r="X255" s="881"/>
      <c r="Y255" s="881"/>
      <c r="Z255" s="881"/>
      <c r="AA255" s="881"/>
      <c r="AB255" s="881"/>
      <c r="AC255" s="881"/>
      <c r="AD255" s="881"/>
    </row>
    <row r="256" spans="1:30" ht="24" customHeight="1">
      <c r="A256" s="263" t="s">
        <v>179</v>
      </c>
      <c r="B256" s="266"/>
      <c r="C256" s="266"/>
      <c r="D256" s="263" t="s">
        <v>183</v>
      </c>
      <c r="E256" s="266"/>
      <c r="F256" s="266"/>
      <c r="G256" s="266"/>
      <c r="H256" s="266"/>
      <c r="I256" s="266"/>
      <c r="J256" s="266"/>
      <c r="K256" s="266"/>
      <c r="L256" s="211">
        <v>19767</v>
      </c>
      <c r="M256" s="211">
        <v>4815</v>
      </c>
      <c r="N256" s="150">
        <v>25000</v>
      </c>
      <c r="O256" s="150">
        <v>10000</v>
      </c>
      <c r="P256" s="149">
        <v>20000</v>
      </c>
      <c r="Q256" s="149">
        <v>20000</v>
      </c>
      <c r="R256" s="149">
        <v>20000</v>
      </c>
      <c r="S256" s="149">
        <v>20000</v>
      </c>
      <c r="T256" s="149">
        <v>20000</v>
      </c>
      <c r="V256" s="148"/>
      <c r="X256" s="182"/>
      <c r="Y256" s="182"/>
      <c r="Z256" s="182"/>
      <c r="AA256" s="182"/>
      <c r="AB256" s="182"/>
      <c r="AC256" s="182"/>
      <c r="AD256" s="182"/>
    </row>
    <row r="257" spans="1:30" ht="24" customHeight="1">
      <c r="A257" s="263" t="s">
        <v>245</v>
      </c>
      <c r="B257" s="266"/>
      <c r="C257" s="266"/>
      <c r="D257" s="263" t="s">
        <v>246</v>
      </c>
      <c r="E257" s="266"/>
      <c r="F257" s="266"/>
      <c r="G257" s="266"/>
      <c r="H257" s="266"/>
      <c r="I257" s="266"/>
      <c r="J257" s="266"/>
      <c r="K257" s="266"/>
      <c r="L257" s="212">
        <v>368071</v>
      </c>
      <c r="M257" s="212">
        <v>350899</v>
      </c>
      <c r="N257" s="156">
        <v>390000</v>
      </c>
      <c r="O257" s="156">
        <v>390000</v>
      </c>
      <c r="P257" s="153">
        <f>240000+125000+25000</f>
        <v>390000</v>
      </c>
      <c r="Q257" s="153">
        <f>240000+125000+25000</f>
        <v>390000</v>
      </c>
      <c r="R257" s="153">
        <f>240000+125000+25000</f>
        <v>390000</v>
      </c>
      <c r="S257" s="153">
        <f>240000+125000+25000</f>
        <v>390000</v>
      </c>
      <c r="T257" s="153">
        <f>240000+125000+25000</f>
        <v>390000</v>
      </c>
      <c r="V257" s="148"/>
      <c r="X257" s="163"/>
      <c r="Y257" s="163"/>
      <c r="Z257" s="163"/>
      <c r="AA257" s="163"/>
      <c r="AB257" s="163"/>
      <c r="AC257" s="163"/>
      <c r="AD257" s="163"/>
    </row>
    <row r="258" spans="1:30" ht="24" customHeight="1">
      <c r="A258" s="596" t="s">
        <v>1237</v>
      </c>
      <c r="B258" s="595"/>
      <c r="C258" s="595"/>
      <c r="D258" s="639" t="s">
        <v>1028</v>
      </c>
      <c r="E258" s="637"/>
      <c r="F258" s="637"/>
      <c r="G258" s="637"/>
      <c r="H258" s="637"/>
      <c r="I258" s="637"/>
      <c r="J258" s="637"/>
      <c r="K258" s="637"/>
      <c r="L258" s="215">
        <v>23550</v>
      </c>
      <c r="M258" s="215">
        <v>23550</v>
      </c>
      <c r="N258" s="158">
        <v>25000</v>
      </c>
      <c r="O258" s="158">
        <v>23550</v>
      </c>
      <c r="P258" s="157">
        <v>25000</v>
      </c>
      <c r="Q258" s="157">
        <v>25000</v>
      </c>
      <c r="R258" s="157">
        <v>25000</v>
      </c>
      <c r="S258" s="157">
        <v>25000</v>
      </c>
      <c r="T258" s="157">
        <v>25000</v>
      </c>
      <c r="V258" s="148"/>
      <c r="X258" s="163"/>
      <c r="Y258" s="163"/>
      <c r="Z258" s="163"/>
      <c r="AA258" s="163"/>
      <c r="AB258" s="163"/>
      <c r="AC258" s="163"/>
      <c r="AD258" s="163"/>
    </row>
    <row r="259" spans="1:30" ht="24" customHeight="1">
      <c r="A259" s="263" t="s">
        <v>178</v>
      </c>
      <c r="B259" s="266"/>
      <c r="C259" s="266"/>
      <c r="D259" s="263" t="s">
        <v>182</v>
      </c>
      <c r="E259" s="266"/>
      <c r="F259" s="266"/>
      <c r="G259" s="266"/>
      <c r="H259" s="266"/>
      <c r="I259" s="266"/>
      <c r="J259" s="266"/>
      <c r="K259" s="266"/>
      <c r="L259" s="211">
        <v>86054</v>
      </c>
      <c r="M259" s="211">
        <v>92765</v>
      </c>
      <c r="N259" s="150">
        <v>85000</v>
      </c>
      <c r="O259" s="150">
        <v>92000</v>
      </c>
      <c r="P259" s="149">
        <v>92000</v>
      </c>
      <c r="Q259" s="149">
        <v>92000</v>
      </c>
      <c r="R259" s="149">
        <v>92000</v>
      </c>
      <c r="S259" s="149">
        <v>92000</v>
      </c>
      <c r="T259" s="149">
        <v>92000</v>
      </c>
      <c r="V259" s="148"/>
    </row>
    <row r="260" spans="1:30" ht="24" customHeight="1">
      <c r="A260" s="619" t="s">
        <v>1253</v>
      </c>
      <c r="B260" s="266"/>
      <c r="C260" s="266"/>
      <c r="D260" s="619" t="s">
        <v>1254</v>
      </c>
      <c r="E260" s="266"/>
      <c r="F260" s="266"/>
      <c r="G260" s="266"/>
      <c r="H260" s="266"/>
      <c r="I260" s="266"/>
      <c r="J260" s="266"/>
      <c r="K260" s="266"/>
      <c r="L260" s="211">
        <v>0</v>
      </c>
      <c r="M260" s="211">
        <v>108093</v>
      </c>
      <c r="N260" s="150">
        <v>0</v>
      </c>
      <c r="O260" s="150">
        <v>3349</v>
      </c>
      <c r="P260" s="149">
        <v>0</v>
      </c>
      <c r="Q260" s="149">
        <v>0</v>
      </c>
      <c r="R260" s="149">
        <v>0</v>
      </c>
      <c r="S260" s="149">
        <v>0</v>
      </c>
      <c r="T260" s="149">
        <v>0</v>
      </c>
      <c r="V260" s="148"/>
    </row>
    <row r="261" spans="1:30" ht="24" customHeight="1">
      <c r="A261" s="263" t="s">
        <v>204</v>
      </c>
      <c r="B261" s="266"/>
      <c r="C261" s="266"/>
      <c r="D261" s="263" t="s">
        <v>631</v>
      </c>
      <c r="E261" s="266"/>
      <c r="F261" s="266"/>
      <c r="G261" s="266"/>
      <c r="H261" s="266"/>
      <c r="I261" s="266"/>
      <c r="J261" s="266"/>
      <c r="K261" s="266"/>
      <c r="L261" s="211">
        <v>72375</v>
      </c>
      <c r="M261" s="211">
        <v>65166</v>
      </c>
      <c r="N261" s="150">
        <v>76500</v>
      </c>
      <c r="O261" s="150">
        <f t="shared" ref="O261:T261" si="16">ROUND(O18*0.9,0)</f>
        <v>72000</v>
      </c>
      <c r="P261" s="149">
        <f t="shared" si="16"/>
        <v>72000</v>
      </c>
      <c r="Q261" s="149">
        <f t="shared" si="16"/>
        <v>72000</v>
      </c>
      <c r="R261" s="149">
        <f t="shared" si="16"/>
        <v>72000</v>
      </c>
      <c r="S261" s="149">
        <f t="shared" si="16"/>
        <v>72000</v>
      </c>
      <c r="T261" s="149">
        <f t="shared" si="16"/>
        <v>72000</v>
      </c>
    </row>
    <row r="262" spans="1:30" ht="24" customHeight="1">
      <c r="A262" s="596" t="s">
        <v>1238</v>
      </c>
      <c r="B262" s="595"/>
      <c r="C262" s="595"/>
      <c r="D262" s="631" t="s">
        <v>15</v>
      </c>
      <c r="E262" s="633"/>
      <c r="F262" s="633"/>
      <c r="G262" s="632"/>
      <c r="H262" s="632"/>
      <c r="I262" s="632"/>
      <c r="J262" s="632"/>
      <c r="K262" s="632"/>
      <c r="L262" s="211">
        <v>47564</v>
      </c>
      <c r="M262" s="211">
        <v>160359</v>
      </c>
      <c r="N262" s="150">
        <v>114100</v>
      </c>
      <c r="O262" s="150">
        <f>ROUND((108025)+(9425*3),0)+9425</f>
        <v>145725</v>
      </c>
      <c r="P262" s="149">
        <v>145000</v>
      </c>
      <c r="Q262" s="149">
        <v>145000</v>
      </c>
      <c r="R262" s="149">
        <v>145000</v>
      </c>
      <c r="S262" s="149">
        <v>145000</v>
      </c>
      <c r="T262" s="149">
        <v>145000</v>
      </c>
      <c r="V262" s="148"/>
    </row>
    <row r="263" spans="1:30" ht="24" customHeight="1">
      <c r="A263" s="263" t="s">
        <v>177</v>
      </c>
      <c r="B263" s="266"/>
      <c r="C263" s="266"/>
      <c r="D263" s="263" t="s">
        <v>239</v>
      </c>
      <c r="E263" s="266"/>
      <c r="F263" s="266"/>
      <c r="G263" s="266"/>
      <c r="H263" s="266"/>
      <c r="I263" s="266"/>
      <c r="J263" s="266"/>
      <c r="K263" s="266"/>
      <c r="L263" s="209">
        <v>1286</v>
      </c>
      <c r="M263" s="209">
        <v>1286</v>
      </c>
      <c r="N263" s="147">
        <v>1500</v>
      </c>
      <c r="O263" s="147">
        <v>1233</v>
      </c>
      <c r="P263" s="146">
        <v>1500</v>
      </c>
      <c r="Q263" s="146">
        <v>1500</v>
      </c>
      <c r="R263" s="146">
        <v>1500</v>
      </c>
      <c r="S263" s="146">
        <v>1500</v>
      </c>
      <c r="T263" s="146">
        <v>1500</v>
      </c>
      <c r="V263" s="148"/>
    </row>
    <row r="264" spans="1:30" ht="24" customHeight="1">
      <c r="A264" s="263" t="s">
        <v>176</v>
      </c>
      <c r="B264" s="266"/>
      <c r="C264" s="266"/>
      <c r="D264" s="263" t="s">
        <v>181</v>
      </c>
      <c r="E264" s="266"/>
      <c r="F264" s="266"/>
      <c r="G264" s="266"/>
      <c r="H264" s="266"/>
      <c r="I264" s="266"/>
      <c r="J264" s="266"/>
      <c r="K264" s="266"/>
      <c r="L264" s="209">
        <v>856785</v>
      </c>
      <c r="M264" s="209">
        <v>879408</v>
      </c>
      <c r="N264" s="150">
        <v>941367</v>
      </c>
      <c r="O264" s="150">
        <f>ROUND(M264*1.04,0)</f>
        <v>914584</v>
      </c>
      <c r="P264" s="149">
        <f>ROUND(O264*1.015,0)</f>
        <v>928303</v>
      </c>
      <c r="Q264" s="149">
        <f t="shared" ref="Q264:T264" si="17">ROUND(P264*1.015,0)</f>
        <v>942228</v>
      </c>
      <c r="R264" s="149">
        <f t="shared" si="17"/>
        <v>956361</v>
      </c>
      <c r="S264" s="149">
        <f t="shared" si="17"/>
        <v>970706</v>
      </c>
      <c r="T264" s="149">
        <f t="shared" si="17"/>
        <v>985267</v>
      </c>
    </row>
    <row r="265" spans="1:30" ht="24" customHeight="1">
      <c r="A265" s="263" t="s">
        <v>175</v>
      </c>
      <c r="B265" s="266"/>
      <c r="C265" s="266"/>
      <c r="D265" s="263" t="s">
        <v>944</v>
      </c>
      <c r="E265" s="266"/>
      <c r="F265" s="266"/>
      <c r="G265" s="266"/>
      <c r="H265" s="266"/>
      <c r="I265" s="266"/>
      <c r="J265" s="266"/>
      <c r="K265" s="266"/>
      <c r="L265" s="209">
        <v>368899</v>
      </c>
      <c r="M265" s="209">
        <v>387157</v>
      </c>
      <c r="N265" s="147">
        <v>387300</v>
      </c>
      <c r="O265" s="155">
        <f>ROUND(((O22+O23+O24)*0.98)*(11/12),0)</f>
        <v>387182</v>
      </c>
      <c r="P265" s="154">
        <f>ROUND((P22+P23+P24)*0.98,0)</f>
        <v>425320</v>
      </c>
      <c r="Q265" s="154">
        <f>ROUND((Q22+Q23+Q24)*0.98,0)</f>
        <v>433317</v>
      </c>
      <c r="R265" s="154">
        <f>ROUND((R22+R23+R24)*0.98,0)</f>
        <v>441473</v>
      </c>
      <c r="S265" s="154">
        <f>ROUND((S22+S23+S24)*0.98,0)</f>
        <v>449794</v>
      </c>
      <c r="T265" s="154">
        <f>ROUND((T22+T23+T24)*0.98,0)</f>
        <v>458279</v>
      </c>
      <c r="V265" s="148"/>
    </row>
    <row r="266" spans="1:30" ht="24" customHeight="1">
      <c r="A266" s="263" t="s">
        <v>174</v>
      </c>
      <c r="B266" s="266"/>
      <c r="C266" s="266"/>
      <c r="D266" s="704" t="s">
        <v>238</v>
      </c>
      <c r="E266" s="266"/>
      <c r="F266" s="266"/>
      <c r="G266" s="266"/>
      <c r="H266" s="266"/>
      <c r="I266" s="266"/>
      <c r="J266" s="266"/>
      <c r="K266" s="266"/>
      <c r="L266" s="211">
        <v>121799</v>
      </c>
      <c r="M266" s="211">
        <v>122007</v>
      </c>
      <c r="N266" s="150">
        <v>120000</v>
      </c>
      <c r="O266" s="150">
        <f t="shared" ref="O266:T266" si="18">O21</f>
        <v>130766</v>
      </c>
      <c r="P266" s="149">
        <f t="shared" si="18"/>
        <v>120000</v>
      </c>
      <c r="Q266" s="149">
        <f t="shared" si="18"/>
        <v>120000</v>
      </c>
      <c r="R266" s="149">
        <f t="shared" si="18"/>
        <v>120000</v>
      </c>
      <c r="S266" s="149">
        <f t="shared" si="18"/>
        <v>120000</v>
      </c>
      <c r="T266" s="149">
        <f t="shared" si="18"/>
        <v>0</v>
      </c>
      <c r="V266" s="679"/>
    </row>
    <row r="267" spans="1:30" ht="24" customHeight="1">
      <c r="A267" s="263" t="s">
        <v>186</v>
      </c>
      <c r="B267" s="202"/>
      <c r="C267" s="202"/>
      <c r="D267" s="263" t="s">
        <v>18</v>
      </c>
      <c r="E267" s="202"/>
      <c r="F267" s="202"/>
      <c r="G267" s="202"/>
      <c r="H267" s="202"/>
      <c r="I267" s="202"/>
      <c r="J267" s="202"/>
      <c r="K267" s="202"/>
      <c r="L267" s="211">
        <v>1199</v>
      </c>
      <c r="M267" s="211">
        <v>1634</v>
      </c>
      <c r="N267" s="150">
        <v>2000</v>
      </c>
      <c r="O267" s="150">
        <v>1750</v>
      </c>
      <c r="P267" s="149">
        <v>2000</v>
      </c>
      <c r="Q267" s="149">
        <v>2000</v>
      </c>
      <c r="R267" s="149">
        <v>2000</v>
      </c>
      <c r="S267" s="149">
        <v>2000</v>
      </c>
      <c r="T267" s="149">
        <v>2000</v>
      </c>
      <c r="V267" s="148"/>
    </row>
    <row r="268" spans="1:30" ht="24" customHeight="1">
      <c r="A268" s="263" t="s">
        <v>240</v>
      </c>
      <c r="B268" s="266"/>
      <c r="C268" s="266"/>
      <c r="D268" s="263" t="s">
        <v>241</v>
      </c>
      <c r="E268" s="202"/>
      <c r="F268" s="266"/>
      <c r="G268" s="266"/>
      <c r="H268" s="266"/>
      <c r="I268" s="266"/>
      <c r="J268" s="266"/>
      <c r="K268" s="266"/>
      <c r="L268" s="211">
        <v>27873</v>
      </c>
      <c r="M268" s="211">
        <v>11106</v>
      </c>
      <c r="N268" s="150">
        <v>5000</v>
      </c>
      <c r="O268" s="150">
        <v>15000</v>
      </c>
      <c r="P268" s="149">
        <v>15000</v>
      </c>
      <c r="Q268" s="149">
        <v>15000</v>
      </c>
      <c r="R268" s="149">
        <v>15000</v>
      </c>
      <c r="S268" s="149">
        <v>15000</v>
      </c>
      <c r="T268" s="149">
        <v>15000</v>
      </c>
    </row>
    <row r="269" spans="1:30" ht="24" customHeight="1">
      <c r="A269" s="263" t="s">
        <v>1149</v>
      </c>
      <c r="B269" s="463"/>
      <c r="C269" s="463"/>
      <c r="D269" s="263" t="s">
        <v>1150</v>
      </c>
      <c r="E269" s="463"/>
      <c r="F269" s="463"/>
      <c r="G269" s="463"/>
      <c r="H269" s="463"/>
      <c r="I269" s="463"/>
      <c r="J269" s="463"/>
      <c r="K269" s="463"/>
      <c r="L269" s="213">
        <v>25407</v>
      </c>
      <c r="M269" s="213">
        <v>33750</v>
      </c>
      <c r="N269" s="155">
        <v>0</v>
      </c>
      <c r="O269" s="155">
        <v>0</v>
      </c>
      <c r="P269" s="154">
        <v>0</v>
      </c>
      <c r="Q269" s="154">
        <v>0</v>
      </c>
      <c r="R269" s="154">
        <v>0</v>
      </c>
      <c r="S269" s="154">
        <v>0</v>
      </c>
      <c r="T269" s="154">
        <v>0</v>
      </c>
      <c r="V269" s="370"/>
      <c r="W269" s="370"/>
    </row>
    <row r="270" spans="1:30" ht="24" customHeight="1">
      <c r="A270" s="833" t="s">
        <v>1423</v>
      </c>
      <c r="B270" s="834"/>
      <c r="C270" s="834"/>
      <c r="D270" s="833" t="s">
        <v>1146</v>
      </c>
      <c r="E270" s="834"/>
      <c r="F270" s="834"/>
      <c r="G270" s="834"/>
      <c r="H270" s="834"/>
      <c r="I270" s="834"/>
      <c r="J270" s="834"/>
      <c r="K270" s="834"/>
      <c r="L270" s="213">
        <v>0</v>
      </c>
      <c r="M270" s="213">
        <v>0</v>
      </c>
      <c r="N270" s="155">
        <v>0</v>
      </c>
      <c r="O270" s="155">
        <v>0</v>
      </c>
      <c r="P270" s="154">
        <f>P381</f>
        <v>250000</v>
      </c>
      <c r="Q270" s="154">
        <f t="shared" ref="Q270:T270" si="19">Q381</f>
        <v>0</v>
      </c>
      <c r="R270" s="154">
        <f t="shared" si="19"/>
        <v>0</v>
      </c>
      <c r="S270" s="154">
        <f t="shared" si="19"/>
        <v>0</v>
      </c>
      <c r="T270" s="154">
        <f t="shared" si="19"/>
        <v>0</v>
      </c>
      <c r="V270" s="845"/>
      <c r="W270" s="845"/>
      <c r="X270" s="844"/>
    </row>
    <row r="271" spans="1:30" ht="24" customHeight="1">
      <c r="A271" s="263" t="s">
        <v>849</v>
      </c>
      <c r="B271" s="390"/>
      <c r="C271" s="390"/>
      <c r="D271" s="543" t="s">
        <v>1079</v>
      </c>
      <c r="E271" s="542"/>
      <c r="F271" s="542"/>
      <c r="G271" s="542"/>
      <c r="H271" s="542"/>
      <c r="I271" s="542"/>
      <c r="J271" s="542"/>
      <c r="K271" s="542"/>
      <c r="L271" s="213">
        <v>58060</v>
      </c>
      <c r="M271" s="213">
        <v>71602</v>
      </c>
      <c r="N271" s="155">
        <v>160000</v>
      </c>
      <c r="O271" s="155">
        <f t="shared" ref="O271:T271" si="20">O380</f>
        <v>247415</v>
      </c>
      <c r="P271" s="154">
        <f t="shared" si="20"/>
        <v>0</v>
      </c>
      <c r="Q271" s="154">
        <f t="shared" si="20"/>
        <v>0</v>
      </c>
      <c r="R271" s="154">
        <f t="shared" si="20"/>
        <v>0</v>
      </c>
      <c r="S271" s="154">
        <f t="shared" si="20"/>
        <v>0</v>
      </c>
      <c r="T271" s="154">
        <f t="shared" si="20"/>
        <v>0</v>
      </c>
      <c r="Y271" s="838"/>
    </row>
    <row r="272" spans="1:30" ht="24" customHeight="1">
      <c r="A272" s="263" t="s">
        <v>191</v>
      </c>
      <c r="B272" s="264"/>
      <c r="C272" s="264"/>
      <c r="D272" s="596" t="s">
        <v>205</v>
      </c>
      <c r="E272" s="594"/>
      <c r="F272" s="594"/>
      <c r="G272" s="594"/>
      <c r="H272" s="594"/>
      <c r="I272" s="594"/>
      <c r="J272" s="594"/>
      <c r="K272" s="594"/>
      <c r="L272" s="212">
        <v>127243</v>
      </c>
      <c r="M272" s="212">
        <v>266979</v>
      </c>
      <c r="N272" s="156">
        <v>315225</v>
      </c>
      <c r="O272" s="156">
        <f t="shared" ref="O272:T272" si="21">O533</f>
        <v>313725</v>
      </c>
      <c r="P272" s="153">
        <f t="shared" si="21"/>
        <v>318725</v>
      </c>
      <c r="Q272" s="153">
        <f t="shared" si="21"/>
        <v>318025</v>
      </c>
      <c r="R272" s="153">
        <f t="shared" si="21"/>
        <v>317225</v>
      </c>
      <c r="S272" s="153">
        <f t="shared" si="21"/>
        <v>323375</v>
      </c>
      <c r="T272" s="153">
        <f t="shared" si="21"/>
        <v>324075</v>
      </c>
      <c r="V272" s="573"/>
    </row>
    <row r="273" spans="1:30" ht="24" customHeight="1">
      <c r="A273" s="263" t="s">
        <v>192</v>
      </c>
      <c r="B273" s="264"/>
      <c r="C273" s="264"/>
      <c r="D273" s="263" t="s">
        <v>207</v>
      </c>
      <c r="E273" s="319"/>
      <c r="F273" s="319"/>
      <c r="G273" s="319"/>
      <c r="H273" s="319"/>
      <c r="I273" s="319"/>
      <c r="J273" s="319"/>
      <c r="K273" s="319"/>
      <c r="L273" s="213">
        <v>1134654</v>
      </c>
      <c r="M273" s="213">
        <v>1134052</v>
      </c>
      <c r="N273" s="150">
        <v>1137166</v>
      </c>
      <c r="O273" s="150">
        <f t="shared" ref="O273:T273" si="22">O674</f>
        <v>1137166</v>
      </c>
      <c r="P273" s="149">
        <f t="shared" si="22"/>
        <v>856583</v>
      </c>
      <c r="Q273" s="149">
        <f t="shared" si="22"/>
        <v>609088</v>
      </c>
      <c r="R273" s="149">
        <f t="shared" si="22"/>
        <v>586749</v>
      </c>
      <c r="S273" s="149">
        <f t="shared" si="22"/>
        <v>994479</v>
      </c>
      <c r="T273" s="149">
        <f t="shared" si="22"/>
        <v>1135964</v>
      </c>
      <c r="V273" s="148"/>
      <c r="X273" s="850"/>
      <c r="Y273" s="850"/>
      <c r="Z273" s="850"/>
      <c r="AA273" s="850"/>
      <c r="AB273" s="850"/>
    </row>
    <row r="274" spans="1:30" ht="24" customHeight="1">
      <c r="A274" s="263" t="s">
        <v>193</v>
      </c>
      <c r="B274" s="264"/>
      <c r="C274" s="264"/>
      <c r="D274" s="263" t="s">
        <v>848</v>
      </c>
      <c r="E274" s="330"/>
      <c r="F274" s="330"/>
      <c r="G274" s="330"/>
      <c r="H274" s="330"/>
      <c r="I274" s="330"/>
      <c r="J274" s="330"/>
      <c r="K274" s="330"/>
      <c r="L274" s="211">
        <v>1076831</v>
      </c>
      <c r="M274" s="211">
        <v>1118638</v>
      </c>
      <c r="N274" s="150">
        <v>1308583</v>
      </c>
      <c r="O274" s="150">
        <f t="shared" ref="O274:T274" si="23">O803</f>
        <v>1308583</v>
      </c>
      <c r="P274" s="149">
        <f t="shared" si="23"/>
        <v>1274699</v>
      </c>
      <c r="Q274" s="149">
        <f t="shared" si="23"/>
        <v>1480427</v>
      </c>
      <c r="R274" s="149">
        <f t="shared" si="23"/>
        <v>1539110</v>
      </c>
      <c r="S274" s="149">
        <f t="shared" si="23"/>
        <v>1598596</v>
      </c>
      <c r="T274" s="149">
        <f t="shared" si="23"/>
        <v>1671920</v>
      </c>
      <c r="V274" s="148"/>
      <c r="X274" s="837"/>
      <c r="Y274" s="837"/>
      <c r="Z274" s="837"/>
      <c r="AA274" s="837"/>
      <c r="AB274" s="837"/>
      <c r="AC274" s="837"/>
      <c r="AD274" s="837"/>
    </row>
    <row r="275" spans="1:30" ht="24" customHeight="1">
      <c r="A275" s="263" t="s">
        <v>488</v>
      </c>
      <c r="B275" s="264"/>
      <c r="C275" s="264"/>
      <c r="D275" s="263" t="s">
        <v>489</v>
      </c>
      <c r="E275" s="331"/>
      <c r="F275" s="331"/>
      <c r="G275" s="331"/>
      <c r="H275" s="331"/>
      <c r="I275" s="331"/>
      <c r="J275" s="331"/>
      <c r="K275" s="331"/>
      <c r="L275" s="229">
        <v>25928</v>
      </c>
      <c r="M275" s="229">
        <v>24044</v>
      </c>
      <c r="N275" s="174">
        <v>27236</v>
      </c>
      <c r="O275" s="174">
        <f t="shared" ref="O275:T275" si="24">O894</f>
        <v>23793</v>
      </c>
      <c r="P275" s="173">
        <f t="shared" si="24"/>
        <v>25179</v>
      </c>
      <c r="Q275" s="173">
        <f t="shared" si="24"/>
        <v>26645</v>
      </c>
      <c r="R275" s="173">
        <f t="shared" si="24"/>
        <v>28199</v>
      </c>
      <c r="S275" s="173">
        <f t="shared" si="24"/>
        <v>29846</v>
      </c>
      <c r="T275" s="173">
        <f t="shared" si="24"/>
        <v>31592</v>
      </c>
      <c r="V275" s="148"/>
      <c r="X275" s="182"/>
      <c r="Y275" s="182"/>
      <c r="Z275" s="182"/>
      <c r="AA275" s="182"/>
      <c r="AB275" s="182"/>
      <c r="AC275" s="182"/>
      <c r="AD275" s="182"/>
    </row>
    <row r="276" spans="1:30" ht="24" customHeight="1">
      <c r="A276" s="263"/>
      <c r="B276" s="264"/>
      <c r="C276" s="264"/>
      <c r="D276" s="263"/>
      <c r="E276" s="264"/>
      <c r="F276" s="264"/>
      <c r="G276" s="264"/>
      <c r="H276" s="264"/>
      <c r="I276" s="264"/>
      <c r="J276" s="264"/>
      <c r="K276" s="264"/>
      <c r="L276" s="222">
        <f t="shared" ref="L276:T276" si="25">SUM(L237:L275)</f>
        <v>5217172</v>
      </c>
      <c r="M276" s="222">
        <f t="shared" si="25"/>
        <v>5763401</v>
      </c>
      <c r="N276" s="230">
        <f t="shared" si="25"/>
        <v>6173391</v>
      </c>
      <c r="O276" s="230">
        <f t="shared" si="25"/>
        <v>6395361</v>
      </c>
      <c r="P276" s="231">
        <f t="shared" si="25"/>
        <v>6061526</v>
      </c>
      <c r="Q276" s="231">
        <f t="shared" si="25"/>
        <v>5817954</v>
      </c>
      <c r="R276" s="231">
        <f t="shared" si="25"/>
        <v>5910804</v>
      </c>
      <c r="S276" s="231">
        <f t="shared" si="25"/>
        <v>6450211</v>
      </c>
      <c r="T276" s="231">
        <f t="shared" si="25"/>
        <v>6599111</v>
      </c>
      <c r="V276" s="180"/>
      <c r="X276" s="163"/>
      <c r="Y276" s="163"/>
      <c r="Z276" s="163"/>
      <c r="AA276" s="163"/>
      <c r="AB276" s="163"/>
      <c r="AC276" s="163"/>
      <c r="AD276" s="163"/>
    </row>
    <row r="277" spans="1:30" s="202" customFormat="1" ht="15" customHeight="1">
      <c r="A277" s="263"/>
      <c r="B277" s="264"/>
      <c r="C277" s="264"/>
      <c r="D277" s="263"/>
      <c r="E277" s="264"/>
      <c r="F277" s="264"/>
      <c r="G277" s="264"/>
      <c r="H277" s="264"/>
      <c r="I277" s="264"/>
      <c r="J277" s="264"/>
      <c r="K277" s="264"/>
      <c r="L277" s="212"/>
      <c r="M277" s="212"/>
      <c r="N277" s="214"/>
      <c r="O277" s="214"/>
      <c r="P277" s="212"/>
      <c r="Q277" s="212"/>
      <c r="R277" s="212"/>
      <c r="S277" s="212"/>
      <c r="T277" s="212"/>
      <c r="U277" s="65"/>
      <c r="V277" s="904"/>
      <c r="W277" s="904"/>
      <c r="X277" s="810"/>
      <c r="AD277" s="822"/>
    </row>
    <row r="278" spans="1:30" s="267" customFormat="1" ht="24" customHeight="1">
      <c r="K278" s="267" t="s">
        <v>484</v>
      </c>
      <c r="L278" s="220">
        <f t="shared" ref="L278:T278" si="26">L93+L114+L160+L188+L276+L234</f>
        <v>13664138</v>
      </c>
      <c r="M278" s="220">
        <f t="shared" si="26"/>
        <v>14488405</v>
      </c>
      <c r="N278" s="221">
        <f t="shared" si="26"/>
        <v>15721945</v>
      </c>
      <c r="O278" s="221">
        <f t="shared" si="26"/>
        <v>15745315</v>
      </c>
      <c r="P278" s="220">
        <f t="shared" si="26"/>
        <v>15952180</v>
      </c>
      <c r="Q278" s="220">
        <f t="shared" si="26"/>
        <v>16173015</v>
      </c>
      <c r="R278" s="220">
        <f t="shared" si="26"/>
        <v>16446145</v>
      </c>
      <c r="S278" s="220">
        <f t="shared" si="26"/>
        <v>17334249</v>
      </c>
      <c r="T278" s="220">
        <f t="shared" si="26"/>
        <v>17839860</v>
      </c>
      <c r="U278" s="65"/>
      <c r="V278" s="904"/>
      <c r="W278" s="904"/>
      <c r="X278" s="810"/>
      <c r="Y278" s="272"/>
      <c r="Z278" s="272"/>
      <c r="AA278" s="272"/>
    </row>
    <row r="279" spans="1:30" s="267" customFormat="1" ht="15" customHeight="1">
      <c r="A279" s="270"/>
      <c r="L279" s="220"/>
      <c r="M279" s="220"/>
      <c r="N279" s="221"/>
      <c r="O279" s="221"/>
      <c r="P279" s="220"/>
      <c r="Q279" s="220"/>
      <c r="R279" s="220"/>
      <c r="S279" s="220"/>
      <c r="T279" s="220"/>
      <c r="U279" s="65"/>
    </row>
    <row r="280" spans="1:30" s="267" customFormat="1" ht="24" customHeight="1">
      <c r="A280" s="271"/>
      <c r="K280" s="267" t="s">
        <v>485</v>
      </c>
      <c r="L280" s="220">
        <f t="shared" ref="L280:T280" si="27">L56-L278</f>
        <v>865648</v>
      </c>
      <c r="M280" s="220">
        <f t="shared" si="27"/>
        <v>522383</v>
      </c>
      <c r="N280" s="221">
        <f t="shared" si="27"/>
        <v>-584324</v>
      </c>
      <c r="O280" s="221">
        <f t="shared" si="27"/>
        <v>-436093</v>
      </c>
      <c r="P280" s="220">
        <f t="shared" si="27"/>
        <v>-309218</v>
      </c>
      <c r="Q280" s="220">
        <f t="shared" si="27"/>
        <v>-303948</v>
      </c>
      <c r="R280" s="220">
        <f t="shared" si="27"/>
        <v>-315579</v>
      </c>
      <c r="S280" s="220">
        <f t="shared" si="27"/>
        <v>-935712</v>
      </c>
      <c r="T280" s="220">
        <f t="shared" si="27"/>
        <v>-1289305</v>
      </c>
      <c r="U280" s="65"/>
      <c r="V280" s="148"/>
      <c r="W280" s="151"/>
      <c r="X280" s="290"/>
      <c r="Y280" s="290"/>
      <c r="Z280" s="290"/>
      <c r="AA280" s="290"/>
    </row>
    <row r="281" spans="1:30" s="267" customFormat="1" ht="15" customHeight="1">
      <c r="A281" s="271"/>
      <c r="L281" s="220"/>
      <c r="M281" s="220"/>
      <c r="N281" s="221"/>
      <c r="O281" s="221"/>
      <c r="P281" s="220"/>
      <c r="Q281" s="220"/>
      <c r="R281" s="220"/>
      <c r="S281" s="220"/>
      <c r="T281" s="220"/>
      <c r="U281" s="65"/>
    </row>
    <row r="282" spans="1:30" s="272" customFormat="1" ht="24" customHeight="1">
      <c r="K282" s="272" t="s">
        <v>487</v>
      </c>
      <c r="L282" s="237">
        <v>5691706</v>
      </c>
      <c r="M282" s="237">
        <v>6214089</v>
      </c>
      <c r="N282" s="238">
        <v>5383778</v>
      </c>
      <c r="O282" s="238">
        <f>M282+O280</f>
        <v>5777996</v>
      </c>
      <c r="P282" s="237">
        <f>O282+P280</f>
        <v>5468778</v>
      </c>
      <c r="Q282" s="237">
        <f>P282+Q280</f>
        <v>5164830</v>
      </c>
      <c r="R282" s="237">
        <f>Q282+R280</f>
        <v>4849251</v>
      </c>
      <c r="S282" s="237">
        <f>R282+S280</f>
        <v>3913539</v>
      </c>
      <c r="T282" s="237">
        <f>S282+T280</f>
        <v>2624234</v>
      </c>
      <c r="U282" s="312"/>
    </row>
    <row r="283" spans="1:30" s="273" customFormat="1" ht="24" customHeight="1">
      <c r="L283" s="239">
        <f t="shared" ref="L283:T283" si="28">L282/L278</f>
        <v>0.41654336336474351</v>
      </c>
      <c r="M283" s="239">
        <f t="shared" si="28"/>
        <v>0.42890083483999791</v>
      </c>
      <c r="N283" s="240">
        <f t="shared" si="28"/>
        <v>0.3424371475666656</v>
      </c>
      <c r="O283" s="240">
        <f t="shared" si="28"/>
        <v>0.36696604672564503</v>
      </c>
      <c r="P283" s="239">
        <f t="shared" si="28"/>
        <v>0.3428232379524303</v>
      </c>
      <c r="Q283" s="239">
        <f t="shared" si="28"/>
        <v>0.31934861867128672</v>
      </c>
      <c r="R283" s="239">
        <f t="shared" si="28"/>
        <v>0.29485639339796649</v>
      </c>
      <c r="S283" s="239">
        <f t="shared" si="28"/>
        <v>0.22576916946329778</v>
      </c>
      <c r="T283" s="239">
        <f t="shared" si="28"/>
        <v>0.14709947275370996</v>
      </c>
      <c r="U283" s="801"/>
    </row>
    <row r="284" spans="1:30" s="273" customFormat="1" ht="15" customHeight="1">
      <c r="A284" s="444"/>
      <c r="B284" s="444"/>
      <c r="C284" s="444"/>
      <c r="D284" s="444"/>
      <c r="E284" s="444"/>
      <c r="F284" s="444"/>
      <c r="G284" s="444"/>
      <c r="H284" s="444"/>
      <c r="I284" s="444"/>
      <c r="J284" s="444"/>
      <c r="K284" s="272"/>
      <c r="L284" s="355"/>
      <c r="M284" s="355"/>
      <c r="N284" s="360"/>
      <c r="O284" s="360"/>
      <c r="P284" s="361"/>
      <c r="Q284" s="361"/>
      <c r="R284" s="361"/>
      <c r="S284" s="361"/>
      <c r="T284" s="361"/>
      <c r="U284" s="459"/>
      <c r="V284" s="200"/>
      <c r="W284" s="200"/>
      <c r="X284" s="200"/>
      <c r="Y284" s="200"/>
      <c r="Z284" s="200"/>
      <c r="AA284" s="200"/>
    </row>
    <row r="285" spans="1:30" s="165" customFormat="1" ht="24" customHeight="1">
      <c r="A285" s="274" t="s">
        <v>494</v>
      </c>
      <c r="B285" s="267"/>
      <c r="C285" s="267"/>
      <c r="D285" s="267"/>
      <c r="E285" s="267"/>
      <c r="F285" s="267"/>
      <c r="G285" s="267"/>
      <c r="H285" s="267"/>
      <c r="I285" s="267"/>
      <c r="J285" s="267"/>
      <c r="K285" s="267"/>
      <c r="L285" s="332"/>
      <c r="M285" s="332"/>
      <c r="N285" s="356"/>
      <c r="O285" s="356"/>
      <c r="P285" s="357"/>
      <c r="Q285" s="357"/>
      <c r="R285" s="357"/>
      <c r="S285" s="357"/>
      <c r="T285" s="357"/>
      <c r="U285" s="459"/>
      <c r="V285" s="401"/>
      <c r="W285" s="401"/>
      <c r="X285" s="401"/>
      <c r="Y285" s="401"/>
      <c r="Z285" s="401"/>
      <c r="AA285" s="837"/>
    </row>
    <row r="286" spans="1:30" s="165" customFormat="1" ht="15" customHeight="1">
      <c r="A286" s="267"/>
      <c r="B286" s="267"/>
      <c r="C286" s="267"/>
      <c r="D286" s="267"/>
      <c r="E286" s="267"/>
      <c r="F286" s="267"/>
      <c r="G286" s="267"/>
      <c r="H286" s="267"/>
      <c r="I286" s="267"/>
      <c r="J286" s="267"/>
      <c r="K286" s="267"/>
      <c r="L286" s="332"/>
      <c r="M286" s="332"/>
      <c r="N286" s="356"/>
      <c r="O286" s="356"/>
      <c r="P286" s="357"/>
      <c r="Q286" s="357"/>
      <c r="R286" s="357"/>
      <c r="S286" s="357"/>
      <c r="T286" s="357"/>
      <c r="U286" s="459"/>
      <c r="V286" s="602"/>
      <c r="W286" s="851"/>
      <c r="X286" s="602"/>
      <c r="Y286" s="602"/>
      <c r="Z286" s="602"/>
    </row>
    <row r="287" spans="1:30" s="165" customFormat="1" ht="24" customHeight="1">
      <c r="A287" s="329" t="s">
        <v>1001</v>
      </c>
      <c r="B287" s="202"/>
      <c r="C287" s="202"/>
      <c r="D287" s="615" t="s">
        <v>1002</v>
      </c>
      <c r="E287" s="615"/>
      <c r="F287" s="615"/>
      <c r="G287" s="615"/>
      <c r="H287" s="615"/>
      <c r="I287" s="615"/>
      <c r="J287" s="615"/>
      <c r="K287" s="615"/>
      <c r="L287" s="211">
        <v>7072</v>
      </c>
      <c r="M287" s="211">
        <v>7263</v>
      </c>
      <c r="N287" s="150">
        <v>9365</v>
      </c>
      <c r="O287" s="150">
        <v>9366</v>
      </c>
      <c r="P287" s="149">
        <v>13381</v>
      </c>
      <c r="Q287" s="149">
        <v>13381</v>
      </c>
      <c r="R287" s="149">
        <v>13381</v>
      </c>
      <c r="S287" s="149">
        <v>13381</v>
      </c>
      <c r="T287" s="149">
        <v>13381</v>
      </c>
      <c r="U287" s="459"/>
      <c r="V287" s="432"/>
      <c r="W287" s="852"/>
      <c r="X287" s="432"/>
      <c r="Y287" s="432"/>
      <c r="Z287" s="432"/>
      <c r="AA287" s="182"/>
    </row>
    <row r="288" spans="1:30" s="165" customFormat="1" ht="24" customHeight="1">
      <c r="A288" s="740" t="s">
        <v>1312</v>
      </c>
      <c r="B288" s="740"/>
      <c r="C288" s="740"/>
      <c r="D288" s="740" t="s">
        <v>985</v>
      </c>
      <c r="E288" s="740"/>
      <c r="F288" s="740"/>
      <c r="G288" s="740"/>
      <c r="H288" s="740"/>
      <c r="I288" s="740"/>
      <c r="J288" s="740"/>
      <c r="K288" s="740"/>
      <c r="L288" s="217">
        <v>0</v>
      </c>
      <c r="M288" s="217">
        <v>22000</v>
      </c>
      <c r="N288" s="162">
        <v>0</v>
      </c>
      <c r="O288" s="162">
        <v>0</v>
      </c>
      <c r="P288" s="161">
        <v>0</v>
      </c>
      <c r="Q288" s="161">
        <v>0</v>
      </c>
      <c r="R288" s="161">
        <v>0</v>
      </c>
      <c r="S288" s="161">
        <v>0</v>
      </c>
      <c r="T288" s="161">
        <v>0</v>
      </c>
      <c r="U288" s="459"/>
      <c r="V288" s="604"/>
      <c r="W288" s="853"/>
      <c r="X288" s="604"/>
      <c r="Y288" s="604"/>
      <c r="Z288" s="604"/>
      <c r="AA288" s="741"/>
    </row>
    <row r="289" spans="1:27" s="165" customFormat="1" ht="15" customHeight="1">
      <c r="A289" s="202"/>
      <c r="B289" s="202"/>
      <c r="C289" s="202"/>
      <c r="D289" s="202"/>
      <c r="E289" s="202"/>
      <c r="F289" s="202"/>
      <c r="G289" s="202"/>
      <c r="H289" s="202"/>
      <c r="I289" s="202"/>
      <c r="J289" s="202"/>
      <c r="K289" s="202"/>
      <c r="L289" s="212"/>
      <c r="M289" s="212"/>
      <c r="N289" s="156"/>
      <c r="O289" s="156"/>
      <c r="P289" s="153"/>
      <c r="Q289" s="153"/>
      <c r="R289" s="153"/>
      <c r="S289" s="153"/>
      <c r="T289" s="153"/>
      <c r="U289" s="459"/>
      <c r="V289" s="603"/>
      <c r="W289" s="854"/>
      <c r="X289" s="603"/>
      <c r="Y289" s="603"/>
      <c r="Z289" s="603"/>
    </row>
    <row r="290" spans="1:27" s="267" customFormat="1" ht="24" customHeight="1">
      <c r="K290" s="267" t="s">
        <v>481</v>
      </c>
      <c r="L290" s="220">
        <f t="shared" ref="L290:T290" si="29">SUM(L287:L289)</f>
        <v>7072</v>
      </c>
      <c r="M290" s="220">
        <f t="shared" si="29"/>
        <v>29263</v>
      </c>
      <c r="N290" s="221">
        <f t="shared" si="29"/>
        <v>9365</v>
      </c>
      <c r="O290" s="221">
        <f t="shared" si="29"/>
        <v>9366</v>
      </c>
      <c r="P290" s="220">
        <f t="shared" si="29"/>
        <v>13381</v>
      </c>
      <c r="Q290" s="220">
        <f t="shared" si="29"/>
        <v>13381</v>
      </c>
      <c r="R290" s="220">
        <f t="shared" si="29"/>
        <v>13381</v>
      </c>
      <c r="S290" s="220">
        <f t="shared" si="29"/>
        <v>13381</v>
      </c>
      <c r="T290" s="220">
        <f t="shared" si="29"/>
        <v>13381</v>
      </c>
      <c r="U290" s="65"/>
      <c r="V290" s="605"/>
      <c r="W290" s="855"/>
      <c r="X290" s="605"/>
      <c r="Y290" s="605"/>
      <c r="Z290" s="605"/>
      <c r="AA290" s="290"/>
    </row>
    <row r="291" spans="1:27" s="165" customFormat="1" ht="15" customHeight="1">
      <c r="A291" s="267"/>
      <c r="B291" s="267"/>
      <c r="C291" s="267"/>
      <c r="D291" s="267"/>
      <c r="E291" s="267"/>
      <c r="F291" s="267"/>
      <c r="G291" s="267"/>
      <c r="H291" s="267"/>
      <c r="I291" s="267"/>
      <c r="J291" s="267"/>
      <c r="K291" s="267"/>
      <c r="L291" s="236"/>
      <c r="M291" s="236"/>
      <c r="N291" s="167"/>
      <c r="O291" s="167"/>
      <c r="P291" s="166"/>
      <c r="Q291" s="166"/>
      <c r="R291" s="166"/>
      <c r="S291" s="166"/>
      <c r="T291" s="166"/>
      <c r="U291" s="459"/>
      <c r="W291" s="854"/>
    </row>
    <row r="292" spans="1:27" s="165" customFormat="1" ht="24" customHeight="1">
      <c r="A292" s="263" t="s">
        <v>914</v>
      </c>
      <c r="B292" s="275"/>
      <c r="C292" s="275"/>
      <c r="D292" s="265" t="s">
        <v>913</v>
      </c>
      <c r="E292" s="275"/>
      <c r="F292" s="275"/>
      <c r="G292" s="275"/>
      <c r="H292" s="275"/>
      <c r="I292" s="275"/>
      <c r="J292" s="275"/>
      <c r="K292" s="275"/>
      <c r="L292" s="228">
        <v>21141</v>
      </c>
      <c r="M292" s="228">
        <v>0</v>
      </c>
      <c r="N292" s="185">
        <v>0</v>
      </c>
      <c r="O292" s="185">
        <v>0</v>
      </c>
      <c r="P292" s="177">
        <v>0</v>
      </c>
      <c r="Q292" s="177">
        <v>0</v>
      </c>
      <c r="R292" s="177">
        <v>0</v>
      </c>
      <c r="S292" s="177">
        <v>0</v>
      </c>
      <c r="T292" s="177">
        <v>0</v>
      </c>
      <c r="U292" s="459"/>
      <c r="V292" s="433"/>
      <c r="W292" s="856"/>
      <c r="X292" s="433"/>
      <c r="Y292" s="433"/>
      <c r="Z292" s="433"/>
      <c r="AA292" s="189"/>
    </row>
    <row r="293" spans="1:27" s="165" customFormat="1" ht="24" customHeight="1">
      <c r="A293" s="659" t="s">
        <v>1273</v>
      </c>
      <c r="B293" s="275"/>
      <c r="C293" s="275"/>
      <c r="D293" s="659" t="s">
        <v>10</v>
      </c>
      <c r="E293" s="275"/>
      <c r="F293" s="275"/>
      <c r="G293" s="275"/>
      <c r="H293" s="275"/>
      <c r="I293" s="275"/>
      <c r="J293" s="275"/>
      <c r="K293" s="275"/>
      <c r="L293" s="228">
        <v>0</v>
      </c>
      <c r="M293" s="228">
        <v>0</v>
      </c>
      <c r="N293" s="185">
        <v>7000</v>
      </c>
      <c r="O293" s="185">
        <f>ROUND(5400/2,0)</f>
        <v>2700</v>
      </c>
      <c r="P293" s="177">
        <f>ROUND(5670/2,0)</f>
        <v>2835</v>
      </c>
      <c r="Q293" s="177">
        <f>ROUND(5954/2,0)</f>
        <v>2977</v>
      </c>
      <c r="R293" s="177">
        <f>ROUND(Q293*1.05,0)</f>
        <v>3126</v>
      </c>
      <c r="S293" s="177">
        <f>ROUND(R293*1.05,0)</f>
        <v>3282</v>
      </c>
      <c r="T293" s="177">
        <f>ROUND(S293*1.05,0)</f>
        <v>3446</v>
      </c>
      <c r="U293" s="459"/>
      <c r="V293" s="432"/>
      <c r="W293" s="852"/>
      <c r="X293" s="432"/>
      <c r="Y293" s="432"/>
      <c r="Z293" s="432"/>
      <c r="AA293" s="189"/>
    </row>
    <row r="294" spans="1:27" s="165" customFormat="1" ht="24" customHeight="1">
      <c r="A294" s="263" t="s">
        <v>249</v>
      </c>
      <c r="B294" s="264"/>
      <c r="C294" s="264"/>
      <c r="D294" s="263" t="s">
        <v>964</v>
      </c>
      <c r="E294" s="434"/>
      <c r="F294" s="434"/>
      <c r="G294" s="434"/>
      <c r="H294" s="434"/>
      <c r="I294" s="434"/>
      <c r="J294" s="434"/>
      <c r="K294" s="434"/>
      <c r="L294" s="241">
        <v>5173</v>
      </c>
      <c r="M294" s="241">
        <v>10741</v>
      </c>
      <c r="N294" s="190">
        <v>16000</v>
      </c>
      <c r="O294" s="190">
        <v>16000</v>
      </c>
      <c r="P294" s="629">
        <v>6000</v>
      </c>
      <c r="Q294" s="629">
        <f>6000+22000</f>
        <v>28000</v>
      </c>
      <c r="R294" s="629">
        <f>ROUND(6000*1.2,0)</f>
        <v>7200</v>
      </c>
      <c r="S294" s="629">
        <f>R294</f>
        <v>7200</v>
      </c>
      <c r="T294" s="629">
        <f>S294</f>
        <v>7200</v>
      </c>
      <c r="U294" s="459"/>
      <c r="V294" s="606"/>
      <c r="W294" s="857"/>
      <c r="X294" s="606"/>
      <c r="Y294" s="606"/>
      <c r="Z294" s="606"/>
      <c r="AA294" s="601"/>
    </row>
    <row r="295" spans="1:27" s="165" customFormat="1" ht="15" customHeight="1">
      <c r="A295" s="263"/>
      <c r="B295" s="264"/>
      <c r="C295" s="264"/>
      <c r="D295" s="263"/>
      <c r="E295" s="264"/>
      <c r="F295" s="264"/>
      <c r="G295" s="264"/>
      <c r="H295" s="264"/>
      <c r="I295" s="264"/>
      <c r="J295" s="264"/>
      <c r="K295" s="264"/>
      <c r="L295" s="228"/>
      <c r="M295" s="228"/>
      <c r="N295" s="185"/>
      <c r="O295" s="185"/>
      <c r="P295" s="177"/>
      <c r="Q295" s="177"/>
      <c r="R295" s="177"/>
      <c r="S295" s="177"/>
      <c r="T295" s="177"/>
      <c r="U295" s="459"/>
      <c r="V295" s="603"/>
      <c r="W295" s="854"/>
      <c r="X295" s="603"/>
      <c r="Y295" s="603"/>
      <c r="Z295" s="603"/>
    </row>
    <row r="296" spans="1:27" s="267" customFormat="1" ht="24" customHeight="1">
      <c r="A296" s="263"/>
      <c r="B296" s="264"/>
      <c r="C296" s="264"/>
      <c r="D296" s="263"/>
      <c r="E296" s="264"/>
      <c r="F296" s="264"/>
      <c r="G296" s="264"/>
      <c r="H296" s="264"/>
      <c r="I296" s="264"/>
      <c r="J296" s="264"/>
      <c r="K296" s="267" t="s">
        <v>484</v>
      </c>
      <c r="L296" s="220">
        <f t="shared" ref="L296:T296" si="30">SUM(L292:L295)</f>
        <v>26314</v>
      </c>
      <c r="M296" s="220">
        <f t="shared" si="30"/>
        <v>10741</v>
      </c>
      <c r="N296" s="221">
        <f t="shared" si="30"/>
        <v>23000</v>
      </c>
      <c r="O296" s="221">
        <f t="shared" si="30"/>
        <v>18700</v>
      </c>
      <c r="P296" s="220">
        <f t="shared" si="30"/>
        <v>8835</v>
      </c>
      <c r="Q296" s="220">
        <f t="shared" si="30"/>
        <v>30977</v>
      </c>
      <c r="R296" s="220">
        <f t="shared" si="30"/>
        <v>10326</v>
      </c>
      <c r="S296" s="220">
        <f t="shared" si="30"/>
        <v>10482</v>
      </c>
      <c r="T296" s="220">
        <f t="shared" si="30"/>
        <v>10646</v>
      </c>
      <c r="U296" s="803"/>
      <c r="V296" s="607"/>
      <c r="W296" s="858"/>
      <c r="X296" s="607"/>
      <c r="Y296" s="607"/>
      <c r="Z296" s="607"/>
      <c r="AA296" s="272"/>
    </row>
    <row r="297" spans="1:27" s="267" customFormat="1" ht="15" customHeight="1">
      <c r="L297" s="220"/>
      <c r="M297" s="220"/>
      <c r="N297" s="221"/>
      <c r="O297" s="221"/>
      <c r="P297" s="220"/>
      <c r="Q297" s="220"/>
      <c r="R297" s="220"/>
      <c r="S297" s="220"/>
      <c r="T297" s="220"/>
      <c r="U297" s="65"/>
      <c r="V297" s="301"/>
      <c r="W297" s="859"/>
      <c r="X297" s="301"/>
      <c r="Y297" s="301"/>
      <c r="Z297" s="301"/>
    </row>
    <row r="298" spans="1:27" s="267" customFormat="1" ht="24" customHeight="1">
      <c r="K298" s="267" t="s">
        <v>485</v>
      </c>
      <c r="L298" s="220">
        <f>L290-L296</f>
        <v>-19242</v>
      </c>
      <c r="M298" s="220">
        <f>M290-M296</f>
        <v>18522</v>
      </c>
      <c r="N298" s="221">
        <f t="shared" ref="N298:T298" si="31">N290-N296</f>
        <v>-13635</v>
      </c>
      <c r="O298" s="221">
        <f t="shared" si="31"/>
        <v>-9334</v>
      </c>
      <c r="P298" s="220">
        <f t="shared" si="31"/>
        <v>4546</v>
      </c>
      <c r="Q298" s="220">
        <f t="shared" si="31"/>
        <v>-17596</v>
      </c>
      <c r="R298" s="220">
        <f t="shared" si="31"/>
        <v>3055</v>
      </c>
      <c r="S298" s="220">
        <f t="shared" si="31"/>
        <v>2899</v>
      </c>
      <c r="T298" s="220">
        <f t="shared" si="31"/>
        <v>2735</v>
      </c>
      <c r="U298" s="65"/>
      <c r="V298" s="605"/>
      <c r="W298" s="855"/>
      <c r="X298" s="605"/>
      <c r="Y298" s="605"/>
      <c r="Z298" s="605"/>
      <c r="AA298" s="290"/>
    </row>
    <row r="299" spans="1:27" s="267" customFormat="1" ht="15" customHeight="1">
      <c r="L299" s="220"/>
      <c r="M299" s="220"/>
      <c r="N299" s="221"/>
      <c r="O299" s="221"/>
      <c r="P299" s="220"/>
      <c r="Q299" s="220"/>
      <c r="R299" s="220"/>
      <c r="S299" s="220"/>
      <c r="T299" s="220"/>
      <c r="U299" s="65"/>
      <c r="V299" s="301"/>
      <c r="W299" s="859"/>
      <c r="X299" s="301"/>
      <c r="Y299" s="301"/>
      <c r="Z299" s="301"/>
    </row>
    <row r="300" spans="1:27" s="267" customFormat="1" ht="24" customHeight="1">
      <c r="K300" s="272" t="s">
        <v>487</v>
      </c>
      <c r="L300" s="237">
        <v>-3780</v>
      </c>
      <c r="M300" s="237">
        <v>14742</v>
      </c>
      <c r="N300" s="238">
        <v>-21485</v>
      </c>
      <c r="O300" s="238">
        <f>M300+O298</f>
        <v>5408</v>
      </c>
      <c r="P300" s="237">
        <f>O300+P298</f>
        <v>9954</v>
      </c>
      <c r="Q300" s="237">
        <f>P300+Q298</f>
        <v>-7642</v>
      </c>
      <c r="R300" s="237">
        <f>Q300+R298</f>
        <v>-4587</v>
      </c>
      <c r="S300" s="237">
        <f>R300+S298</f>
        <v>-1688</v>
      </c>
      <c r="T300" s="237">
        <f>S300+T298</f>
        <v>1047</v>
      </c>
      <c r="U300" s="65"/>
      <c r="V300" s="605"/>
      <c r="W300" s="855"/>
      <c r="X300" s="605"/>
      <c r="Y300" s="605"/>
      <c r="Z300" s="605"/>
      <c r="AA300" s="151"/>
    </row>
    <row r="301" spans="1:27" s="273" customFormat="1" ht="24" customHeight="1">
      <c r="L301" s="239">
        <f t="shared" ref="L301:T301" si="32">L300/L296</f>
        <v>-0.14364976818423653</v>
      </c>
      <c r="M301" s="239">
        <f t="shared" si="32"/>
        <v>1.3724979052229773</v>
      </c>
      <c r="N301" s="240">
        <f t="shared" si="32"/>
        <v>-0.93413043478260871</v>
      </c>
      <c r="O301" s="240">
        <f t="shared" si="32"/>
        <v>0.28919786096256683</v>
      </c>
      <c r="P301" s="239">
        <f t="shared" si="32"/>
        <v>1.1266553480475383</v>
      </c>
      <c r="Q301" s="239">
        <f t="shared" si="32"/>
        <v>-0.24669916389579366</v>
      </c>
      <c r="R301" s="239">
        <f t="shared" si="32"/>
        <v>-0.44421847762928529</v>
      </c>
      <c r="S301" s="239">
        <f t="shared" si="32"/>
        <v>-0.16103796985308147</v>
      </c>
      <c r="T301" s="239">
        <f t="shared" si="32"/>
        <v>9.8346796919030616E-2</v>
      </c>
      <c r="U301" s="801"/>
      <c r="V301" s="608"/>
      <c r="W301" s="860"/>
      <c r="X301" s="608"/>
      <c r="Y301" s="608"/>
      <c r="Z301" s="608"/>
      <c r="AA301" s="239"/>
    </row>
    <row r="302" spans="1:27" ht="15" customHeight="1">
      <c r="A302" s="202"/>
      <c r="B302" s="202"/>
      <c r="C302" s="202"/>
      <c r="D302" s="202"/>
      <c r="E302" s="202"/>
      <c r="F302" s="202"/>
      <c r="G302" s="202"/>
      <c r="H302" s="202"/>
      <c r="I302" s="202"/>
      <c r="J302" s="202"/>
      <c r="K302" s="202"/>
      <c r="L302" s="261"/>
      <c r="M302" s="261"/>
      <c r="N302" s="352"/>
      <c r="O302" s="352"/>
      <c r="P302" s="353"/>
      <c r="Q302" s="353"/>
      <c r="R302" s="353"/>
      <c r="S302" s="353"/>
      <c r="T302" s="353"/>
      <c r="V302" s="401"/>
      <c r="W302" s="861"/>
      <c r="X302" s="401"/>
      <c r="Y302" s="401"/>
      <c r="Z302" s="401"/>
      <c r="AA302" s="401"/>
    </row>
    <row r="303" spans="1:27" ht="24" customHeight="1">
      <c r="A303" s="274" t="s">
        <v>495</v>
      </c>
      <c r="B303" s="431"/>
      <c r="C303" s="431"/>
      <c r="D303" s="431"/>
      <c r="E303" s="202"/>
      <c r="F303" s="202"/>
      <c r="G303" s="202"/>
      <c r="H303" s="202"/>
      <c r="I303" s="202"/>
      <c r="J303" s="202"/>
      <c r="K303" s="202"/>
      <c r="L303" s="261"/>
      <c r="M303" s="261"/>
      <c r="N303" s="352"/>
      <c r="O303" s="352"/>
      <c r="P303" s="353"/>
      <c r="Q303" s="353"/>
      <c r="R303" s="353"/>
      <c r="S303" s="353"/>
      <c r="T303" s="353"/>
      <c r="V303" s="602"/>
      <c r="W303" s="851"/>
      <c r="X303" s="602"/>
      <c r="Y303" s="602"/>
      <c r="Z303" s="602"/>
      <c r="AA303" s="602"/>
    </row>
    <row r="304" spans="1:27" ht="15" customHeight="1">
      <c r="A304" s="202"/>
      <c r="B304" s="202"/>
      <c r="C304" s="202"/>
      <c r="D304" s="202"/>
      <c r="E304" s="202"/>
      <c r="F304" s="202"/>
      <c r="G304" s="202"/>
      <c r="H304" s="202"/>
      <c r="I304" s="202"/>
      <c r="J304" s="202"/>
      <c r="K304" s="202"/>
      <c r="L304" s="261"/>
      <c r="M304" s="261"/>
      <c r="N304" s="352"/>
      <c r="O304" s="352"/>
      <c r="P304" s="353"/>
      <c r="Q304" s="353"/>
      <c r="R304" s="353"/>
      <c r="S304" s="353"/>
      <c r="T304" s="353"/>
      <c r="V304" s="603"/>
      <c r="W304" s="854"/>
      <c r="X304" s="603"/>
      <c r="Y304" s="603"/>
      <c r="Z304" s="603"/>
      <c r="AA304" s="603"/>
    </row>
    <row r="305" spans="1:30" ht="24" customHeight="1">
      <c r="A305" s="329" t="s">
        <v>999</v>
      </c>
      <c r="B305" s="202"/>
      <c r="C305" s="202"/>
      <c r="D305" s="329" t="s">
        <v>1000</v>
      </c>
      <c r="E305" s="202"/>
      <c r="F305" s="202"/>
      <c r="G305" s="202"/>
      <c r="H305" s="202"/>
      <c r="I305" s="202"/>
      <c r="J305" s="202"/>
      <c r="K305" s="202"/>
      <c r="L305" s="212">
        <v>18608</v>
      </c>
      <c r="M305" s="212">
        <v>20456</v>
      </c>
      <c r="N305" s="185">
        <v>13480</v>
      </c>
      <c r="O305" s="185">
        <v>13480</v>
      </c>
      <c r="P305" s="177">
        <f>ROUND(O305*1.16,0)</f>
        <v>15637</v>
      </c>
      <c r="Q305" s="177">
        <f>ROUND(P305*1.16,0)</f>
        <v>18139</v>
      </c>
      <c r="R305" s="177">
        <v>21303</v>
      </c>
      <c r="S305" s="177">
        <f>R305</f>
        <v>21303</v>
      </c>
      <c r="T305" s="177">
        <f>S305</f>
        <v>21303</v>
      </c>
      <c r="V305" s="432"/>
      <c r="W305" s="852"/>
      <c r="X305" s="432"/>
      <c r="Y305" s="432"/>
      <c r="Z305" s="432"/>
      <c r="AA305" s="432"/>
      <c r="AB305" s="182"/>
    </row>
    <row r="306" spans="1:30" ht="24" customHeight="1">
      <c r="A306" s="202" t="s">
        <v>589</v>
      </c>
      <c r="B306" s="202"/>
      <c r="C306" s="202"/>
      <c r="D306" s="202" t="s">
        <v>6</v>
      </c>
      <c r="E306" s="202"/>
      <c r="F306" s="202"/>
      <c r="G306" s="202"/>
      <c r="H306" s="202"/>
      <c r="I306" s="202"/>
      <c r="J306" s="202"/>
      <c r="K306" s="202"/>
      <c r="L306" s="217">
        <v>1</v>
      </c>
      <c r="M306" s="217">
        <v>0</v>
      </c>
      <c r="N306" s="162">
        <v>0</v>
      </c>
      <c r="O306" s="162">
        <v>0</v>
      </c>
      <c r="P306" s="161">
        <v>0</v>
      </c>
      <c r="Q306" s="161">
        <v>0</v>
      </c>
      <c r="R306" s="161">
        <v>0</v>
      </c>
      <c r="S306" s="161">
        <v>0</v>
      </c>
      <c r="T306" s="161">
        <v>0</v>
      </c>
      <c r="V306" s="604"/>
      <c r="W306" s="853"/>
      <c r="X306" s="604"/>
      <c r="Y306" s="604"/>
      <c r="Z306" s="604"/>
      <c r="AA306" s="604"/>
    </row>
    <row r="307" spans="1:30" ht="15" customHeight="1">
      <c r="A307" s="202"/>
      <c r="B307" s="202"/>
      <c r="C307" s="202"/>
      <c r="D307" s="202"/>
      <c r="E307" s="202"/>
      <c r="F307" s="202"/>
      <c r="G307" s="202"/>
      <c r="H307" s="202"/>
      <c r="I307" s="202"/>
      <c r="J307" s="202"/>
      <c r="K307" s="202"/>
      <c r="L307" s="212"/>
      <c r="M307" s="212"/>
      <c r="N307" s="156"/>
      <c r="O307" s="156"/>
      <c r="P307" s="153"/>
      <c r="Q307" s="153"/>
      <c r="R307" s="153"/>
      <c r="S307" s="153"/>
      <c r="T307" s="153"/>
      <c r="V307" s="603"/>
      <c r="W307" s="854"/>
      <c r="X307" s="603"/>
      <c r="Y307" s="603"/>
      <c r="Z307" s="603"/>
      <c r="AA307" s="603"/>
    </row>
    <row r="308" spans="1:30" s="202" customFormat="1" ht="24" customHeight="1">
      <c r="K308" s="267" t="s">
        <v>481</v>
      </c>
      <c r="L308" s="220">
        <f t="shared" ref="L308:T308" si="33">SUM(L305:L307)</f>
        <v>18609</v>
      </c>
      <c r="M308" s="220">
        <f t="shared" si="33"/>
        <v>20456</v>
      </c>
      <c r="N308" s="221">
        <f t="shared" si="33"/>
        <v>13480</v>
      </c>
      <c r="O308" s="221">
        <f t="shared" si="33"/>
        <v>13480</v>
      </c>
      <c r="P308" s="220">
        <f t="shared" si="33"/>
        <v>15637</v>
      </c>
      <c r="Q308" s="220">
        <f t="shared" si="33"/>
        <v>18139</v>
      </c>
      <c r="R308" s="220">
        <f t="shared" si="33"/>
        <v>21303</v>
      </c>
      <c r="S308" s="220">
        <f t="shared" si="33"/>
        <v>21303</v>
      </c>
      <c r="T308" s="220">
        <f t="shared" si="33"/>
        <v>21303</v>
      </c>
      <c r="U308" s="65"/>
      <c r="V308" s="605"/>
      <c r="W308" s="855"/>
      <c r="X308" s="605"/>
      <c r="Y308" s="605"/>
      <c r="Z308" s="605"/>
      <c r="AA308" s="605"/>
      <c r="AD308" s="822"/>
    </row>
    <row r="309" spans="1:30" ht="15" customHeight="1">
      <c r="A309" s="202"/>
      <c r="B309" s="202"/>
      <c r="C309" s="202"/>
      <c r="D309" s="202"/>
      <c r="E309" s="202"/>
      <c r="F309" s="202"/>
      <c r="G309" s="202"/>
      <c r="H309" s="202"/>
      <c r="I309" s="202"/>
      <c r="J309" s="202"/>
      <c r="K309" s="267"/>
      <c r="L309" s="220"/>
      <c r="M309" s="220"/>
      <c r="N309" s="167"/>
      <c r="O309" s="167"/>
      <c r="P309" s="166"/>
      <c r="Q309" s="166"/>
      <c r="R309" s="166"/>
      <c r="S309" s="166"/>
      <c r="T309" s="166"/>
      <c r="V309" s="603"/>
      <c r="W309" s="854"/>
      <c r="X309" s="603"/>
      <c r="Y309" s="603"/>
      <c r="Z309" s="603"/>
      <c r="AA309" s="603"/>
    </row>
    <row r="310" spans="1:30" ht="24" customHeight="1">
      <c r="A310" s="263" t="s">
        <v>911</v>
      </c>
      <c r="B310" s="275"/>
      <c r="C310" s="275"/>
      <c r="D310" s="265" t="s">
        <v>912</v>
      </c>
      <c r="E310" s="275"/>
      <c r="F310" s="275"/>
      <c r="G310" s="275"/>
      <c r="H310" s="275"/>
      <c r="I310" s="275"/>
      <c r="J310" s="275"/>
      <c r="K310" s="275"/>
      <c r="L310" s="228">
        <v>26551</v>
      </c>
      <c r="M310" s="228">
        <v>2512</v>
      </c>
      <c r="N310" s="185">
        <v>8735</v>
      </c>
      <c r="O310" s="185">
        <v>8735</v>
      </c>
      <c r="P310" s="177">
        <v>5000</v>
      </c>
      <c r="Q310" s="177">
        <v>5000</v>
      </c>
      <c r="R310" s="177">
        <v>5000</v>
      </c>
      <c r="S310" s="177">
        <v>5000</v>
      </c>
      <c r="T310" s="177">
        <v>5000</v>
      </c>
      <c r="V310" s="432"/>
      <c r="W310" s="852"/>
      <c r="X310" s="432"/>
      <c r="Y310" s="433"/>
      <c r="Z310" s="433"/>
      <c r="AA310" s="412"/>
      <c r="AB310" s="148"/>
    </row>
    <row r="311" spans="1:30" ht="24" customHeight="1">
      <c r="A311" s="715" t="s">
        <v>1274</v>
      </c>
      <c r="B311" s="275"/>
      <c r="C311" s="275"/>
      <c r="D311" s="715" t="s">
        <v>10</v>
      </c>
      <c r="E311" s="275"/>
      <c r="F311" s="275"/>
      <c r="G311" s="275"/>
      <c r="H311" s="275"/>
      <c r="I311" s="275"/>
      <c r="J311" s="275"/>
      <c r="K311" s="275"/>
      <c r="L311" s="228">
        <v>0</v>
      </c>
      <c r="M311" s="228">
        <v>0</v>
      </c>
      <c r="N311" s="185">
        <v>10000</v>
      </c>
      <c r="O311" s="185">
        <f>ROUND(5400/2,0)</f>
        <v>2700</v>
      </c>
      <c r="P311" s="177">
        <f>ROUND(5670/2,0)</f>
        <v>2835</v>
      </c>
      <c r="Q311" s="177">
        <f>ROUND(5954/2,0)</f>
        <v>2977</v>
      </c>
      <c r="R311" s="177">
        <f>ROUND(Q311*1.05,0)</f>
        <v>3126</v>
      </c>
      <c r="S311" s="177">
        <f>ROUND(R311*1.05,0)</f>
        <v>3282</v>
      </c>
      <c r="T311" s="177">
        <f>ROUND(S311*1.05,0)</f>
        <v>3446</v>
      </c>
      <c r="V311" s="432"/>
      <c r="W311" s="852"/>
      <c r="X311" s="432"/>
      <c r="Y311" s="432"/>
      <c r="Z311" s="432"/>
      <c r="AA311" s="412"/>
      <c r="AB311" s="148"/>
    </row>
    <row r="312" spans="1:30" ht="24" customHeight="1">
      <c r="A312" s="263" t="s">
        <v>248</v>
      </c>
      <c r="B312" s="264"/>
      <c r="C312" s="264"/>
      <c r="D312" s="263" t="s">
        <v>964</v>
      </c>
      <c r="E312" s="434"/>
      <c r="F312" s="434"/>
      <c r="G312" s="434"/>
      <c r="H312" s="434"/>
      <c r="I312" s="434"/>
      <c r="J312" s="434"/>
      <c r="K312" s="434"/>
      <c r="L312" s="241">
        <v>3125</v>
      </c>
      <c r="M312" s="241">
        <v>2545</v>
      </c>
      <c r="N312" s="190">
        <v>11000</v>
      </c>
      <c r="O312" s="190">
        <f>11059+250</f>
        <v>11309</v>
      </c>
      <c r="P312" s="629">
        <f>ROUND(5000*1.2,0)+5000</f>
        <v>11000</v>
      </c>
      <c r="Q312" s="629">
        <v>7200</v>
      </c>
      <c r="R312" s="629">
        <f>Q312</f>
        <v>7200</v>
      </c>
      <c r="S312" s="629">
        <f>ROUND(R312*1.2,0)</f>
        <v>8640</v>
      </c>
      <c r="T312" s="629">
        <f>S312</f>
        <v>8640</v>
      </c>
      <c r="V312" s="606"/>
      <c r="W312" s="857"/>
      <c r="X312" s="606"/>
      <c r="Y312" s="606"/>
      <c r="Z312" s="606"/>
      <c r="AA312" s="606"/>
    </row>
    <row r="313" spans="1:30" ht="15" customHeight="1">
      <c r="A313" s="263"/>
      <c r="B313" s="264"/>
      <c r="C313" s="264"/>
      <c r="D313" s="263"/>
      <c r="E313" s="264"/>
      <c r="F313" s="264"/>
      <c r="G313" s="264"/>
      <c r="H313" s="264"/>
      <c r="I313" s="264"/>
      <c r="J313" s="264"/>
      <c r="K313" s="264"/>
      <c r="L313" s="228"/>
      <c r="M313" s="228"/>
      <c r="N313" s="185"/>
      <c r="O313" s="185"/>
      <c r="P313" s="177"/>
      <c r="Q313" s="177"/>
      <c r="R313" s="177"/>
      <c r="S313" s="177"/>
      <c r="T313" s="177"/>
      <c r="V313" s="603"/>
      <c r="W313" s="854"/>
      <c r="X313" s="603"/>
      <c r="Y313" s="603"/>
      <c r="Z313" s="603"/>
      <c r="AA313" s="603"/>
    </row>
    <row r="314" spans="1:30" s="202" customFormat="1" ht="24" customHeight="1">
      <c r="A314" s="263"/>
      <c r="B314" s="264"/>
      <c r="C314" s="264"/>
      <c r="D314" s="263"/>
      <c r="E314" s="264"/>
      <c r="F314" s="264"/>
      <c r="G314" s="264"/>
      <c r="H314" s="264"/>
      <c r="I314" s="264"/>
      <c r="J314" s="264"/>
      <c r="K314" s="267" t="s">
        <v>484</v>
      </c>
      <c r="L314" s="220">
        <f t="shared" ref="L314:T314" si="34">SUM(L310:L313)</f>
        <v>29676</v>
      </c>
      <c r="M314" s="220">
        <f t="shared" si="34"/>
        <v>5057</v>
      </c>
      <c r="N314" s="221">
        <f t="shared" si="34"/>
        <v>29735</v>
      </c>
      <c r="O314" s="221">
        <f t="shared" si="34"/>
        <v>22744</v>
      </c>
      <c r="P314" s="220">
        <f t="shared" si="34"/>
        <v>18835</v>
      </c>
      <c r="Q314" s="220">
        <f t="shared" si="34"/>
        <v>15177</v>
      </c>
      <c r="R314" s="220">
        <f t="shared" si="34"/>
        <v>15326</v>
      </c>
      <c r="S314" s="220">
        <f t="shared" si="34"/>
        <v>16922</v>
      </c>
      <c r="T314" s="220">
        <f t="shared" si="34"/>
        <v>17086</v>
      </c>
      <c r="U314" s="65"/>
      <c r="V314" s="607"/>
      <c r="W314" s="858"/>
      <c r="X314" s="607"/>
      <c r="Y314" s="607"/>
      <c r="Z314" s="607"/>
      <c r="AA314" s="607"/>
      <c r="AD314" s="822"/>
    </row>
    <row r="315" spans="1:30" s="202" customFormat="1" ht="15" customHeight="1">
      <c r="L315" s="218"/>
      <c r="M315" s="218"/>
      <c r="N315" s="219"/>
      <c r="O315" s="219"/>
      <c r="P315" s="218"/>
      <c r="Q315" s="218"/>
      <c r="R315" s="218"/>
      <c r="S315" s="218"/>
      <c r="T315" s="218"/>
      <c r="U315" s="65"/>
      <c r="V315" s="301"/>
      <c r="W315" s="859"/>
      <c r="X315" s="301"/>
      <c r="Y315" s="301"/>
      <c r="Z315" s="301"/>
      <c r="AA315" s="301"/>
      <c r="AD315" s="822"/>
    </row>
    <row r="316" spans="1:30" s="202" customFormat="1" ht="24" customHeight="1">
      <c r="K316" s="267" t="s">
        <v>485</v>
      </c>
      <c r="L316" s="237">
        <f t="shared" ref="L316:T316" si="35">L308-L314</f>
        <v>-11067</v>
      </c>
      <c r="M316" s="237">
        <f t="shared" si="35"/>
        <v>15399</v>
      </c>
      <c r="N316" s="238">
        <f t="shared" si="35"/>
        <v>-16255</v>
      </c>
      <c r="O316" s="238">
        <f t="shared" si="35"/>
        <v>-9264</v>
      </c>
      <c r="P316" s="237">
        <f t="shared" si="35"/>
        <v>-3198</v>
      </c>
      <c r="Q316" s="237">
        <f t="shared" si="35"/>
        <v>2962</v>
      </c>
      <c r="R316" s="237">
        <f t="shared" si="35"/>
        <v>5977</v>
      </c>
      <c r="S316" s="237">
        <f t="shared" si="35"/>
        <v>4381</v>
      </c>
      <c r="T316" s="237">
        <f t="shared" si="35"/>
        <v>4217</v>
      </c>
      <c r="U316" s="65"/>
      <c r="V316" s="605"/>
      <c r="W316" s="855"/>
      <c r="X316" s="605"/>
      <c r="Y316" s="605"/>
      <c r="Z316" s="605"/>
      <c r="AA316" s="605"/>
      <c r="AD316" s="822"/>
    </row>
    <row r="317" spans="1:30" s="202" customFormat="1" ht="15" customHeight="1">
      <c r="L317" s="237"/>
      <c r="M317" s="237"/>
      <c r="N317" s="238"/>
      <c r="O317" s="238"/>
      <c r="P317" s="237"/>
      <c r="Q317" s="237"/>
      <c r="R317" s="237"/>
      <c r="S317" s="237"/>
      <c r="T317" s="237"/>
      <c r="U317" s="65"/>
      <c r="V317" s="301"/>
      <c r="W317" s="859"/>
      <c r="X317" s="301"/>
      <c r="Y317" s="301"/>
      <c r="Z317" s="301"/>
      <c r="AA317" s="301"/>
      <c r="AD317" s="822"/>
    </row>
    <row r="318" spans="1:30" s="202" customFormat="1" ht="24" customHeight="1">
      <c r="K318" s="272" t="s">
        <v>487</v>
      </c>
      <c r="L318" s="237">
        <v>-31175</v>
      </c>
      <c r="M318" s="237">
        <v>-15774</v>
      </c>
      <c r="N318" s="238">
        <v>-35099</v>
      </c>
      <c r="O318" s="238">
        <f>M318+O316</f>
        <v>-25038</v>
      </c>
      <c r="P318" s="237">
        <f>O318+P316</f>
        <v>-28236</v>
      </c>
      <c r="Q318" s="237">
        <f>P318+Q316</f>
        <v>-25274</v>
      </c>
      <c r="R318" s="237">
        <f>Q318+R316</f>
        <v>-19297</v>
      </c>
      <c r="S318" s="237">
        <f>R318+S316</f>
        <v>-14916</v>
      </c>
      <c r="T318" s="237">
        <f>S318+T316</f>
        <v>-10699</v>
      </c>
      <c r="U318" s="65"/>
      <c r="V318" s="605"/>
      <c r="W318" s="855"/>
      <c r="X318" s="605"/>
      <c r="Y318" s="605"/>
      <c r="Z318" s="605"/>
      <c r="AA318" s="605"/>
      <c r="AD318" s="822"/>
    </row>
    <row r="319" spans="1:30" s="276" customFormat="1" ht="24" customHeight="1">
      <c r="L319" s="239">
        <f t="shared" ref="L319:T319" si="36">L318/L314</f>
        <v>-1.0505121984094892</v>
      </c>
      <c r="M319" s="239">
        <f t="shared" si="36"/>
        <v>-3.1192406565157209</v>
      </c>
      <c r="N319" s="240">
        <f t="shared" si="36"/>
        <v>-1.1803934757020347</v>
      </c>
      <c r="O319" s="240">
        <f t="shared" si="36"/>
        <v>-1.1008617657404149</v>
      </c>
      <c r="P319" s="239">
        <f t="shared" si="36"/>
        <v>-1.4991239713299709</v>
      </c>
      <c r="Q319" s="239">
        <f t="shared" si="36"/>
        <v>-1.6652829940040852</v>
      </c>
      <c r="R319" s="239">
        <f t="shared" si="36"/>
        <v>-1.2591021793031449</v>
      </c>
      <c r="S319" s="239">
        <f t="shared" si="36"/>
        <v>-0.881456092660442</v>
      </c>
      <c r="T319" s="239">
        <f t="shared" si="36"/>
        <v>-0.62618518084981856</v>
      </c>
      <c r="U319" s="801"/>
      <c r="V319" s="608"/>
      <c r="W319" s="860"/>
      <c r="X319" s="608"/>
      <c r="Y319" s="608"/>
      <c r="Z319" s="608"/>
      <c r="AA319" s="608"/>
    </row>
    <row r="320" spans="1:30" ht="15" customHeight="1">
      <c r="A320" s="202"/>
      <c r="B320" s="202"/>
      <c r="C320" s="202"/>
      <c r="D320" s="202"/>
      <c r="E320" s="202"/>
      <c r="F320" s="202"/>
      <c r="G320" s="202"/>
      <c r="H320" s="202"/>
      <c r="I320" s="202"/>
      <c r="J320" s="202"/>
      <c r="K320" s="202"/>
      <c r="L320" s="261"/>
      <c r="M320" s="261"/>
      <c r="N320" s="352"/>
      <c r="O320" s="352"/>
      <c r="P320" s="353"/>
      <c r="Q320" s="353"/>
      <c r="R320" s="353"/>
      <c r="S320" s="353"/>
      <c r="T320" s="353"/>
    </row>
    <row r="321" spans="1:30" ht="24" customHeight="1">
      <c r="A321" s="274" t="s">
        <v>803</v>
      </c>
      <c r="B321" s="202"/>
      <c r="C321" s="202"/>
      <c r="D321" s="202"/>
      <c r="E321" s="202"/>
      <c r="F321" s="202"/>
      <c r="G321" s="202"/>
      <c r="H321" s="202"/>
      <c r="I321" s="202"/>
      <c r="J321" s="202"/>
      <c r="K321" s="202"/>
      <c r="L321" s="261"/>
      <c r="M321" s="261"/>
      <c r="N321" s="352"/>
      <c r="O321" s="352"/>
      <c r="P321" s="353"/>
      <c r="Q321" s="353"/>
      <c r="R321" s="353"/>
      <c r="S321" s="353"/>
      <c r="T321" s="353"/>
    </row>
    <row r="322" spans="1:30" ht="15" customHeight="1">
      <c r="A322" s="202"/>
      <c r="B322" s="202"/>
      <c r="C322" s="202"/>
      <c r="D322" s="202"/>
      <c r="E322" s="202"/>
      <c r="F322" s="202"/>
      <c r="G322" s="202"/>
      <c r="H322" s="202"/>
      <c r="I322" s="202"/>
      <c r="J322" s="202"/>
      <c r="K322" s="202"/>
      <c r="L322" s="261"/>
      <c r="M322" s="261"/>
      <c r="N322" s="352"/>
      <c r="O322" s="352"/>
      <c r="P322" s="353"/>
      <c r="Q322" s="353"/>
      <c r="R322" s="353"/>
      <c r="S322" s="353"/>
      <c r="T322" s="353"/>
    </row>
    <row r="323" spans="1:30" ht="24" customHeight="1">
      <c r="A323" s="263" t="s">
        <v>250</v>
      </c>
      <c r="B323" s="202"/>
      <c r="C323" s="202"/>
      <c r="D323" s="263" t="s">
        <v>251</v>
      </c>
      <c r="E323" s="511"/>
      <c r="F323" s="511"/>
      <c r="G323" s="511"/>
      <c r="H323" s="511"/>
      <c r="I323" s="511"/>
      <c r="J323" s="511"/>
      <c r="K323" s="511"/>
      <c r="L323" s="212">
        <v>432820</v>
      </c>
      <c r="M323" s="212">
        <v>428888</v>
      </c>
      <c r="N323" s="150">
        <v>450716</v>
      </c>
      <c r="O323" s="150">
        <f>ROUND((16921*25.75)+((2101*25.75)*(5/12)),0)</f>
        <v>458258</v>
      </c>
      <c r="P323" s="149">
        <f>ROUND((16921*25.75)+((2101*25.75)*(12/12)),0)</f>
        <v>489817</v>
      </c>
      <c r="Q323" s="153">
        <f>ROUND(P323*1.02,0)</f>
        <v>499613</v>
      </c>
      <c r="R323" s="153">
        <f>ROUND(Q323*1.02,0)</f>
        <v>509605</v>
      </c>
      <c r="S323" s="153">
        <f>ROUND(R323*1.02,0)</f>
        <v>519797</v>
      </c>
      <c r="T323" s="153">
        <f>ROUND(S323*1.02,0)</f>
        <v>530193</v>
      </c>
    </row>
    <row r="324" spans="1:30" ht="24" customHeight="1">
      <c r="A324" s="263" t="s">
        <v>252</v>
      </c>
      <c r="B324" s="202"/>
      <c r="C324" s="202"/>
      <c r="D324" s="510" t="s">
        <v>253</v>
      </c>
      <c r="E324" s="511"/>
      <c r="F324" s="511"/>
      <c r="G324" s="511"/>
      <c r="H324" s="511"/>
      <c r="I324" s="511"/>
      <c r="J324" s="511"/>
      <c r="K324" s="511"/>
      <c r="L324" s="211">
        <v>41912</v>
      </c>
      <c r="M324" s="211">
        <v>41928</v>
      </c>
      <c r="N324" s="150">
        <v>41900</v>
      </c>
      <c r="O324" s="150">
        <f>20530+20531</f>
        <v>41061</v>
      </c>
      <c r="P324" s="149">
        <v>41000</v>
      </c>
      <c r="Q324" s="149">
        <v>41000</v>
      </c>
      <c r="R324" s="149">
        <v>41000</v>
      </c>
      <c r="S324" s="149">
        <v>41000</v>
      </c>
      <c r="T324" s="149">
        <v>41000</v>
      </c>
      <c r="V324" s="148"/>
      <c r="X324" s="850"/>
      <c r="Y324" s="850"/>
      <c r="Z324" s="850"/>
      <c r="AA324" s="850"/>
      <c r="AB324" s="850"/>
    </row>
    <row r="325" spans="1:30" ht="24" customHeight="1">
      <c r="A325" s="263" t="s">
        <v>1029</v>
      </c>
      <c r="B325" s="349"/>
      <c r="C325" s="263"/>
      <c r="D325" s="912" t="s">
        <v>1037</v>
      </c>
      <c r="E325" s="912"/>
      <c r="F325" s="912"/>
      <c r="G325" s="912"/>
      <c r="H325" s="912"/>
      <c r="I325" s="912"/>
      <c r="J325" s="912"/>
      <c r="K325" s="912"/>
      <c r="L325" s="212">
        <v>87238</v>
      </c>
      <c r="M325" s="212">
        <v>0</v>
      </c>
      <c r="N325" s="156">
        <v>0</v>
      </c>
      <c r="O325" s="156">
        <v>0</v>
      </c>
      <c r="P325" s="153">
        <v>0</v>
      </c>
      <c r="Q325" s="153">
        <v>0</v>
      </c>
      <c r="R325" s="153">
        <v>0</v>
      </c>
      <c r="S325" s="153">
        <v>0</v>
      </c>
      <c r="T325" s="153">
        <v>0</v>
      </c>
      <c r="X325" s="837"/>
      <c r="Y325" s="837"/>
      <c r="Z325" s="837"/>
      <c r="AA325" s="837"/>
      <c r="AB325" s="837"/>
      <c r="AC325" s="837"/>
      <c r="AD325" s="837"/>
    </row>
    <row r="326" spans="1:30" ht="24" customHeight="1">
      <c r="A326" s="263" t="s">
        <v>1122</v>
      </c>
      <c r="B326" s="429"/>
      <c r="C326" s="429"/>
      <c r="D326" s="912" t="s">
        <v>1174</v>
      </c>
      <c r="E326" s="912"/>
      <c r="F326" s="912"/>
      <c r="G326" s="912"/>
      <c r="H326" s="912"/>
      <c r="I326" s="912"/>
      <c r="J326" s="912"/>
      <c r="K326" s="912"/>
      <c r="L326" s="212">
        <v>3601</v>
      </c>
      <c r="M326" s="212">
        <v>0</v>
      </c>
      <c r="N326" s="156">
        <v>0</v>
      </c>
      <c r="O326" s="156">
        <v>0</v>
      </c>
      <c r="P326" s="153">
        <v>0</v>
      </c>
      <c r="Q326" s="153">
        <v>0</v>
      </c>
      <c r="R326" s="153">
        <v>0</v>
      </c>
      <c r="S326" s="153">
        <v>0</v>
      </c>
      <c r="T326" s="153">
        <v>0</v>
      </c>
      <c r="X326" s="182"/>
      <c r="Y326" s="182"/>
      <c r="Z326" s="182"/>
      <c r="AA326" s="182"/>
      <c r="AB326" s="182"/>
      <c r="AC326" s="182"/>
    </row>
    <row r="327" spans="1:30" ht="24" customHeight="1">
      <c r="A327" s="263" t="s">
        <v>254</v>
      </c>
      <c r="B327" s="264"/>
      <c r="C327" s="264"/>
      <c r="D327" s="907" t="s">
        <v>6</v>
      </c>
      <c r="E327" s="907"/>
      <c r="F327" s="907"/>
      <c r="G327" s="907"/>
      <c r="H327" s="907"/>
      <c r="I327" s="907"/>
      <c r="J327" s="907"/>
      <c r="K327" s="907"/>
      <c r="L327" s="212">
        <v>813</v>
      </c>
      <c r="M327" s="212">
        <v>3556</v>
      </c>
      <c r="N327" s="156">
        <v>1500</v>
      </c>
      <c r="O327" s="156">
        <v>7500</v>
      </c>
      <c r="P327" s="153">
        <v>5000</v>
      </c>
      <c r="Q327" s="153">
        <v>3000</v>
      </c>
      <c r="R327" s="153">
        <v>1000</v>
      </c>
      <c r="S327" s="153">
        <v>0</v>
      </c>
      <c r="T327" s="153">
        <v>0</v>
      </c>
      <c r="V327" s="152"/>
      <c r="X327" s="163"/>
      <c r="Y327" s="163"/>
      <c r="Z327" s="163"/>
      <c r="AA327" s="163"/>
      <c r="AB327" s="163"/>
      <c r="AC327" s="163"/>
      <c r="AD327" s="163"/>
    </row>
    <row r="328" spans="1:30" ht="24" customHeight="1">
      <c r="A328" s="263" t="s">
        <v>890</v>
      </c>
      <c r="B328" s="202"/>
      <c r="C328" s="202"/>
      <c r="D328" s="263" t="s">
        <v>61</v>
      </c>
      <c r="E328" s="202"/>
      <c r="F328" s="202"/>
      <c r="G328" s="202"/>
      <c r="H328" s="202"/>
      <c r="I328" s="202"/>
      <c r="J328" s="202"/>
      <c r="K328" s="202"/>
      <c r="L328" s="212">
        <v>3564</v>
      </c>
      <c r="M328" s="212">
        <v>0</v>
      </c>
      <c r="N328" s="156">
        <v>0</v>
      </c>
      <c r="O328" s="156">
        <v>0</v>
      </c>
      <c r="P328" s="153">
        <v>0</v>
      </c>
      <c r="Q328" s="153">
        <v>0</v>
      </c>
      <c r="R328" s="153">
        <v>0</v>
      </c>
      <c r="S328" s="153">
        <v>0</v>
      </c>
      <c r="T328" s="153">
        <v>0</v>
      </c>
    </row>
    <row r="329" spans="1:30" ht="24" customHeight="1">
      <c r="A329" s="263" t="s">
        <v>1152</v>
      </c>
      <c r="B329" s="462"/>
      <c r="C329" s="462"/>
      <c r="D329" s="263" t="s">
        <v>255</v>
      </c>
      <c r="E329" s="463"/>
      <c r="F329" s="463"/>
      <c r="G329" s="463"/>
      <c r="H329" s="463"/>
      <c r="I329" s="463"/>
      <c r="J329" s="463"/>
      <c r="K329" s="463"/>
      <c r="L329" s="212">
        <v>25407</v>
      </c>
      <c r="M329" s="212">
        <v>33750</v>
      </c>
      <c r="N329" s="156">
        <v>0</v>
      </c>
      <c r="O329" s="156">
        <v>0</v>
      </c>
      <c r="P329" s="153">
        <v>0</v>
      </c>
      <c r="Q329" s="153">
        <v>0</v>
      </c>
      <c r="R329" s="153">
        <v>0</v>
      </c>
      <c r="S329" s="153">
        <v>0</v>
      </c>
      <c r="T329" s="153">
        <v>0</v>
      </c>
    </row>
    <row r="330" spans="1:30" ht="24" customHeight="1">
      <c r="A330" s="263" t="s">
        <v>1153</v>
      </c>
      <c r="B330" s="462"/>
      <c r="C330" s="462"/>
      <c r="D330" s="263" t="s">
        <v>1151</v>
      </c>
      <c r="E330" s="463"/>
      <c r="F330" s="463"/>
      <c r="G330" s="463"/>
      <c r="H330" s="463"/>
      <c r="I330" s="463"/>
      <c r="J330" s="463"/>
      <c r="K330" s="463"/>
      <c r="L330" s="217">
        <v>5544</v>
      </c>
      <c r="M330" s="217">
        <v>0</v>
      </c>
      <c r="N330" s="162">
        <v>0</v>
      </c>
      <c r="O330" s="162">
        <v>0</v>
      </c>
      <c r="P330" s="161">
        <v>0</v>
      </c>
      <c r="Q330" s="161">
        <v>0</v>
      </c>
      <c r="R330" s="161">
        <v>0</v>
      </c>
      <c r="S330" s="161">
        <v>0</v>
      </c>
      <c r="T330" s="161">
        <v>0</v>
      </c>
      <c r="V330" s="151"/>
    </row>
    <row r="331" spans="1:30" ht="15" customHeight="1">
      <c r="A331" s="202"/>
      <c r="B331" s="202"/>
      <c r="C331" s="202"/>
      <c r="D331" s="202"/>
      <c r="E331" s="202"/>
      <c r="F331" s="202"/>
      <c r="G331" s="202"/>
      <c r="H331" s="202"/>
      <c r="I331" s="202"/>
      <c r="J331" s="202"/>
      <c r="K331" s="202"/>
      <c r="L331" s="218"/>
      <c r="M331" s="218"/>
      <c r="N331" s="164"/>
      <c r="O331" s="164"/>
      <c r="P331" s="163"/>
      <c r="Q331" s="163"/>
      <c r="R331" s="163"/>
      <c r="S331" s="163"/>
      <c r="T331" s="163"/>
    </row>
    <row r="332" spans="1:30" s="202" customFormat="1" ht="24" customHeight="1">
      <c r="K332" s="267" t="s">
        <v>481</v>
      </c>
      <c r="L332" s="220">
        <f>SUM(L323:L331)</f>
        <v>600899</v>
      </c>
      <c r="M332" s="220">
        <f>SUM(M323:M331)</f>
        <v>508122</v>
      </c>
      <c r="N332" s="221">
        <f t="shared" ref="N332:S332" si="37">SUM(N323:N331)</f>
        <v>494116</v>
      </c>
      <c r="O332" s="221">
        <f t="shared" si="37"/>
        <v>506819</v>
      </c>
      <c r="P332" s="220">
        <f t="shared" si="37"/>
        <v>535817</v>
      </c>
      <c r="Q332" s="220">
        <f t="shared" si="37"/>
        <v>543613</v>
      </c>
      <c r="R332" s="220">
        <f t="shared" si="37"/>
        <v>551605</v>
      </c>
      <c r="S332" s="220">
        <f t="shared" si="37"/>
        <v>560797</v>
      </c>
      <c r="T332" s="220">
        <f>SUM(T323:T331)</f>
        <v>571193</v>
      </c>
      <c r="U332" s="65"/>
      <c r="V332" s="845"/>
      <c r="W332" s="845"/>
      <c r="X332" s="844"/>
      <c r="Y332" s="838"/>
      <c r="Z332" s="838"/>
      <c r="AA332" s="838"/>
      <c r="AB332" s="838"/>
      <c r="AC332" s="838"/>
      <c r="AD332" s="838"/>
    </row>
    <row r="333" spans="1:30" ht="15" customHeight="1">
      <c r="A333" s="202"/>
      <c r="B333" s="202"/>
      <c r="C333" s="202"/>
      <c r="D333" s="202"/>
      <c r="E333" s="202"/>
      <c r="F333" s="202"/>
      <c r="G333" s="202"/>
      <c r="H333" s="202"/>
      <c r="I333" s="202"/>
      <c r="J333" s="202"/>
      <c r="K333" s="202"/>
      <c r="L333" s="220"/>
      <c r="M333" s="220"/>
      <c r="N333" s="167"/>
      <c r="O333" s="167"/>
      <c r="P333" s="166"/>
      <c r="Q333" s="166"/>
      <c r="R333" s="166"/>
      <c r="S333" s="166"/>
      <c r="T333" s="166"/>
    </row>
    <row r="334" spans="1:30" ht="24" customHeight="1">
      <c r="A334" s="780" t="s">
        <v>882</v>
      </c>
      <c r="B334" s="779"/>
      <c r="C334" s="779"/>
      <c r="D334" s="780" t="s">
        <v>883</v>
      </c>
      <c r="E334" s="779"/>
      <c r="F334" s="779"/>
      <c r="G334" s="266"/>
      <c r="H334" s="266"/>
      <c r="I334" s="266"/>
      <c r="J334" s="266"/>
      <c r="K334" s="266"/>
      <c r="L334" s="228">
        <v>7750</v>
      </c>
      <c r="M334" s="228">
        <v>7750</v>
      </c>
      <c r="N334" s="185">
        <v>7750</v>
      </c>
      <c r="O334" s="185">
        <v>7750</v>
      </c>
      <c r="P334" s="177">
        <v>0</v>
      </c>
      <c r="Q334" s="177">
        <v>0</v>
      </c>
      <c r="R334" s="177">
        <v>0</v>
      </c>
      <c r="S334" s="177">
        <v>0</v>
      </c>
      <c r="T334" s="177">
        <v>0</v>
      </c>
      <c r="V334" s="148"/>
    </row>
    <row r="335" spans="1:30" ht="24" customHeight="1">
      <c r="A335" s="263" t="s">
        <v>1032</v>
      </c>
      <c r="B335" s="350"/>
      <c r="C335" s="350"/>
      <c r="D335" s="631" t="s">
        <v>1033</v>
      </c>
      <c r="E335" s="634"/>
      <c r="F335" s="634"/>
      <c r="G335" s="266"/>
      <c r="H335" s="266"/>
      <c r="I335" s="266"/>
      <c r="J335" s="266"/>
      <c r="K335" s="266"/>
      <c r="L335" s="228">
        <v>94668</v>
      </c>
      <c r="M335" s="228">
        <v>97923</v>
      </c>
      <c r="N335" s="150">
        <v>116600</v>
      </c>
      <c r="O335" s="150">
        <v>100000</v>
      </c>
      <c r="P335" s="149">
        <v>97000</v>
      </c>
      <c r="Q335" s="149">
        <v>0</v>
      </c>
      <c r="R335" s="149">
        <v>0</v>
      </c>
      <c r="S335" s="149">
        <v>0</v>
      </c>
      <c r="T335" s="149">
        <v>0</v>
      </c>
      <c r="V335" s="148"/>
    </row>
    <row r="336" spans="1:30" ht="24" customHeight="1">
      <c r="A336" s="263" t="s">
        <v>256</v>
      </c>
      <c r="B336" s="264"/>
      <c r="C336" s="264"/>
      <c r="D336" s="263" t="s">
        <v>257</v>
      </c>
      <c r="E336" s="326"/>
      <c r="F336" s="326"/>
      <c r="G336" s="326"/>
      <c r="H336" s="326"/>
      <c r="I336" s="326"/>
      <c r="J336" s="326"/>
      <c r="K336" s="326"/>
      <c r="L336" s="212">
        <v>103119</v>
      </c>
      <c r="M336" s="212">
        <v>64396</v>
      </c>
      <c r="N336" s="156">
        <v>140000</v>
      </c>
      <c r="O336" s="156">
        <v>140000</v>
      </c>
      <c r="P336" s="153">
        <v>90000</v>
      </c>
      <c r="Q336" s="153">
        <v>0</v>
      </c>
      <c r="R336" s="153">
        <v>0</v>
      </c>
      <c r="S336" s="153">
        <v>0</v>
      </c>
      <c r="T336" s="153">
        <v>0</v>
      </c>
      <c r="V336" s="151"/>
    </row>
    <row r="337" spans="1:30" ht="24" customHeight="1">
      <c r="A337" s="263" t="s">
        <v>258</v>
      </c>
      <c r="B337" s="264"/>
      <c r="C337" s="264"/>
      <c r="D337" s="263" t="s">
        <v>259</v>
      </c>
      <c r="E337" s="264"/>
      <c r="F337" s="264"/>
      <c r="G337" s="264"/>
      <c r="H337" s="264"/>
      <c r="I337" s="264"/>
      <c r="J337" s="264"/>
      <c r="K337" s="264"/>
      <c r="L337" s="212">
        <v>8797</v>
      </c>
      <c r="M337" s="212">
        <v>15640</v>
      </c>
      <c r="N337" s="156">
        <v>15000</v>
      </c>
      <c r="O337" s="156">
        <v>15000</v>
      </c>
      <c r="P337" s="153">
        <v>0</v>
      </c>
      <c r="Q337" s="153">
        <v>0</v>
      </c>
      <c r="R337" s="153">
        <v>0</v>
      </c>
      <c r="S337" s="153">
        <v>0</v>
      </c>
      <c r="T337" s="153">
        <v>0</v>
      </c>
      <c r="V337" s="148"/>
    </row>
    <row r="338" spans="1:30" ht="24" customHeight="1">
      <c r="A338" s="263" t="s">
        <v>260</v>
      </c>
      <c r="B338" s="264"/>
      <c r="C338" s="264"/>
      <c r="D338" s="263" t="s">
        <v>261</v>
      </c>
      <c r="E338" s="264"/>
      <c r="F338" s="264"/>
      <c r="G338" s="264"/>
      <c r="H338" s="264"/>
      <c r="I338" s="264"/>
      <c r="J338" s="264"/>
      <c r="K338" s="264"/>
      <c r="L338" s="209">
        <v>11706</v>
      </c>
      <c r="M338" s="209">
        <v>8892</v>
      </c>
      <c r="N338" s="147">
        <v>19000</v>
      </c>
      <c r="O338" s="147">
        <v>19000</v>
      </c>
      <c r="P338" s="146">
        <v>0</v>
      </c>
      <c r="Q338" s="146">
        <v>0</v>
      </c>
      <c r="R338" s="146">
        <v>0</v>
      </c>
      <c r="S338" s="146">
        <v>0</v>
      </c>
      <c r="T338" s="146">
        <v>0</v>
      </c>
      <c r="V338" s="148"/>
      <c r="X338" s="850"/>
      <c r="Y338" s="850"/>
      <c r="Z338" s="850"/>
      <c r="AA338" s="850"/>
      <c r="AB338" s="850"/>
    </row>
    <row r="339" spans="1:30" ht="24" customHeight="1">
      <c r="A339" s="263" t="s">
        <v>262</v>
      </c>
      <c r="B339" s="264"/>
      <c r="C339" s="264"/>
      <c r="D339" s="263" t="s">
        <v>263</v>
      </c>
      <c r="E339" s="486"/>
      <c r="F339" s="486"/>
      <c r="G339" s="486"/>
      <c r="H339" s="486"/>
      <c r="I339" s="486"/>
      <c r="J339" s="486"/>
      <c r="K339" s="486"/>
      <c r="L339" s="209">
        <v>12768</v>
      </c>
      <c r="M339" s="209">
        <v>15352</v>
      </c>
      <c r="N339" s="147">
        <v>19000</v>
      </c>
      <c r="O339" s="147">
        <v>19000</v>
      </c>
      <c r="P339" s="146">
        <v>0</v>
      </c>
      <c r="Q339" s="146">
        <v>0</v>
      </c>
      <c r="R339" s="146">
        <v>0</v>
      </c>
      <c r="S339" s="146">
        <v>0</v>
      </c>
      <c r="T339" s="146">
        <v>0</v>
      </c>
      <c r="V339" s="148"/>
    </row>
    <row r="340" spans="1:30" ht="24" customHeight="1">
      <c r="A340" s="583" t="s">
        <v>1236</v>
      </c>
      <c r="B340" s="582"/>
      <c r="C340" s="582"/>
      <c r="D340" s="598" t="s">
        <v>1239</v>
      </c>
      <c r="E340" s="597"/>
      <c r="F340" s="597"/>
      <c r="G340" s="597"/>
      <c r="H340" s="597"/>
      <c r="I340" s="597"/>
      <c r="J340" s="597"/>
      <c r="K340" s="597"/>
      <c r="L340" s="209">
        <v>0</v>
      </c>
      <c r="M340" s="209">
        <v>15381</v>
      </c>
      <c r="N340" s="147">
        <v>15000</v>
      </c>
      <c r="O340" s="147">
        <v>15000</v>
      </c>
      <c r="P340" s="146">
        <v>0</v>
      </c>
      <c r="Q340" s="146">
        <v>0</v>
      </c>
      <c r="R340" s="146">
        <v>0</v>
      </c>
      <c r="S340" s="146">
        <v>0</v>
      </c>
      <c r="T340" s="146">
        <v>0</v>
      </c>
      <c r="V340" s="148"/>
    </row>
    <row r="341" spans="1:30" ht="24" customHeight="1">
      <c r="A341" s="783" t="s">
        <v>992</v>
      </c>
      <c r="B341" s="782"/>
      <c r="C341" s="782"/>
      <c r="D341" s="783" t="s">
        <v>993</v>
      </c>
      <c r="E341" s="782"/>
      <c r="F341" s="782"/>
      <c r="G341" s="782"/>
      <c r="H341" s="782"/>
      <c r="I341" s="782"/>
      <c r="J341" s="782"/>
      <c r="K341" s="782"/>
      <c r="L341" s="212">
        <v>1190</v>
      </c>
      <c r="M341" s="212">
        <v>0</v>
      </c>
      <c r="N341" s="156">
        <v>50000</v>
      </c>
      <c r="O341" s="156">
        <v>25000</v>
      </c>
      <c r="P341" s="153">
        <v>25000</v>
      </c>
      <c r="Q341" s="153">
        <v>0</v>
      </c>
      <c r="R341" s="153">
        <v>0</v>
      </c>
      <c r="S341" s="153">
        <v>0</v>
      </c>
      <c r="T341" s="153">
        <v>0</v>
      </c>
      <c r="V341" s="148"/>
      <c r="W341" s="148"/>
      <c r="X341" s="837"/>
      <c r="Y341" s="837"/>
      <c r="Z341" s="837"/>
      <c r="AA341" s="837"/>
      <c r="AB341" s="837"/>
      <c r="AC341" s="837"/>
      <c r="AD341" s="837"/>
    </row>
    <row r="342" spans="1:30" ht="24" customHeight="1">
      <c r="A342" s="774" t="s">
        <v>902</v>
      </c>
      <c r="B342" s="773"/>
      <c r="C342" s="773"/>
      <c r="D342" s="265" t="s">
        <v>970</v>
      </c>
      <c r="E342" s="773"/>
      <c r="F342" s="773"/>
      <c r="G342" s="773"/>
      <c r="H342" s="773"/>
      <c r="I342" s="773"/>
      <c r="J342" s="773"/>
      <c r="K342" s="773"/>
      <c r="L342" s="212">
        <v>300000</v>
      </c>
      <c r="M342" s="212">
        <v>300000</v>
      </c>
      <c r="N342" s="156">
        <v>300000</v>
      </c>
      <c r="O342" s="156">
        <v>300000</v>
      </c>
      <c r="P342" s="153">
        <v>406000</v>
      </c>
      <c r="Q342" s="153">
        <f>600000+100000</f>
        <v>700000</v>
      </c>
      <c r="R342" s="153">
        <f>565000+23500</f>
        <v>588500</v>
      </c>
      <c r="S342" s="153">
        <f>550000+23500</f>
        <v>573500</v>
      </c>
      <c r="T342" s="153">
        <v>547787</v>
      </c>
      <c r="V342" s="168"/>
      <c r="X342" s="182"/>
      <c r="Y342" s="182"/>
      <c r="Z342" s="182"/>
      <c r="AA342" s="182"/>
      <c r="AB342" s="182"/>
      <c r="AC342" s="182"/>
    </row>
    <row r="343" spans="1:30" ht="24" customHeight="1">
      <c r="A343" s="263" t="s">
        <v>264</v>
      </c>
      <c r="B343" s="266"/>
      <c r="C343" s="266"/>
      <c r="D343" s="538" t="s">
        <v>265</v>
      </c>
      <c r="E343" s="266"/>
      <c r="F343" s="266"/>
      <c r="G343" s="266"/>
      <c r="H343" s="266"/>
      <c r="I343" s="266"/>
      <c r="J343" s="266"/>
      <c r="K343" s="266"/>
      <c r="L343" s="212">
        <v>8558</v>
      </c>
      <c r="M343" s="212">
        <v>0</v>
      </c>
      <c r="N343" s="156">
        <v>0</v>
      </c>
      <c r="O343" s="156">
        <v>0</v>
      </c>
      <c r="P343" s="153">
        <v>0</v>
      </c>
      <c r="Q343" s="153">
        <v>0</v>
      </c>
      <c r="R343" s="153">
        <v>0</v>
      </c>
      <c r="S343" s="153">
        <v>0</v>
      </c>
      <c r="T343" s="153">
        <v>0</v>
      </c>
      <c r="X343" s="163"/>
      <c r="Y343" s="163"/>
      <c r="Z343" s="163"/>
      <c r="AA343" s="163"/>
      <c r="AB343" s="163"/>
      <c r="AC343" s="163"/>
      <c r="AD343" s="163"/>
    </row>
    <row r="344" spans="1:30" ht="24" customHeight="1">
      <c r="A344" s="263" t="s">
        <v>267</v>
      </c>
      <c r="B344" s="266"/>
      <c r="C344" s="266"/>
      <c r="D344" s="666" t="s">
        <v>268</v>
      </c>
      <c r="E344" s="266"/>
      <c r="F344" s="266"/>
      <c r="G344" s="266"/>
      <c r="H344" s="266"/>
      <c r="I344" s="266"/>
      <c r="J344" s="266"/>
      <c r="K344" s="266"/>
      <c r="L344" s="209">
        <v>73787</v>
      </c>
      <c r="M344" s="209">
        <v>73787</v>
      </c>
      <c r="N344" s="210">
        <v>73787</v>
      </c>
      <c r="O344" s="210">
        <v>73787</v>
      </c>
      <c r="P344" s="209">
        <v>73787</v>
      </c>
      <c r="Q344" s="209">
        <v>73787</v>
      </c>
      <c r="R344" s="209">
        <v>73787</v>
      </c>
      <c r="S344" s="209">
        <v>73787</v>
      </c>
      <c r="T344" s="209">
        <f>ROUND(((73787/12)*4),0)</f>
        <v>24596</v>
      </c>
      <c r="V344" s="148"/>
    </row>
    <row r="345" spans="1:30" ht="24" customHeight="1">
      <c r="A345" s="263" t="s">
        <v>903</v>
      </c>
      <c r="B345" s="266"/>
      <c r="C345" s="266"/>
      <c r="D345" s="527" t="s">
        <v>904</v>
      </c>
      <c r="E345" s="266"/>
      <c r="F345" s="266"/>
      <c r="G345" s="266"/>
      <c r="H345" s="266"/>
      <c r="I345" s="266"/>
      <c r="J345" s="266"/>
      <c r="K345" s="266"/>
      <c r="L345" s="216">
        <v>15612</v>
      </c>
      <c r="M345" s="216">
        <v>0</v>
      </c>
      <c r="N345" s="172">
        <v>0</v>
      </c>
      <c r="O345" s="172">
        <v>0</v>
      </c>
      <c r="P345" s="160">
        <v>0</v>
      </c>
      <c r="Q345" s="160">
        <v>0</v>
      </c>
      <c r="R345" s="160">
        <v>0</v>
      </c>
      <c r="S345" s="160">
        <v>0</v>
      </c>
      <c r="T345" s="160">
        <v>0</v>
      </c>
      <c r="V345" s="191"/>
      <c r="W345" s="171"/>
    </row>
    <row r="346" spans="1:30" ht="15" customHeight="1">
      <c r="A346" s="263"/>
      <c r="B346" s="202"/>
      <c r="C346" s="202"/>
      <c r="D346" s="263"/>
      <c r="E346" s="202"/>
      <c r="F346" s="202"/>
      <c r="G346" s="202"/>
      <c r="H346" s="202"/>
      <c r="I346" s="202"/>
      <c r="J346" s="202"/>
      <c r="K346" s="202"/>
      <c r="L346" s="209"/>
      <c r="M346" s="209"/>
      <c r="N346" s="147"/>
      <c r="O346" s="147"/>
      <c r="P346" s="146"/>
      <c r="Q346" s="146"/>
      <c r="R346" s="146"/>
      <c r="S346" s="146"/>
      <c r="T346" s="146"/>
    </row>
    <row r="347" spans="1:30" s="202" customFormat="1" ht="24" customHeight="1">
      <c r="K347" s="267" t="s">
        <v>484</v>
      </c>
      <c r="L347" s="237">
        <f t="shared" ref="L347:T347" si="38">SUM(L334:L346)</f>
        <v>637955</v>
      </c>
      <c r="M347" s="237">
        <f t="shared" si="38"/>
        <v>599121</v>
      </c>
      <c r="N347" s="238">
        <f t="shared" si="38"/>
        <v>756137</v>
      </c>
      <c r="O347" s="238">
        <f t="shared" si="38"/>
        <v>714537</v>
      </c>
      <c r="P347" s="237">
        <f>SUM(P334:P346)</f>
        <v>691787</v>
      </c>
      <c r="Q347" s="237">
        <f t="shared" si="38"/>
        <v>773787</v>
      </c>
      <c r="R347" s="237">
        <f t="shared" si="38"/>
        <v>662287</v>
      </c>
      <c r="S347" s="237">
        <f t="shared" si="38"/>
        <v>647287</v>
      </c>
      <c r="T347" s="237">
        <f t="shared" si="38"/>
        <v>572383</v>
      </c>
      <c r="U347" s="65"/>
      <c r="V347" s="845"/>
      <c r="W347" s="845"/>
      <c r="X347" s="844"/>
      <c r="Y347" s="838"/>
      <c r="Z347" s="838"/>
      <c r="AA347" s="838"/>
      <c r="AB347" s="838"/>
      <c r="AC347" s="838"/>
      <c r="AD347" s="838"/>
    </row>
    <row r="348" spans="1:30" s="202" customFormat="1" ht="15" customHeight="1">
      <c r="L348" s="237"/>
      <c r="M348" s="237"/>
      <c r="N348" s="238"/>
      <c r="O348" s="238"/>
      <c r="P348" s="237"/>
      <c r="Q348" s="237"/>
      <c r="R348" s="237"/>
      <c r="S348" s="237"/>
      <c r="T348" s="237"/>
      <c r="U348" s="65"/>
      <c r="V348" s="838"/>
      <c r="W348" s="838"/>
      <c r="X348" s="838"/>
      <c r="Y348" s="838"/>
      <c r="Z348" s="838"/>
      <c r="AA348" s="838"/>
      <c r="AB348" s="838"/>
      <c r="AC348" s="838"/>
      <c r="AD348" s="838"/>
    </row>
    <row r="349" spans="1:30" s="202" customFormat="1" ht="24" customHeight="1">
      <c r="K349" s="267" t="s">
        <v>485</v>
      </c>
      <c r="L349" s="237">
        <f t="shared" ref="L349:T349" si="39">L332-L347</f>
        <v>-37056</v>
      </c>
      <c r="M349" s="237">
        <f t="shared" si="39"/>
        <v>-90999</v>
      </c>
      <c r="N349" s="238">
        <f t="shared" si="39"/>
        <v>-262021</v>
      </c>
      <c r="O349" s="238">
        <f t="shared" si="39"/>
        <v>-207718</v>
      </c>
      <c r="P349" s="237">
        <f t="shared" si="39"/>
        <v>-155970</v>
      </c>
      <c r="Q349" s="237">
        <f t="shared" si="39"/>
        <v>-230174</v>
      </c>
      <c r="R349" s="237">
        <f t="shared" si="39"/>
        <v>-110682</v>
      </c>
      <c r="S349" s="237">
        <f t="shared" si="39"/>
        <v>-86490</v>
      </c>
      <c r="T349" s="237">
        <f t="shared" si="39"/>
        <v>-1190</v>
      </c>
      <c r="U349" s="65"/>
      <c r="V349" s="838"/>
      <c r="W349" s="838"/>
      <c r="X349" s="838"/>
      <c r="Y349" s="838"/>
      <c r="Z349" s="838"/>
      <c r="AA349" s="838"/>
      <c r="AB349" s="838"/>
      <c r="AC349" s="838"/>
      <c r="AD349" s="838"/>
    </row>
    <row r="350" spans="1:30" s="202" customFormat="1" ht="15" customHeight="1">
      <c r="L350" s="237"/>
      <c r="M350" s="237"/>
      <c r="N350" s="238"/>
      <c r="O350" s="238"/>
      <c r="P350" s="237"/>
      <c r="Q350" s="237"/>
      <c r="R350" s="237"/>
      <c r="S350" s="237"/>
      <c r="T350" s="237"/>
      <c r="U350" s="65"/>
      <c r="V350" s="838"/>
      <c r="W350" s="838"/>
      <c r="X350" s="838"/>
      <c r="Y350" s="838"/>
      <c r="Z350" s="838"/>
      <c r="AA350" s="838"/>
      <c r="AB350" s="838"/>
      <c r="AC350" s="838"/>
      <c r="AD350" s="838"/>
    </row>
    <row r="351" spans="1:30" s="202" customFormat="1" ht="24" customHeight="1">
      <c r="K351" s="272" t="s">
        <v>487</v>
      </c>
      <c r="L351" s="237">
        <v>883223</v>
      </c>
      <c r="M351" s="237">
        <v>792224</v>
      </c>
      <c r="N351" s="238">
        <v>438871</v>
      </c>
      <c r="O351" s="238">
        <f>M351+O349</f>
        <v>584506</v>
      </c>
      <c r="P351" s="237">
        <f>O351+P349</f>
        <v>428536</v>
      </c>
      <c r="Q351" s="237">
        <f>P351+Q349</f>
        <v>198362</v>
      </c>
      <c r="R351" s="237">
        <f>Q351+R349</f>
        <v>87680</v>
      </c>
      <c r="S351" s="237">
        <f>R351+S349</f>
        <v>1190</v>
      </c>
      <c r="T351" s="237">
        <f>S351+T349</f>
        <v>0</v>
      </c>
      <c r="U351" s="65"/>
      <c r="V351" s="838"/>
      <c r="W351" s="838"/>
      <c r="X351" s="838"/>
      <c r="Y351" s="838"/>
      <c r="Z351" s="838"/>
      <c r="AA351" s="838"/>
      <c r="AB351" s="838"/>
      <c r="AC351" s="838"/>
      <c r="AD351" s="838"/>
    </row>
    <row r="352" spans="1:30" s="790" customFormat="1" ht="15" customHeight="1">
      <c r="K352" s="272"/>
      <c r="L352" s="237"/>
      <c r="M352" s="237"/>
      <c r="N352" s="238"/>
      <c r="O352" s="238"/>
      <c r="P352" s="237"/>
      <c r="Q352" s="237"/>
      <c r="R352" s="237"/>
      <c r="S352" s="237"/>
      <c r="T352" s="237"/>
      <c r="U352" s="65"/>
      <c r="V352" s="838"/>
      <c r="W352" s="838"/>
      <c r="X352" s="838"/>
      <c r="Y352" s="838"/>
      <c r="Z352" s="838"/>
      <c r="AA352" s="838"/>
      <c r="AB352" s="838"/>
      <c r="AC352" s="838"/>
      <c r="AD352" s="838"/>
    </row>
    <row r="353" spans="1:30" ht="24" customHeight="1">
      <c r="A353" s="274" t="s">
        <v>496</v>
      </c>
      <c r="B353" s="202"/>
      <c r="C353" s="202"/>
      <c r="D353" s="202"/>
      <c r="E353" s="202"/>
      <c r="F353" s="202"/>
      <c r="G353" s="202"/>
      <c r="H353" s="202"/>
      <c r="I353" s="202"/>
      <c r="J353" s="202"/>
      <c r="K353" s="202"/>
      <c r="L353" s="261"/>
      <c r="M353" s="261"/>
      <c r="N353" s="352"/>
      <c r="O353" s="352"/>
      <c r="P353" s="353"/>
      <c r="Q353" s="353"/>
      <c r="R353" s="353"/>
      <c r="S353" s="353"/>
      <c r="T353" s="353"/>
    </row>
    <row r="354" spans="1:30" ht="15" customHeight="1">
      <c r="A354" s="202"/>
      <c r="B354" s="202"/>
      <c r="C354" s="202"/>
      <c r="D354" s="202"/>
      <c r="E354" s="202"/>
      <c r="F354" s="202"/>
      <c r="G354" s="202"/>
      <c r="H354" s="202"/>
      <c r="I354" s="202"/>
      <c r="J354" s="202"/>
      <c r="K354" s="202"/>
      <c r="L354" s="261"/>
      <c r="M354" s="261"/>
      <c r="N354" s="352"/>
      <c r="O354" s="352"/>
      <c r="P354" s="353"/>
      <c r="Q354" s="353"/>
      <c r="R354" s="353"/>
      <c r="S354" s="353"/>
      <c r="T354" s="353"/>
    </row>
    <row r="355" spans="1:30" ht="24" customHeight="1">
      <c r="A355" s="263" t="s">
        <v>1012</v>
      </c>
      <c r="B355" s="443"/>
      <c r="C355" s="742"/>
      <c r="D355" s="743" t="s">
        <v>1030</v>
      </c>
      <c r="E355" s="744"/>
      <c r="F355" s="744"/>
      <c r="G355" s="744"/>
      <c r="H355" s="744"/>
      <c r="I355" s="744"/>
      <c r="J355" s="744"/>
      <c r="K355" s="744"/>
      <c r="L355" s="232">
        <v>11244</v>
      </c>
      <c r="M355" s="232">
        <v>31109</v>
      </c>
      <c r="N355" s="184">
        <v>1600</v>
      </c>
      <c r="O355" s="184">
        <f>ROUND(O419*0.8,0)</f>
        <v>540</v>
      </c>
      <c r="P355" s="169">
        <v>0</v>
      </c>
      <c r="Q355" s="169">
        <v>0</v>
      </c>
      <c r="R355" s="169">
        <v>0</v>
      </c>
      <c r="S355" s="169">
        <v>0</v>
      </c>
      <c r="T355" s="169">
        <v>0</v>
      </c>
    </row>
    <row r="356" spans="1:30" ht="24" customHeight="1">
      <c r="A356" s="580" t="s">
        <v>1218</v>
      </c>
      <c r="B356" s="579"/>
      <c r="C356" s="579"/>
      <c r="D356" s="743" t="s">
        <v>1219</v>
      </c>
      <c r="E356" s="744"/>
      <c r="F356" s="744"/>
      <c r="G356" s="744"/>
      <c r="H356" s="744"/>
      <c r="I356" s="744"/>
      <c r="J356" s="744"/>
      <c r="K356" s="744"/>
      <c r="L356" s="232">
        <v>1075</v>
      </c>
      <c r="M356" s="232">
        <v>24606</v>
      </c>
      <c r="N356" s="156">
        <v>0</v>
      </c>
      <c r="O356" s="156">
        <v>0</v>
      </c>
      <c r="P356" s="153">
        <v>0</v>
      </c>
      <c r="Q356" s="153">
        <v>0</v>
      </c>
      <c r="R356" s="153">
        <v>0</v>
      </c>
      <c r="S356" s="153">
        <v>0</v>
      </c>
      <c r="T356" s="153">
        <v>0</v>
      </c>
      <c r="V356" s="148"/>
    </row>
    <row r="357" spans="1:30" ht="24" customHeight="1">
      <c r="A357" s="263" t="s">
        <v>637</v>
      </c>
      <c r="B357" s="264"/>
      <c r="C357" s="264"/>
      <c r="D357" s="750" t="s">
        <v>1062</v>
      </c>
      <c r="E357" s="749"/>
      <c r="F357" s="749"/>
      <c r="G357" s="749"/>
      <c r="H357" s="749"/>
      <c r="I357" s="749"/>
      <c r="J357" s="749"/>
      <c r="K357" s="749"/>
      <c r="L357" s="232">
        <v>71327</v>
      </c>
      <c r="M357" s="232">
        <v>2475</v>
      </c>
      <c r="N357" s="156">
        <v>133424</v>
      </c>
      <c r="O357" s="156">
        <v>227014</v>
      </c>
      <c r="P357" s="153">
        <v>0</v>
      </c>
      <c r="Q357" s="153">
        <v>0</v>
      </c>
      <c r="R357" s="153">
        <v>0</v>
      </c>
      <c r="S357" s="153">
        <v>0</v>
      </c>
      <c r="T357" s="153">
        <v>0</v>
      </c>
      <c r="V357" s="168"/>
    </row>
    <row r="358" spans="1:30" ht="24" customHeight="1">
      <c r="A358" s="263" t="s">
        <v>1165</v>
      </c>
      <c r="B358" s="470"/>
      <c r="C358" s="470"/>
      <c r="D358" s="912" t="s">
        <v>1164</v>
      </c>
      <c r="E358" s="912"/>
      <c r="F358" s="912"/>
      <c r="G358" s="912"/>
      <c r="H358" s="912"/>
      <c r="I358" s="912"/>
      <c r="J358" s="912"/>
      <c r="K358" s="912"/>
      <c r="L358" s="212">
        <v>52076</v>
      </c>
      <c r="M358" s="212">
        <v>476164</v>
      </c>
      <c r="N358" s="156">
        <v>65200</v>
      </c>
      <c r="O358" s="156">
        <f>O407</f>
        <v>65200</v>
      </c>
      <c r="P358" s="153">
        <v>0</v>
      </c>
      <c r="Q358" s="153">
        <v>0</v>
      </c>
      <c r="R358" s="153">
        <v>0</v>
      </c>
      <c r="S358" s="153">
        <v>0</v>
      </c>
      <c r="T358" s="153">
        <v>0</v>
      </c>
      <c r="V358" s="148"/>
    </row>
    <row r="359" spans="1:30" ht="24" customHeight="1">
      <c r="A359" s="263" t="s">
        <v>274</v>
      </c>
      <c r="B359" s="264"/>
      <c r="C359" s="264"/>
      <c r="D359" s="739" t="s">
        <v>50</v>
      </c>
      <c r="E359" s="737"/>
      <c r="F359" s="738"/>
      <c r="G359" s="266"/>
      <c r="H359" s="266"/>
      <c r="I359" s="266"/>
      <c r="J359" s="266"/>
      <c r="K359" s="266"/>
      <c r="L359" s="209">
        <v>0</v>
      </c>
      <c r="M359" s="209">
        <v>35365</v>
      </c>
      <c r="N359" s="170">
        <v>0</v>
      </c>
      <c r="O359" s="170">
        <v>50000</v>
      </c>
      <c r="P359" s="169">
        <v>0</v>
      </c>
      <c r="Q359" s="169">
        <v>0</v>
      </c>
      <c r="R359" s="169">
        <v>0</v>
      </c>
      <c r="S359" s="169">
        <v>0</v>
      </c>
      <c r="T359" s="169">
        <v>0</v>
      </c>
      <c r="V359" s="401"/>
      <c r="W359" s="401"/>
      <c r="X359" s="401"/>
      <c r="Y359" s="401"/>
      <c r="Z359" s="401"/>
      <c r="AA359" s="401"/>
      <c r="AB359" s="151"/>
      <c r="AC359" s="148"/>
      <c r="AD359" s="148"/>
    </row>
    <row r="360" spans="1:30" ht="24" customHeight="1">
      <c r="A360" s="263" t="s">
        <v>276</v>
      </c>
      <c r="B360" s="264"/>
      <c r="C360" s="264"/>
      <c r="D360" s="263" t="s">
        <v>1038</v>
      </c>
      <c r="E360" s="509"/>
      <c r="F360" s="511"/>
      <c r="G360" s="511"/>
      <c r="H360" s="511"/>
      <c r="I360" s="511"/>
      <c r="J360" s="511"/>
      <c r="K360" s="511"/>
      <c r="L360" s="224">
        <v>6150</v>
      </c>
      <c r="M360" s="224">
        <v>1085</v>
      </c>
      <c r="N360" s="170">
        <v>6000</v>
      </c>
      <c r="O360" s="170">
        <v>3500</v>
      </c>
      <c r="P360" s="169">
        <v>3500</v>
      </c>
      <c r="Q360" s="169">
        <v>3500</v>
      </c>
      <c r="R360" s="169">
        <v>3500</v>
      </c>
      <c r="S360" s="169">
        <v>3500</v>
      </c>
      <c r="T360" s="169">
        <v>3500</v>
      </c>
      <c r="V360" s="371"/>
      <c r="W360" s="862"/>
      <c r="X360" s="862"/>
      <c r="Y360" s="862"/>
      <c r="Z360" s="862"/>
      <c r="AA360" s="862"/>
    </row>
    <row r="361" spans="1:30" ht="24" customHeight="1">
      <c r="A361" s="263" t="s">
        <v>824</v>
      </c>
      <c r="B361" s="264"/>
      <c r="C361" s="264"/>
      <c r="D361" s="750" t="s">
        <v>825</v>
      </c>
      <c r="E361" s="748"/>
      <c r="F361" s="749"/>
      <c r="G361" s="749"/>
      <c r="H361" s="749"/>
      <c r="I361" s="749"/>
      <c r="J361" s="749"/>
      <c r="K361" s="749"/>
      <c r="L361" s="224">
        <v>85565</v>
      </c>
      <c r="M361" s="224">
        <v>61008</v>
      </c>
      <c r="N361" s="170">
        <v>0</v>
      </c>
      <c r="O361" s="170">
        <v>0</v>
      </c>
      <c r="P361" s="169">
        <v>0</v>
      </c>
      <c r="Q361" s="169">
        <v>0</v>
      </c>
      <c r="R361" s="169">
        <v>0</v>
      </c>
      <c r="S361" s="169">
        <v>0</v>
      </c>
      <c r="T361" s="169">
        <v>0</v>
      </c>
      <c r="V361" s="863"/>
      <c r="W361" s="433"/>
      <c r="X361" s="433"/>
      <c r="Y361" s="433"/>
      <c r="Z361" s="433"/>
      <c r="AA361" s="433"/>
    </row>
    <row r="362" spans="1:30" ht="24" customHeight="1">
      <c r="A362" s="263" t="s">
        <v>850</v>
      </c>
      <c r="B362" s="264"/>
      <c r="C362" s="264"/>
      <c r="D362" s="263" t="s">
        <v>851</v>
      </c>
      <c r="E362" s="264"/>
      <c r="F362" s="202"/>
      <c r="G362" s="202"/>
      <c r="H362" s="202"/>
      <c r="I362" s="202"/>
      <c r="J362" s="202"/>
      <c r="K362" s="202"/>
      <c r="L362" s="224">
        <v>7077</v>
      </c>
      <c r="M362" s="224">
        <v>9645</v>
      </c>
      <c r="N362" s="170">
        <v>7000</v>
      </c>
      <c r="O362" s="170">
        <v>30000</v>
      </c>
      <c r="P362" s="169">
        <f>ROUND(150*120,0)</f>
        <v>18000</v>
      </c>
      <c r="Q362" s="169">
        <f>ROUND(110*150,0)</f>
        <v>16500</v>
      </c>
      <c r="R362" s="169">
        <f>ROUND(110*150,0)</f>
        <v>16500</v>
      </c>
      <c r="S362" s="169">
        <f>ROUND(110*150,0)</f>
        <v>16500</v>
      </c>
      <c r="T362" s="169">
        <f>ROUND(110*150,0)</f>
        <v>16500</v>
      </c>
      <c r="V362" s="371"/>
      <c r="W362" s="433"/>
      <c r="X362" s="433"/>
      <c r="Y362" s="433"/>
      <c r="Z362" s="433"/>
      <c r="AA362" s="433"/>
    </row>
    <row r="363" spans="1:30" ht="24" customHeight="1">
      <c r="A363" s="263" t="s">
        <v>277</v>
      </c>
      <c r="B363" s="202"/>
      <c r="C363" s="202"/>
      <c r="D363" s="263" t="s">
        <v>278</v>
      </c>
      <c r="E363" s="511"/>
      <c r="F363" s="511"/>
      <c r="G363" s="511"/>
      <c r="H363" s="511"/>
      <c r="I363" s="511"/>
      <c r="J363" s="511"/>
      <c r="K363" s="511"/>
      <c r="L363" s="224">
        <v>40000</v>
      </c>
      <c r="M363" s="224">
        <v>88000</v>
      </c>
      <c r="N363" s="170">
        <v>60000</v>
      </c>
      <c r="O363" s="170">
        <v>90000</v>
      </c>
      <c r="P363" s="169">
        <v>70000</v>
      </c>
      <c r="Q363" s="169">
        <v>70000</v>
      </c>
      <c r="R363" s="169">
        <v>70000</v>
      </c>
      <c r="S363" s="169">
        <v>70000</v>
      </c>
      <c r="T363" s="169">
        <v>70000</v>
      </c>
      <c r="V363" s="151"/>
      <c r="W363" s="433"/>
      <c r="X363" s="433"/>
      <c r="Y363" s="433"/>
      <c r="Z363" s="433"/>
      <c r="AA363" s="433"/>
    </row>
    <row r="364" spans="1:30" ht="24" customHeight="1">
      <c r="A364" s="580" t="s">
        <v>1220</v>
      </c>
      <c r="B364" s="581"/>
      <c r="C364" s="581"/>
      <c r="D364" s="624" t="s">
        <v>1213</v>
      </c>
      <c r="E364" s="581"/>
      <c r="F364" s="581"/>
      <c r="G364" s="581"/>
      <c r="H364" s="581"/>
      <c r="I364" s="581"/>
      <c r="J364" s="581"/>
      <c r="K364" s="581"/>
      <c r="L364" s="224">
        <v>2411</v>
      </c>
      <c r="M364" s="224">
        <v>900</v>
      </c>
      <c r="N364" s="170">
        <v>0</v>
      </c>
      <c r="O364" s="170">
        <v>0</v>
      </c>
      <c r="P364" s="169">
        <v>0</v>
      </c>
      <c r="Q364" s="169">
        <v>0</v>
      </c>
      <c r="R364" s="169">
        <v>0</v>
      </c>
      <c r="S364" s="169">
        <v>0</v>
      </c>
      <c r="T364" s="169">
        <v>0</v>
      </c>
      <c r="V364" s="371"/>
      <c r="W364" s="433"/>
      <c r="X364" s="433"/>
      <c r="Y364" s="433"/>
      <c r="Z364" s="433"/>
      <c r="AA364" s="433"/>
    </row>
    <row r="365" spans="1:30" ht="24" customHeight="1">
      <c r="A365" s="263" t="s">
        <v>931</v>
      </c>
      <c r="B365" s="202"/>
      <c r="C365" s="202"/>
      <c r="D365" s="647" t="s">
        <v>932</v>
      </c>
      <c r="E365" s="648"/>
      <c r="F365" s="648"/>
      <c r="G365" s="648"/>
      <c r="H365" s="648"/>
      <c r="I365" s="648"/>
      <c r="J365" s="648"/>
      <c r="K365" s="648"/>
      <c r="L365" s="224">
        <v>700156</v>
      </c>
      <c r="M365" s="224">
        <v>718872</v>
      </c>
      <c r="N365" s="210">
        <v>700000</v>
      </c>
      <c r="O365" s="210">
        <v>730000</v>
      </c>
      <c r="P365" s="209">
        <v>730000</v>
      </c>
      <c r="Q365" s="209">
        <v>735000</v>
      </c>
      <c r="R365" s="209">
        <v>735000</v>
      </c>
      <c r="S365" s="209">
        <v>740000</v>
      </c>
      <c r="T365" s="209">
        <v>740000</v>
      </c>
      <c r="V365" s="371"/>
      <c r="W365" s="371"/>
      <c r="X365" s="371"/>
      <c r="Y365" s="371"/>
      <c r="Z365" s="371"/>
      <c r="AA365" s="371"/>
      <c r="AB365" s="151"/>
    </row>
    <row r="366" spans="1:30" ht="24" customHeight="1">
      <c r="A366" s="263" t="s">
        <v>279</v>
      </c>
      <c r="B366" s="264"/>
      <c r="C366" s="525"/>
      <c r="D366" s="907" t="s">
        <v>6</v>
      </c>
      <c r="E366" s="907"/>
      <c r="F366" s="907"/>
      <c r="G366" s="907"/>
      <c r="H366" s="907"/>
      <c r="I366" s="907"/>
      <c r="J366" s="907"/>
      <c r="K366" s="907"/>
      <c r="L366" s="212">
        <v>1630</v>
      </c>
      <c r="M366" s="212">
        <v>3703</v>
      </c>
      <c r="N366" s="156">
        <v>1000</v>
      </c>
      <c r="O366" s="156">
        <v>6750</v>
      </c>
      <c r="P366" s="153">
        <v>1000</v>
      </c>
      <c r="Q366" s="153">
        <v>0</v>
      </c>
      <c r="R366" s="153">
        <v>0</v>
      </c>
      <c r="S366" s="153">
        <v>0</v>
      </c>
      <c r="T366" s="153">
        <v>0</v>
      </c>
      <c r="V366" s="152"/>
      <c r="W366" s="728"/>
      <c r="X366" s="728"/>
      <c r="Y366" s="728"/>
      <c r="Z366" s="728"/>
      <c r="AA366" s="728"/>
      <c r="AB366" s="151"/>
    </row>
    <row r="367" spans="1:30" ht="24" customHeight="1">
      <c r="A367" s="263" t="s">
        <v>1123</v>
      </c>
      <c r="B367" s="434"/>
      <c r="C367" s="434"/>
      <c r="D367" s="697" t="s">
        <v>1124</v>
      </c>
      <c r="E367" s="434"/>
      <c r="F367" s="434"/>
      <c r="G367" s="434"/>
      <c r="H367" s="434"/>
      <c r="I367" s="434"/>
      <c r="J367" s="434"/>
      <c r="K367" s="434"/>
      <c r="L367" s="212">
        <v>316905</v>
      </c>
      <c r="M367" s="212">
        <v>0</v>
      </c>
      <c r="N367" s="156">
        <v>0</v>
      </c>
      <c r="O367" s="156">
        <v>0</v>
      </c>
      <c r="P367" s="153">
        <v>0</v>
      </c>
      <c r="Q367" s="153">
        <v>0</v>
      </c>
      <c r="R367" s="153">
        <v>0</v>
      </c>
      <c r="S367" s="153">
        <v>0</v>
      </c>
      <c r="T367" s="153">
        <v>0</v>
      </c>
      <c r="V367" s="371"/>
      <c r="W367" s="729"/>
      <c r="X367" s="729"/>
      <c r="Y367" s="729"/>
      <c r="Z367" s="729"/>
      <c r="AA367" s="729"/>
    </row>
    <row r="368" spans="1:30" ht="24" customHeight="1">
      <c r="A368" s="580" t="s">
        <v>1221</v>
      </c>
      <c r="B368" s="579"/>
      <c r="C368" s="579"/>
      <c r="D368" s="636" t="s">
        <v>1222</v>
      </c>
      <c r="E368" s="636"/>
      <c r="F368" s="636"/>
      <c r="G368" s="636"/>
      <c r="H368" s="636"/>
      <c r="I368" s="636"/>
      <c r="J368" s="636"/>
      <c r="K368" s="636"/>
      <c r="L368" s="212">
        <v>11999</v>
      </c>
      <c r="M368" s="212">
        <v>131574</v>
      </c>
      <c r="N368" s="156">
        <v>0</v>
      </c>
      <c r="O368" s="156">
        <f t="shared" ref="O368:T368" si="40">O409</f>
        <v>7797</v>
      </c>
      <c r="P368" s="153">
        <f t="shared" si="40"/>
        <v>7549</v>
      </c>
      <c r="Q368" s="153">
        <f t="shared" si="40"/>
        <v>7549</v>
      </c>
      <c r="R368" s="153">
        <f t="shared" si="40"/>
        <v>7549</v>
      </c>
      <c r="S368" s="153">
        <f t="shared" si="40"/>
        <v>0</v>
      </c>
      <c r="T368" s="153">
        <f t="shared" si="40"/>
        <v>0</v>
      </c>
      <c r="V368" s="371"/>
      <c r="W368" s="729"/>
      <c r="X368" s="729"/>
      <c r="Y368" s="729"/>
      <c r="Z368" s="729"/>
      <c r="AA368" s="729"/>
    </row>
    <row r="369" spans="1:30" ht="24" customHeight="1">
      <c r="A369" s="684" t="s">
        <v>1304</v>
      </c>
      <c r="B369" s="683"/>
      <c r="C369" s="683"/>
      <c r="D369" s="1" t="s">
        <v>1305</v>
      </c>
      <c r="E369" s="683"/>
      <c r="F369" s="683"/>
      <c r="G369" s="683"/>
      <c r="H369" s="683"/>
      <c r="I369" s="683"/>
      <c r="J369" s="683"/>
      <c r="K369" s="683"/>
      <c r="L369" s="212">
        <v>0</v>
      </c>
      <c r="M369" s="212">
        <v>0</v>
      </c>
      <c r="N369" s="156">
        <v>160000</v>
      </c>
      <c r="O369" s="156">
        <v>160000</v>
      </c>
      <c r="P369" s="153">
        <v>0</v>
      </c>
      <c r="Q369" s="153">
        <v>0</v>
      </c>
      <c r="R369" s="153">
        <v>0</v>
      </c>
      <c r="S369" s="153">
        <v>0</v>
      </c>
      <c r="T369" s="153">
        <v>0</v>
      </c>
      <c r="V369" s="371"/>
      <c r="W369" s="729"/>
      <c r="X369" s="729"/>
      <c r="Y369" s="729"/>
      <c r="Z369" s="729"/>
      <c r="AA369" s="729"/>
    </row>
    <row r="370" spans="1:30" ht="24" customHeight="1">
      <c r="A370" s="776" t="s">
        <v>1379</v>
      </c>
      <c r="B370" s="775"/>
      <c r="C370" s="775"/>
      <c r="D370" s="1" t="s">
        <v>1380</v>
      </c>
      <c r="E370" s="775"/>
      <c r="F370" s="775"/>
      <c r="G370" s="775"/>
      <c r="H370" s="775"/>
      <c r="I370" s="775"/>
      <c r="J370" s="775"/>
      <c r="K370" s="775"/>
      <c r="L370" s="212">
        <v>0</v>
      </c>
      <c r="M370" s="212">
        <v>0</v>
      </c>
      <c r="N370" s="156">
        <v>0</v>
      </c>
      <c r="O370" s="156">
        <v>0</v>
      </c>
      <c r="P370" s="153">
        <v>0</v>
      </c>
      <c r="Q370" s="153">
        <v>0</v>
      </c>
      <c r="R370" s="153">
        <v>0</v>
      </c>
      <c r="S370" s="153">
        <v>0</v>
      </c>
      <c r="T370" s="153">
        <v>171600</v>
      </c>
      <c r="V370" s="371"/>
      <c r="W370" s="729"/>
      <c r="X370" s="729"/>
      <c r="Y370" s="729"/>
      <c r="Z370" s="729"/>
      <c r="AA370" s="729"/>
    </row>
    <row r="371" spans="1:30" ht="24" customHeight="1">
      <c r="A371" s="263" t="s">
        <v>979</v>
      </c>
      <c r="B371" s="292"/>
      <c r="C371" s="292"/>
      <c r="D371" s="451" t="s">
        <v>980</v>
      </c>
      <c r="E371" s="451"/>
      <c r="F371" s="451"/>
      <c r="G371" s="451"/>
      <c r="H371" s="451"/>
      <c r="I371" s="451"/>
      <c r="J371" s="451"/>
      <c r="K371" s="451"/>
      <c r="L371" s="212">
        <v>25703</v>
      </c>
      <c r="M371" s="212">
        <v>0</v>
      </c>
      <c r="N371" s="156">
        <v>0</v>
      </c>
      <c r="O371" s="156">
        <v>0</v>
      </c>
      <c r="P371" s="153">
        <v>0</v>
      </c>
      <c r="Q371" s="153">
        <v>0</v>
      </c>
      <c r="R371" s="153">
        <v>0</v>
      </c>
      <c r="S371" s="153">
        <v>0</v>
      </c>
      <c r="T371" s="153">
        <v>0</v>
      </c>
      <c r="V371" s="371"/>
      <c r="W371" s="432"/>
      <c r="X371" s="432"/>
      <c r="Y371" s="432"/>
      <c r="Z371" s="432"/>
      <c r="AA371" s="432"/>
    </row>
    <row r="372" spans="1:30" ht="24" customHeight="1">
      <c r="A372" s="812" t="s">
        <v>1397</v>
      </c>
      <c r="B372" s="811"/>
      <c r="C372" s="811"/>
      <c r="D372" s="811" t="s">
        <v>1398</v>
      </c>
      <c r="E372" s="811"/>
      <c r="F372" s="811"/>
      <c r="G372" s="811"/>
      <c r="H372" s="811"/>
      <c r="I372" s="811"/>
      <c r="J372" s="811"/>
      <c r="K372" s="811"/>
      <c r="L372" s="212">
        <v>0</v>
      </c>
      <c r="M372" s="212">
        <v>0</v>
      </c>
      <c r="N372" s="156">
        <v>0</v>
      </c>
      <c r="O372" s="156">
        <f t="shared" ref="O372:T372" si="41">O415</f>
        <v>16820</v>
      </c>
      <c r="P372" s="153">
        <f t="shared" si="41"/>
        <v>256528</v>
      </c>
      <c r="Q372" s="153">
        <f t="shared" si="41"/>
        <v>0</v>
      </c>
      <c r="R372" s="153">
        <f t="shared" si="41"/>
        <v>0</v>
      </c>
      <c r="S372" s="153">
        <f t="shared" si="41"/>
        <v>0</v>
      </c>
      <c r="T372" s="153">
        <f t="shared" si="41"/>
        <v>0</v>
      </c>
      <c r="V372" s="371"/>
      <c r="W372" s="432"/>
      <c r="X372" s="432"/>
      <c r="Y372" s="432"/>
      <c r="Z372" s="432"/>
      <c r="AA372" s="432"/>
    </row>
    <row r="373" spans="1:30" ht="24" customHeight="1">
      <c r="A373" s="833" t="s">
        <v>1419</v>
      </c>
      <c r="B373" s="832"/>
      <c r="C373" s="832"/>
      <c r="D373" s="832" t="s">
        <v>1420</v>
      </c>
      <c r="E373" s="832"/>
      <c r="F373" s="832"/>
      <c r="G373" s="832"/>
      <c r="H373" s="832"/>
      <c r="I373" s="832"/>
      <c r="J373" s="832"/>
      <c r="K373" s="832"/>
      <c r="L373" s="212">
        <v>0</v>
      </c>
      <c r="M373" s="212">
        <v>0</v>
      </c>
      <c r="N373" s="156">
        <v>0</v>
      </c>
      <c r="O373" s="156">
        <v>0</v>
      </c>
      <c r="P373" s="153">
        <v>800000</v>
      </c>
      <c r="Q373" s="153">
        <v>0</v>
      </c>
      <c r="R373" s="153">
        <v>0</v>
      </c>
      <c r="S373" s="153">
        <v>0</v>
      </c>
      <c r="T373" s="153">
        <v>0</v>
      </c>
      <c r="V373" s="371"/>
      <c r="W373" s="432"/>
      <c r="X373" s="432"/>
      <c r="Y373" s="432"/>
      <c r="Z373" s="432"/>
      <c r="AA373" s="432"/>
    </row>
    <row r="374" spans="1:30" ht="24" customHeight="1">
      <c r="A374" s="611" t="s">
        <v>1240</v>
      </c>
      <c r="B374" s="610"/>
      <c r="C374" s="610"/>
      <c r="D374" s="636" t="s">
        <v>1241</v>
      </c>
      <c r="E374" s="636"/>
      <c r="F374" s="636"/>
      <c r="G374" s="636"/>
      <c r="H374" s="636"/>
      <c r="I374" s="636"/>
      <c r="J374" s="636"/>
      <c r="K374" s="636"/>
      <c r="L374" s="212">
        <v>0</v>
      </c>
      <c r="M374" s="212">
        <v>63404</v>
      </c>
      <c r="N374" s="156">
        <v>0</v>
      </c>
      <c r="O374" s="156">
        <v>0</v>
      </c>
      <c r="P374" s="153">
        <v>0</v>
      </c>
      <c r="Q374" s="153">
        <v>0</v>
      </c>
      <c r="R374" s="153">
        <v>0</v>
      </c>
      <c r="S374" s="153">
        <v>0</v>
      </c>
      <c r="T374" s="153">
        <v>0</v>
      </c>
      <c r="V374" s="371"/>
      <c r="W374" s="432"/>
      <c r="X374" s="432"/>
      <c r="Y374" s="432"/>
      <c r="Z374" s="432"/>
      <c r="AA374" s="432"/>
    </row>
    <row r="375" spans="1:30" ht="24" customHeight="1">
      <c r="A375" s="263" t="s">
        <v>976</v>
      </c>
      <c r="B375" s="264"/>
      <c r="C375" s="264"/>
      <c r="D375" s="748" t="s">
        <v>977</v>
      </c>
      <c r="E375" s="748"/>
      <c r="F375" s="748"/>
      <c r="G375" s="748"/>
      <c r="H375" s="748"/>
      <c r="I375" s="748"/>
      <c r="J375" s="748"/>
      <c r="K375" s="748"/>
      <c r="L375" s="212">
        <v>38618</v>
      </c>
      <c r="M375" s="212">
        <v>1413</v>
      </c>
      <c r="N375" s="156">
        <v>312617</v>
      </c>
      <c r="O375" s="156">
        <v>118943</v>
      </c>
      <c r="P375" s="153">
        <v>29000</v>
      </c>
      <c r="Q375" s="153">
        <v>0</v>
      </c>
      <c r="R375" s="153">
        <v>0</v>
      </c>
      <c r="S375" s="153">
        <v>0</v>
      </c>
      <c r="T375" s="153">
        <v>0</v>
      </c>
      <c r="V375" s="168"/>
      <c r="W375" s="864"/>
      <c r="X375" s="432"/>
      <c r="Y375" s="432"/>
      <c r="Z375" s="432"/>
      <c r="AA375" s="432"/>
    </row>
    <row r="376" spans="1:30" ht="24" customHeight="1">
      <c r="A376" s="263" t="s">
        <v>1109</v>
      </c>
      <c r="B376" s="414"/>
      <c r="C376" s="414"/>
      <c r="D376" s="414" t="s">
        <v>1110</v>
      </c>
      <c r="E376" s="414"/>
      <c r="F376" s="414"/>
      <c r="G376" s="414"/>
      <c r="H376" s="414"/>
      <c r="I376" s="414"/>
      <c r="J376" s="414"/>
      <c r="K376" s="414"/>
      <c r="L376" s="212">
        <v>6336</v>
      </c>
      <c r="M376" s="212">
        <v>3460</v>
      </c>
      <c r="N376" s="156">
        <v>0</v>
      </c>
      <c r="O376" s="156">
        <v>64000</v>
      </c>
      <c r="P376" s="153">
        <v>16000</v>
      </c>
      <c r="Q376" s="153">
        <v>0</v>
      </c>
      <c r="R376" s="153">
        <v>0</v>
      </c>
      <c r="S376" s="153">
        <v>0</v>
      </c>
      <c r="T376" s="153">
        <v>0</v>
      </c>
      <c r="V376" s="168"/>
    </row>
    <row r="377" spans="1:30" ht="24" customHeight="1">
      <c r="A377" s="757" t="s">
        <v>1378</v>
      </c>
      <c r="B377" s="756"/>
      <c r="C377" s="756"/>
      <c r="D377" s="757" t="s">
        <v>216</v>
      </c>
      <c r="E377" s="756"/>
      <c r="F377" s="756"/>
      <c r="G377" s="755"/>
      <c r="H377" s="755"/>
      <c r="I377" s="755"/>
      <c r="J377" s="755"/>
      <c r="K377" s="755"/>
      <c r="L377" s="212">
        <v>0</v>
      </c>
      <c r="M377" s="212">
        <v>0</v>
      </c>
      <c r="N377" s="156">
        <v>0</v>
      </c>
      <c r="O377" s="156">
        <v>0</v>
      </c>
      <c r="P377" s="153">
        <v>2000</v>
      </c>
      <c r="Q377" s="153">
        <v>2000</v>
      </c>
      <c r="R377" s="153">
        <v>2000</v>
      </c>
      <c r="S377" s="153">
        <v>2000</v>
      </c>
      <c r="T377" s="153">
        <v>2000</v>
      </c>
      <c r="V377" s="152"/>
    </row>
    <row r="378" spans="1:30" ht="24" customHeight="1">
      <c r="A378" s="263" t="s">
        <v>814</v>
      </c>
      <c r="B378" s="455"/>
      <c r="C378" s="455"/>
      <c r="D378" s="263" t="s">
        <v>1017</v>
      </c>
      <c r="E378" s="455"/>
      <c r="F378" s="455"/>
      <c r="G378" s="455"/>
      <c r="H378" s="455"/>
      <c r="I378" s="455"/>
      <c r="J378" s="455"/>
      <c r="K378" s="455"/>
      <c r="L378" s="212">
        <v>152183</v>
      </c>
      <c r="M378" s="212">
        <v>0</v>
      </c>
      <c r="N378" s="156">
        <v>0</v>
      </c>
      <c r="O378" s="156">
        <v>0</v>
      </c>
      <c r="P378" s="153">
        <v>0</v>
      </c>
      <c r="Q378" s="153">
        <v>0</v>
      </c>
      <c r="R378" s="153">
        <v>0</v>
      </c>
      <c r="S378" s="153">
        <v>0</v>
      </c>
      <c r="T378" s="153">
        <v>0</v>
      </c>
      <c r="V378" s="151"/>
    </row>
    <row r="379" spans="1:30" ht="24" customHeight="1">
      <c r="A379" s="622" t="s">
        <v>1256</v>
      </c>
      <c r="B379" s="623"/>
      <c r="C379" s="623"/>
      <c r="D379" s="622" t="s">
        <v>985</v>
      </c>
      <c r="E379" s="623"/>
      <c r="F379" s="623"/>
      <c r="G379" s="623"/>
      <c r="H379" s="623"/>
      <c r="I379" s="623"/>
      <c r="J379" s="623"/>
      <c r="K379" s="623"/>
      <c r="L379" s="212">
        <v>0</v>
      </c>
      <c r="M379" s="212">
        <v>1900</v>
      </c>
      <c r="N379" s="156">
        <v>0</v>
      </c>
      <c r="O379" s="156">
        <v>0</v>
      </c>
      <c r="P379" s="153">
        <v>0</v>
      </c>
      <c r="Q379" s="153">
        <v>0</v>
      </c>
      <c r="R379" s="153">
        <v>0</v>
      </c>
      <c r="S379" s="153">
        <v>0</v>
      </c>
      <c r="T379" s="153">
        <v>0</v>
      </c>
      <c r="V379" s="151"/>
    </row>
    <row r="380" spans="1:30" ht="24" customHeight="1">
      <c r="A380" s="263" t="s">
        <v>1094</v>
      </c>
      <c r="B380" s="396"/>
      <c r="C380" s="396"/>
      <c r="D380" s="263" t="s">
        <v>1095</v>
      </c>
      <c r="E380" s="396"/>
      <c r="F380" s="396"/>
      <c r="G380" s="396"/>
      <c r="H380" s="396"/>
      <c r="I380" s="396"/>
      <c r="J380" s="396"/>
      <c r="K380" s="396"/>
      <c r="L380" s="212">
        <v>58060</v>
      </c>
      <c r="M380" s="212">
        <v>71602</v>
      </c>
      <c r="N380" s="156">
        <v>160000</v>
      </c>
      <c r="O380" s="156">
        <f>O388+O392</f>
        <v>247415</v>
      </c>
      <c r="P380" s="153">
        <v>0</v>
      </c>
      <c r="Q380" s="153">
        <v>0</v>
      </c>
      <c r="R380" s="153">
        <v>0</v>
      </c>
      <c r="S380" s="153">
        <v>0</v>
      </c>
      <c r="T380" s="153">
        <v>0</v>
      </c>
      <c r="V380" s="151"/>
    </row>
    <row r="381" spans="1:30" ht="24" customHeight="1">
      <c r="A381" s="263" t="s">
        <v>1093</v>
      </c>
      <c r="B381" s="395"/>
      <c r="C381" s="395"/>
      <c r="D381" s="654" t="s">
        <v>1027</v>
      </c>
      <c r="E381" s="655"/>
      <c r="F381" s="655"/>
      <c r="G381" s="655"/>
      <c r="H381" s="655"/>
      <c r="I381" s="655"/>
      <c r="J381" s="655"/>
      <c r="K381" s="655"/>
      <c r="L381" s="213">
        <v>0</v>
      </c>
      <c r="M381" s="213">
        <v>0</v>
      </c>
      <c r="N381" s="156">
        <v>0</v>
      </c>
      <c r="O381" s="156">
        <v>0</v>
      </c>
      <c r="P381" s="153">
        <f>180000+70000</f>
        <v>250000</v>
      </c>
      <c r="Q381" s="153">
        <v>0</v>
      </c>
      <c r="R381" s="153">
        <v>0</v>
      </c>
      <c r="S381" s="153">
        <v>0</v>
      </c>
      <c r="T381" s="153">
        <v>0</v>
      </c>
      <c r="V381" s="152"/>
      <c r="W381" s="151"/>
    </row>
    <row r="382" spans="1:30" ht="24" customHeight="1">
      <c r="A382" s="644" t="s">
        <v>1260</v>
      </c>
      <c r="B382" s="645"/>
      <c r="C382" s="645"/>
      <c r="D382" s="644" t="s">
        <v>1261</v>
      </c>
      <c r="E382" s="645"/>
      <c r="F382" s="645"/>
      <c r="G382" s="645"/>
      <c r="H382" s="645"/>
      <c r="I382" s="645"/>
      <c r="J382" s="645"/>
      <c r="K382" s="645"/>
      <c r="L382" s="217">
        <v>0</v>
      </c>
      <c r="M382" s="217">
        <v>0</v>
      </c>
      <c r="N382" s="162">
        <v>1098924</v>
      </c>
      <c r="O382" s="162">
        <v>1015982</v>
      </c>
      <c r="P382" s="161">
        <v>0</v>
      </c>
      <c r="Q382" s="161">
        <v>0</v>
      </c>
      <c r="R382" s="161">
        <v>0</v>
      </c>
      <c r="S382" s="161">
        <v>0</v>
      </c>
      <c r="T382" s="161">
        <v>0</v>
      </c>
      <c r="V382" s="151"/>
      <c r="W382" s="151"/>
      <c r="X382" s="151"/>
    </row>
    <row r="383" spans="1:30" ht="15" customHeight="1">
      <c r="A383" s="202"/>
      <c r="B383" s="202"/>
      <c r="C383" s="202"/>
      <c r="D383" s="202"/>
      <c r="E383" s="202"/>
      <c r="F383" s="202"/>
      <c r="G383" s="202"/>
      <c r="H383" s="202"/>
      <c r="I383" s="202"/>
      <c r="J383" s="202"/>
      <c r="K383" s="202"/>
      <c r="L383" s="218"/>
      <c r="M383" s="218"/>
      <c r="N383" s="164"/>
      <c r="O383" s="164"/>
      <c r="P383" s="163"/>
      <c r="Q383" s="163"/>
      <c r="R383" s="163"/>
      <c r="S383" s="163"/>
      <c r="T383" s="163"/>
    </row>
    <row r="384" spans="1:30" s="202" customFormat="1" ht="24" customHeight="1">
      <c r="K384" s="267" t="s">
        <v>481</v>
      </c>
      <c r="L384" s="220">
        <f t="shared" ref="L384:T384" si="42">SUM(L355:L383)</f>
        <v>1588515</v>
      </c>
      <c r="M384" s="220">
        <f t="shared" si="42"/>
        <v>1726285</v>
      </c>
      <c r="N384" s="221">
        <f t="shared" si="42"/>
        <v>2705765</v>
      </c>
      <c r="O384" s="221">
        <f t="shared" si="42"/>
        <v>2833961</v>
      </c>
      <c r="P384" s="220">
        <f t="shared" si="42"/>
        <v>2183577</v>
      </c>
      <c r="Q384" s="220">
        <f t="shared" si="42"/>
        <v>834549</v>
      </c>
      <c r="R384" s="220">
        <f t="shared" si="42"/>
        <v>834549</v>
      </c>
      <c r="S384" s="220">
        <f t="shared" si="42"/>
        <v>832000</v>
      </c>
      <c r="T384" s="220">
        <f t="shared" si="42"/>
        <v>1003600</v>
      </c>
      <c r="U384" s="65"/>
      <c r="V384" s="845"/>
      <c r="W384" s="845"/>
      <c r="X384" s="844"/>
      <c r="Y384" s="289"/>
      <c r="Z384" s="289"/>
      <c r="AA384" s="289"/>
      <c r="AD384" s="822"/>
    </row>
    <row r="385" spans="1:31" ht="15" customHeight="1">
      <c r="A385" s="202"/>
      <c r="B385" s="202"/>
      <c r="C385" s="202"/>
      <c r="D385" s="202"/>
      <c r="E385" s="202"/>
      <c r="F385" s="202"/>
      <c r="G385" s="202"/>
      <c r="H385" s="202"/>
      <c r="I385" s="202"/>
      <c r="J385" s="202"/>
      <c r="K385" s="202"/>
      <c r="L385" s="218"/>
      <c r="M385" s="218"/>
      <c r="N385" s="164"/>
      <c r="O385" s="164"/>
      <c r="P385" s="163"/>
      <c r="Q385" s="163"/>
      <c r="R385" s="163"/>
      <c r="S385" s="163"/>
      <c r="T385" s="163"/>
      <c r="V385" s="845"/>
      <c r="W385" s="845"/>
      <c r="X385" s="844"/>
    </row>
    <row r="386" spans="1:31" ht="24" customHeight="1">
      <c r="A386" s="267" t="s">
        <v>1106</v>
      </c>
      <c r="B386" s="378"/>
      <c r="C386" s="378"/>
      <c r="D386" s="378"/>
      <c r="E386" s="378"/>
      <c r="F386" s="378"/>
      <c r="G386" s="378"/>
      <c r="H386" s="378"/>
      <c r="I386" s="378"/>
      <c r="J386" s="378"/>
      <c r="K386" s="378"/>
      <c r="L386" s="218"/>
      <c r="M386" s="218"/>
      <c r="N386" s="164"/>
      <c r="O386" s="164"/>
      <c r="P386" s="163"/>
      <c r="Q386" s="163"/>
      <c r="R386" s="163"/>
      <c r="S386" s="163"/>
      <c r="T386" s="163"/>
    </row>
    <row r="387" spans="1:31" ht="24" customHeight="1">
      <c r="A387" s="347" t="s">
        <v>1018</v>
      </c>
      <c r="B387" s="347"/>
      <c r="C387" s="347"/>
      <c r="D387" s="263" t="s">
        <v>798</v>
      </c>
      <c r="E387" s="346"/>
      <c r="F387" s="346"/>
      <c r="G387" s="347"/>
      <c r="H387" s="347"/>
      <c r="I387" s="347"/>
      <c r="J387" s="347"/>
      <c r="K387" s="347"/>
      <c r="L387" s="218">
        <v>8945</v>
      </c>
      <c r="M387" s="218">
        <v>4850</v>
      </c>
      <c r="N387" s="164">
        <v>0</v>
      </c>
      <c r="O387" s="164">
        <v>0</v>
      </c>
      <c r="P387" s="163">
        <v>0</v>
      </c>
      <c r="Q387" s="163">
        <v>0</v>
      </c>
      <c r="R387" s="163">
        <v>0</v>
      </c>
      <c r="S387" s="163">
        <v>0</v>
      </c>
      <c r="T387" s="163">
        <v>0</v>
      </c>
      <c r="V387" s="151"/>
    </row>
    <row r="388" spans="1:31" ht="24" customHeight="1">
      <c r="A388" s="263" t="s">
        <v>990</v>
      </c>
      <c r="B388" s="318"/>
      <c r="C388" s="318"/>
      <c r="D388" s="263" t="s">
        <v>641</v>
      </c>
      <c r="E388" s="318"/>
      <c r="F388" s="318"/>
      <c r="G388" s="318"/>
      <c r="H388" s="318"/>
      <c r="I388" s="318"/>
      <c r="J388" s="318"/>
      <c r="K388" s="318"/>
      <c r="L388" s="209">
        <v>40202</v>
      </c>
      <c r="M388" s="209">
        <v>43755</v>
      </c>
      <c r="N388" s="147">
        <v>125000</v>
      </c>
      <c r="O388" s="147">
        <f>163493+38922+20000</f>
        <v>222415</v>
      </c>
      <c r="P388" s="146">
        <f>50000+100000</f>
        <v>150000</v>
      </c>
      <c r="Q388" s="146">
        <f>50000+100000</f>
        <v>150000</v>
      </c>
      <c r="R388" s="146">
        <v>50000</v>
      </c>
      <c r="S388" s="146">
        <v>50000</v>
      </c>
      <c r="T388" s="146">
        <v>50000</v>
      </c>
      <c r="V388" s="401"/>
      <c r="W388" s="371"/>
      <c r="X388" s="371"/>
      <c r="Y388" s="371"/>
      <c r="Z388" s="151"/>
      <c r="AA388" s="151"/>
      <c r="AB388" s="371"/>
      <c r="AC388" s="371"/>
      <c r="AD388" s="371"/>
      <c r="AE388" s="371"/>
    </row>
    <row r="389" spans="1:31" ht="24" customHeight="1">
      <c r="A389" s="815" t="s">
        <v>1400</v>
      </c>
      <c r="B389" s="814"/>
      <c r="C389" s="814"/>
      <c r="D389" s="815" t="s">
        <v>1033</v>
      </c>
      <c r="E389" s="814"/>
      <c r="F389" s="814"/>
      <c r="G389" s="266"/>
      <c r="H389" s="266"/>
      <c r="I389" s="266"/>
      <c r="J389" s="266"/>
      <c r="K389" s="266"/>
      <c r="L389" s="211">
        <v>0</v>
      </c>
      <c r="M389" s="211">
        <v>0</v>
      </c>
      <c r="N389" s="150">
        <v>0</v>
      </c>
      <c r="O389" s="150">
        <v>0</v>
      </c>
      <c r="P389" s="149">
        <v>0</v>
      </c>
      <c r="Q389" s="149">
        <v>0</v>
      </c>
      <c r="R389" s="149">
        <f>ROUND(Q209*1.06,0)</f>
        <v>119102</v>
      </c>
      <c r="S389" s="149">
        <f>ROUND(R389*1.06,0)</f>
        <v>126248</v>
      </c>
      <c r="T389" s="149">
        <f>ROUND(S389*1.06,0)</f>
        <v>133823</v>
      </c>
      <c r="V389" s="401"/>
      <c r="W389" s="371"/>
      <c r="X389" s="371"/>
      <c r="Y389" s="371"/>
      <c r="Z389" s="151"/>
      <c r="AA389" s="151"/>
      <c r="AB389" s="371"/>
      <c r="AC389" s="371"/>
      <c r="AD389" s="371"/>
      <c r="AE389" s="371"/>
    </row>
    <row r="390" spans="1:31" ht="24" customHeight="1">
      <c r="A390" s="820" t="s">
        <v>1409</v>
      </c>
      <c r="B390" s="756"/>
      <c r="C390" s="756"/>
      <c r="D390" s="757" t="s">
        <v>164</v>
      </c>
      <c r="E390" s="756"/>
      <c r="F390" s="756"/>
      <c r="G390" s="756"/>
      <c r="H390" s="756"/>
      <c r="I390" s="756"/>
      <c r="J390" s="756"/>
      <c r="K390" s="756"/>
      <c r="L390" s="209">
        <v>0</v>
      </c>
      <c r="M390" s="209">
        <v>0</v>
      </c>
      <c r="N390" s="147">
        <v>0</v>
      </c>
      <c r="O390" s="147">
        <v>0</v>
      </c>
      <c r="P390" s="146">
        <f>P377</f>
        <v>2000</v>
      </c>
      <c r="Q390" s="146">
        <f>Q377</f>
        <v>2000</v>
      </c>
      <c r="R390" s="146">
        <f>R377</f>
        <v>2000</v>
      </c>
      <c r="S390" s="146">
        <f>S377</f>
        <v>2000</v>
      </c>
      <c r="T390" s="146">
        <f>T377</f>
        <v>2000</v>
      </c>
      <c r="V390" s="370"/>
      <c r="W390" s="371"/>
      <c r="X390" s="371"/>
      <c r="Y390" s="433"/>
      <c r="Z390" s="151"/>
      <c r="AA390" s="151"/>
      <c r="AB390" s="371"/>
      <c r="AC390" s="371"/>
      <c r="AD390" s="371"/>
      <c r="AE390" s="371"/>
    </row>
    <row r="391" spans="1:31" ht="24" customHeight="1">
      <c r="A391" s="815" t="s">
        <v>1401</v>
      </c>
      <c r="B391" s="814"/>
      <c r="C391" s="814"/>
      <c r="D391" s="815" t="s">
        <v>259</v>
      </c>
      <c r="E391" s="814"/>
      <c r="F391" s="814"/>
      <c r="G391" s="814"/>
      <c r="H391" s="814"/>
      <c r="I391" s="814"/>
      <c r="J391" s="814"/>
      <c r="K391" s="814"/>
      <c r="L391" s="212">
        <v>0</v>
      </c>
      <c r="M391" s="212">
        <v>0</v>
      </c>
      <c r="N391" s="156">
        <v>0</v>
      </c>
      <c r="O391" s="156">
        <v>0</v>
      </c>
      <c r="P391" s="153">
        <v>0</v>
      </c>
      <c r="Q391" s="153">
        <v>0</v>
      </c>
      <c r="R391" s="153">
        <v>15000</v>
      </c>
      <c r="S391" s="153">
        <v>15000</v>
      </c>
      <c r="T391" s="153">
        <v>15000</v>
      </c>
      <c r="V391" s="370"/>
      <c r="W391" s="371"/>
      <c r="X391" s="371"/>
      <c r="Y391" s="433"/>
      <c r="Z391" s="151"/>
      <c r="AA391" s="151"/>
      <c r="AB391" s="371"/>
      <c r="AC391" s="371"/>
      <c r="AD391" s="371"/>
      <c r="AE391" s="371"/>
    </row>
    <row r="392" spans="1:31" ht="24" customHeight="1">
      <c r="A392" s="263" t="s">
        <v>991</v>
      </c>
      <c r="B392" s="318"/>
      <c r="C392" s="318"/>
      <c r="D392" s="543" t="s">
        <v>642</v>
      </c>
      <c r="E392" s="542"/>
      <c r="F392" s="542"/>
      <c r="G392" s="542"/>
      <c r="H392" s="542"/>
      <c r="I392" s="542"/>
      <c r="J392" s="542"/>
      <c r="K392" s="542"/>
      <c r="L392" s="209">
        <v>8913</v>
      </c>
      <c r="M392" s="209">
        <v>27847</v>
      </c>
      <c r="N392" s="150">
        <v>35000</v>
      </c>
      <c r="O392" s="150">
        <v>25000</v>
      </c>
      <c r="P392" s="149">
        <v>25000</v>
      </c>
      <c r="Q392" s="149">
        <v>25000</v>
      </c>
      <c r="R392" s="149">
        <v>25000</v>
      </c>
      <c r="S392" s="149">
        <v>25000</v>
      </c>
      <c r="T392" s="149">
        <v>25000</v>
      </c>
      <c r="V392" s="370"/>
      <c r="W392" s="371"/>
      <c r="X392" s="371"/>
      <c r="Y392" s="882"/>
      <c r="Z392" s="151"/>
      <c r="AA392" s="151"/>
      <c r="AB392" s="371"/>
      <c r="AC392" s="371"/>
      <c r="AD392" s="371"/>
      <c r="AE392" s="371"/>
    </row>
    <row r="393" spans="1:31" ht="24" customHeight="1">
      <c r="A393" s="715" t="s">
        <v>1338</v>
      </c>
      <c r="B393" s="714"/>
      <c r="C393" s="714"/>
      <c r="D393" s="715" t="s">
        <v>1271</v>
      </c>
      <c r="E393" s="714"/>
      <c r="F393" s="714"/>
      <c r="G393" s="714"/>
      <c r="H393" s="714"/>
      <c r="I393" s="714"/>
      <c r="J393" s="714"/>
      <c r="K393" s="714"/>
      <c r="L393" s="209">
        <v>0</v>
      </c>
      <c r="M393" s="209">
        <v>0</v>
      </c>
      <c r="N393" s="156">
        <v>0</v>
      </c>
      <c r="O393" s="156">
        <v>0</v>
      </c>
      <c r="P393" s="153">
        <v>40000</v>
      </c>
      <c r="Q393" s="153">
        <v>0</v>
      </c>
      <c r="R393" s="153">
        <v>0</v>
      </c>
      <c r="S393" s="153">
        <v>0</v>
      </c>
      <c r="T393" s="153">
        <v>0</v>
      </c>
      <c r="Z393" s="151"/>
      <c r="AA393" s="151"/>
      <c r="AB393" s="371"/>
      <c r="AC393" s="371"/>
      <c r="AD393" s="371"/>
      <c r="AE393" s="371"/>
    </row>
    <row r="394" spans="1:31" ht="24" customHeight="1">
      <c r="A394" s="405" t="s">
        <v>929</v>
      </c>
      <c r="B394" s="266"/>
      <c r="C394" s="266"/>
      <c r="D394" s="263" t="s">
        <v>346</v>
      </c>
      <c r="E394" s="266"/>
      <c r="F394" s="266"/>
      <c r="G394" s="266"/>
      <c r="H394" s="266"/>
      <c r="I394" s="266"/>
      <c r="J394" s="266"/>
      <c r="K394" s="266"/>
      <c r="L394" s="242">
        <v>7077</v>
      </c>
      <c r="M394" s="242">
        <v>9645</v>
      </c>
      <c r="N394" s="192">
        <v>7000</v>
      </c>
      <c r="O394" s="192">
        <f t="shared" ref="O394:T394" si="43">O362</f>
        <v>30000</v>
      </c>
      <c r="P394" s="630">
        <f t="shared" si="43"/>
        <v>18000</v>
      </c>
      <c r="Q394" s="630">
        <f t="shared" si="43"/>
        <v>16500</v>
      </c>
      <c r="R394" s="630">
        <f t="shared" si="43"/>
        <v>16500</v>
      </c>
      <c r="S394" s="630">
        <f t="shared" si="43"/>
        <v>16500</v>
      </c>
      <c r="T394" s="630">
        <f t="shared" si="43"/>
        <v>16500</v>
      </c>
      <c r="Z394" s="371"/>
      <c r="AA394" s="371"/>
      <c r="AB394" s="371"/>
      <c r="AC394" s="371"/>
      <c r="AD394" s="371"/>
      <c r="AE394" s="371"/>
    </row>
    <row r="395" spans="1:31" s="202" customFormat="1" ht="24" customHeight="1">
      <c r="A395" s="277"/>
      <c r="L395" s="220">
        <f>SUM(L387:L394)</f>
        <v>65137</v>
      </c>
      <c r="M395" s="220">
        <f t="shared" ref="M395:T395" si="44">SUM(M387:M394)</f>
        <v>86097</v>
      </c>
      <c r="N395" s="221">
        <f t="shared" si="44"/>
        <v>167000</v>
      </c>
      <c r="O395" s="221">
        <f t="shared" si="44"/>
        <v>277415</v>
      </c>
      <c r="P395" s="220">
        <f t="shared" si="44"/>
        <v>235000</v>
      </c>
      <c r="Q395" s="220">
        <f t="shared" si="44"/>
        <v>193500</v>
      </c>
      <c r="R395" s="220">
        <f t="shared" si="44"/>
        <v>227602</v>
      </c>
      <c r="S395" s="220">
        <f>SUM(S387:S394)</f>
        <v>234748</v>
      </c>
      <c r="T395" s="220">
        <f t="shared" si="44"/>
        <v>242323</v>
      </c>
      <c r="U395" s="65"/>
      <c r="V395" s="845"/>
      <c r="W395" s="845"/>
      <c r="X395" s="844"/>
      <c r="Y395" s="300"/>
      <c r="Z395" s="300"/>
      <c r="AA395" s="300"/>
      <c r="AB395" s="300"/>
      <c r="AC395" s="300"/>
      <c r="AD395" s="300"/>
      <c r="AE395" s="300"/>
    </row>
    <row r="396" spans="1:31" ht="15" customHeight="1">
      <c r="A396" s="277"/>
      <c r="B396" s="202"/>
      <c r="C396" s="202"/>
      <c r="D396" s="202"/>
      <c r="E396" s="202"/>
      <c r="F396" s="202"/>
      <c r="G396" s="202"/>
      <c r="H396" s="202"/>
      <c r="I396" s="202"/>
      <c r="J396" s="202"/>
      <c r="K396" s="202"/>
      <c r="L396" s="220"/>
      <c r="M396" s="220"/>
      <c r="N396" s="167"/>
      <c r="O396" s="167"/>
      <c r="P396" s="166"/>
      <c r="Q396" s="166"/>
      <c r="R396" s="166"/>
      <c r="S396" s="166"/>
      <c r="T396" s="166"/>
      <c r="V396" s="845"/>
      <c r="W396" s="845"/>
      <c r="X396" s="844"/>
    </row>
    <row r="397" spans="1:31" ht="24" customHeight="1">
      <c r="A397" s="267" t="s">
        <v>874</v>
      </c>
      <c r="B397" s="202"/>
      <c r="C397" s="202"/>
      <c r="D397" s="202"/>
      <c r="E397" s="202"/>
      <c r="F397" s="202"/>
      <c r="G397" s="202"/>
      <c r="H397" s="202"/>
      <c r="I397" s="202"/>
      <c r="J397" s="202"/>
      <c r="K397" s="202"/>
      <c r="L397" s="218"/>
      <c r="M397" s="218"/>
      <c r="N397" s="164"/>
      <c r="O397" s="164"/>
      <c r="P397" s="163"/>
      <c r="Q397" s="163"/>
      <c r="R397" s="163"/>
      <c r="S397" s="163"/>
      <c r="T397" s="163"/>
    </row>
    <row r="398" spans="1:31" ht="24" customHeight="1">
      <c r="A398" s="202" t="s">
        <v>826</v>
      </c>
      <c r="B398" s="202"/>
      <c r="C398" s="202"/>
      <c r="D398" s="263" t="s">
        <v>798</v>
      </c>
      <c r="E398" s="264"/>
      <c r="F398" s="264"/>
      <c r="G398" s="264"/>
      <c r="H398" s="264"/>
      <c r="I398" s="266"/>
      <c r="J398" s="266"/>
      <c r="K398" s="266"/>
      <c r="L398" s="228">
        <v>76620</v>
      </c>
      <c r="M398" s="228">
        <v>56158</v>
      </c>
      <c r="N398" s="185">
        <v>0</v>
      </c>
      <c r="O398" s="185">
        <v>0</v>
      </c>
      <c r="P398" s="177">
        <v>0</v>
      </c>
      <c r="Q398" s="177">
        <v>0</v>
      </c>
      <c r="R398" s="177"/>
      <c r="S398" s="177">
        <v>0</v>
      </c>
      <c r="T398" s="177">
        <v>0</v>
      </c>
      <c r="V398" s="148"/>
    </row>
    <row r="399" spans="1:31" ht="24" customHeight="1">
      <c r="A399" s="581" t="s">
        <v>1223</v>
      </c>
      <c r="B399" s="581"/>
      <c r="C399" s="581"/>
      <c r="D399" s="580" t="s">
        <v>1215</v>
      </c>
      <c r="E399" s="579"/>
      <c r="F399" s="579"/>
      <c r="G399" s="579"/>
      <c r="H399" s="579"/>
      <c r="I399" s="266"/>
      <c r="J399" s="266"/>
      <c r="K399" s="266"/>
      <c r="L399" s="228">
        <v>2411</v>
      </c>
      <c r="M399" s="228">
        <v>900</v>
      </c>
      <c r="N399" s="185">
        <v>0</v>
      </c>
      <c r="O399" s="185">
        <v>0</v>
      </c>
      <c r="P399" s="177">
        <v>0</v>
      </c>
      <c r="Q399" s="177">
        <v>0</v>
      </c>
      <c r="R399" s="177">
        <v>0</v>
      </c>
      <c r="S399" s="177">
        <v>0</v>
      </c>
      <c r="T399" s="177">
        <v>0</v>
      </c>
      <c r="V399" s="148"/>
    </row>
    <row r="400" spans="1:31" ht="24" customHeight="1">
      <c r="A400" s="727" t="s">
        <v>923</v>
      </c>
      <c r="B400" s="266"/>
      <c r="C400" s="266"/>
      <c r="D400" s="727" t="s">
        <v>246</v>
      </c>
      <c r="E400" s="266"/>
      <c r="F400" s="266"/>
      <c r="G400" s="266"/>
      <c r="H400" s="266"/>
      <c r="I400" s="266"/>
      <c r="J400" s="266"/>
      <c r="K400" s="266"/>
      <c r="L400" s="209">
        <v>1370</v>
      </c>
      <c r="M400" s="209">
        <v>0</v>
      </c>
      <c r="N400" s="184">
        <f>35000</f>
        <v>35000</v>
      </c>
      <c r="O400" s="184">
        <f>35000</f>
        <v>35000</v>
      </c>
      <c r="P400" s="183">
        <v>65000</v>
      </c>
      <c r="Q400" s="183">
        <v>0</v>
      </c>
      <c r="R400" s="183">
        <v>0</v>
      </c>
      <c r="S400" s="183">
        <v>0</v>
      </c>
      <c r="T400" s="183">
        <v>0</v>
      </c>
      <c r="V400" s="151"/>
      <c r="W400" s="151"/>
    </row>
    <row r="401" spans="1:24" ht="24" customHeight="1">
      <c r="A401" s="789" t="s">
        <v>1386</v>
      </c>
      <c r="B401" s="266"/>
      <c r="C401" s="266"/>
      <c r="D401" s="789" t="s">
        <v>1387</v>
      </c>
      <c r="E401" s="266"/>
      <c r="F401" s="266"/>
      <c r="G401" s="266"/>
      <c r="H401" s="266"/>
      <c r="I401" s="266"/>
      <c r="J401" s="266"/>
      <c r="K401" s="266"/>
      <c r="L401" s="209">
        <v>0</v>
      </c>
      <c r="M401" s="209">
        <v>0</v>
      </c>
      <c r="N401" s="184">
        <v>0</v>
      </c>
      <c r="O401" s="184">
        <v>8054</v>
      </c>
      <c r="P401" s="183">
        <v>0</v>
      </c>
      <c r="Q401" s="183">
        <v>0</v>
      </c>
      <c r="R401" s="183">
        <v>0</v>
      </c>
      <c r="S401" s="183">
        <v>0</v>
      </c>
      <c r="T401" s="183">
        <v>0</v>
      </c>
      <c r="V401" s="151"/>
      <c r="W401" s="151"/>
    </row>
    <row r="402" spans="1:24" ht="24" customHeight="1">
      <c r="A402" s="263" t="s">
        <v>1105</v>
      </c>
      <c r="B402" s="266"/>
      <c r="C402" s="266"/>
      <c r="D402" s="263" t="s">
        <v>290</v>
      </c>
      <c r="E402" s="266"/>
      <c r="F402" s="266"/>
      <c r="G402" s="266"/>
      <c r="H402" s="266"/>
      <c r="I402" s="266"/>
      <c r="J402" s="266"/>
      <c r="K402" s="266"/>
      <c r="L402" s="209">
        <v>475</v>
      </c>
      <c r="M402" s="209">
        <v>475</v>
      </c>
      <c r="N402" s="184">
        <v>475</v>
      </c>
      <c r="O402" s="184">
        <v>475</v>
      </c>
      <c r="P402" s="183">
        <v>475</v>
      </c>
      <c r="Q402" s="183">
        <v>475</v>
      </c>
      <c r="R402" s="183">
        <v>475</v>
      </c>
      <c r="S402" s="183">
        <v>475</v>
      </c>
      <c r="T402" s="183">
        <v>475</v>
      </c>
      <c r="V402" s="151"/>
    </row>
    <row r="403" spans="1:24" ht="24" customHeight="1">
      <c r="A403" s="263" t="s">
        <v>1083</v>
      </c>
      <c r="B403" s="266"/>
      <c r="C403" s="266"/>
      <c r="D403" s="263" t="s">
        <v>18</v>
      </c>
      <c r="E403" s="266"/>
      <c r="F403" s="266"/>
      <c r="G403" s="266"/>
      <c r="H403" s="266"/>
      <c r="I403" s="266"/>
      <c r="J403" s="266"/>
      <c r="K403" s="266"/>
      <c r="L403" s="209">
        <v>739</v>
      </c>
      <c r="M403" s="209">
        <v>1136</v>
      </c>
      <c r="N403" s="184">
        <v>1200</v>
      </c>
      <c r="O403" s="184">
        <v>1200</v>
      </c>
      <c r="P403" s="183">
        <v>1200</v>
      </c>
      <c r="Q403" s="183">
        <v>1200</v>
      </c>
      <c r="R403" s="183">
        <v>1200</v>
      </c>
      <c r="S403" s="183">
        <v>1200</v>
      </c>
      <c r="T403" s="183">
        <v>1200</v>
      </c>
      <c r="V403" s="151"/>
    </row>
    <row r="404" spans="1:24" ht="24" customHeight="1">
      <c r="A404" s="815" t="s">
        <v>1399</v>
      </c>
      <c r="B404" s="814"/>
      <c r="C404" s="814"/>
      <c r="D404" s="815" t="s">
        <v>1377</v>
      </c>
      <c r="E404" s="814"/>
      <c r="F404" s="814"/>
      <c r="G404" s="814"/>
      <c r="H404" s="814"/>
      <c r="I404" s="814"/>
      <c r="J404" s="814"/>
      <c r="K404" s="814"/>
      <c r="L404" s="212">
        <v>0</v>
      </c>
      <c r="M404" s="212">
        <v>0</v>
      </c>
      <c r="N404" s="156">
        <v>0</v>
      </c>
      <c r="O404" s="156">
        <v>0</v>
      </c>
      <c r="P404" s="153">
        <v>0</v>
      </c>
      <c r="Q404" s="153">
        <v>0</v>
      </c>
      <c r="R404" s="153">
        <v>0</v>
      </c>
      <c r="S404" s="153">
        <v>0</v>
      </c>
      <c r="T404" s="153">
        <f>10000+25000</f>
        <v>35000</v>
      </c>
      <c r="V404" s="151"/>
    </row>
    <row r="405" spans="1:24" ht="24" customHeight="1">
      <c r="A405" s="758" t="s">
        <v>981</v>
      </c>
      <c r="B405" s="266"/>
      <c r="C405" s="266"/>
      <c r="D405" s="265" t="s">
        <v>982</v>
      </c>
      <c r="E405" s="266"/>
      <c r="F405" s="266"/>
      <c r="G405" s="266"/>
      <c r="H405" s="266"/>
      <c r="I405" s="266"/>
      <c r="J405" s="266"/>
      <c r="K405" s="266"/>
      <c r="L405" s="224">
        <v>25703</v>
      </c>
      <c r="M405" s="224">
        <v>0</v>
      </c>
      <c r="N405" s="170">
        <v>0</v>
      </c>
      <c r="O405" s="170">
        <v>0</v>
      </c>
      <c r="P405" s="169">
        <v>0</v>
      </c>
      <c r="Q405" s="169">
        <v>0</v>
      </c>
      <c r="R405" s="169">
        <v>0</v>
      </c>
      <c r="S405" s="169">
        <v>0</v>
      </c>
      <c r="T405" s="169">
        <v>0</v>
      </c>
      <c r="V405" s="165"/>
    </row>
    <row r="406" spans="1:24" ht="24" customHeight="1">
      <c r="A406" s="758" t="s">
        <v>1125</v>
      </c>
      <c r="B406" s="266"/>
      <c r="C406" s="266"/>
      <c r="D406" s="265" t="s">
        <v>1145</v>
      </c>
      <c r="E406" s="266"/>
      <c r="F406" s="266"/>
      <c r="G406" s="266"/>
      <c r="H406" s="266"/>
      <c r="I406" s="266"/>
      <c r="J406" s="266"/>
      <c r="K406" s="266"/>
      <c r="L406" s="224">
        <v>318507</v>
      </c>
      <c r="M406" s="224">
        <v>0</v>
      </c>
      <c r="N406" s="170">
        <v>0</v>
      </c>
      <c r="O406" s="170">
        <v>0</v>
      </c>
      <c r="P406" s="169">
        <v>0</v>
      </c>
      <c r="Q406" s="169">
        <v>0</v>
      </c>
      <c r="R406" s="169">
        <v>0</v>
      </c>
      <c r="S406" s="169">
        <v>0</v>
      </c>
      <c r="T406" s="169">
        <v>0</v>
      </c>
      <c r="V406" s="148"/>
    </row>
    <row r="407" spans="1:24" ht="24" customHeight="1">
      <c r="A407" s="761" t="s">
        <v>1166</v>
      </c>
      <c r="B407" s="760"/>
      <c r="C407" s="760"/>
      <c r="D407" s="1" t="s">
        <v>1163</v>
      </c>
      <c r="E407" s="760"/>
      <c r="F407" s="760"/>
      <c r="G407" s="760"/>
      <c r="H407" s="760"/>
      <c r="I407" s="760"/>
      <c r="J407" s="760"/>
      <c r="K407" s="760"/>
      <c r="L407" s="212">
        <v>57430</v>
      </c>
      <c r="M407" s="212">
        <v>454548</v>
      </c>
      <c r="N407" s="156">
        <v>65200</v>
      </c>
      <c r="O407" s="156">
        <v>65200</v>
      </c>
      <c r="P407" s="153">
        <v>0</v>
      </c>
      <c r="Q407" s="153">
        <v>0</v>
      </c>
      <c r="R407" s="153">
        <v>0</v>
      </c>
      <c r="S407" s="153">
        <v>0</v>
      </c>
      <c r="T407" s="153">
        <v>0</v>
      </c>
      <c r="V407" s="370"/>
      <c r="W407" s="371"/>
      <c r="X407" s="371"/>
    </row>
    <row r="408" spans="1:24" ht="24" customHeight="1">
      <c r="A408" s="759" t="s">
        <v>1268</v>
      </c>
      <c r="B408" s="758"/>
      <c r="C408" s="758"/>
      <c r="D408" s="1" t="s">
        <v>1269</v>
      </c>
      <c r="E408" s="758"/>
      <c r="F408" s="758"/>
      <c r="G408" s="758"/>
      <c r="H408" s="758"/>
      <c r="I408" s="758"/>
      <c r="J408" s="758"/>
      <c r="K408" s="758"/>
      <c r="L408" s="212">
        <v>0</v>
      </c>
      <c r="M408" s="212">
        <v>160877</v>
      </c>
      <c r="N408" s="156">
        <v>0</v>
      </c>
      <c r="O408" s="156">
        <v>0</v>
      </c>
      <c r="P408" s="153">
        <v>0</v>
      </c>
      <c r="Q408" s="153">
        <v>0</v>
      </c>
      <c r="R408" s="153">
        <v>0</v>
      </c>
      <c r="S408" s="153">
        <v>0</v>
      </c>
      <c r="T408" s="153">
        <v>0</v>
      </c>
      <c r="V408" s="151"/>
    </row>
    <row r="409" spans="1:24" ht="24" customHeight="1">
      <c r="A409" s="759" t="s">
        <v>1224</v>
      </c>
      <c r="B409" s="758"/>
      <c r="C409" s="758"/>
      <c r="D409" s="1" t="s">
        <v>392</v>
      </c>
      <c r="E409" s="758"/>
      <c r="F409" s="758"/>
      <c r="G409" s="758"/>
      <c r="H409" s="758"/>
      <c r="I409" s="758"/>
      <c r="J409" s="758"/>
      <c r="K409" s="758"/>
      <c r="L409" s="212">
        <v>11999</v>
      </c>
      <c r="M409" s="212">
        <v>131574</v>
      </c>
      <c r="N409" s="156">
        <v>0</v>
      </c>
      <c r="O409" s="156">
        <f>156+191+7450</f>
        <v>7797</v>
      </c>
      <c r="P409" s="153">
        <f>ROUND(22646.55/3,0)</f>
        <v>7549</v>
      </c>
      <c r="Q409" s="153">
        <f>ROUND(22646.55/3,0)</f>
        <v>7549</v>
      </c>
      <c r="R409" s="153">
        <f>ROUND(22646.55/3,0)</f>
        <v>7549</v>
      </c>
      <c r="S409" s="153">
        <v>0</v>
      </c>
      <c r="T409" s="153">
        <v>0</v>
      </c>
      <c r="V409" s="370"/>
      <c r="W409" s="371"/>
      <c r="X409" s="371"/>
    </row>
    <row r="410" spans="1:24" ht="24" customHeight="1">
      <c r="A410" s="759" t="s">
        <v>1258</v>
      </c>
      <c r="B410" s="758"/>
      <c r="C410" s="758"/>
      <c r="D410" s="758" t="s">
        <v>1242</v>
      </c>
      <c r="E410" s="758"/>
      <c r="F410" s="758"/>
      <c r="G410" s="758"/>
      <c r="H410" s="758"/>
      <c r="I410" s="758"/>
      <c r="J410" s="758"/>
      <c r="K410" s="758"/>
      <c r="L410" s="212">
        <v>0</v>
      </c>
      <c r="M410" s="212">
        <v>63304</v>
      </c>
      <c r="N410" s="156">
        <v>0</v>
      </c>
      <c r="O410" s="156">
        <v>0</v>
      </c>
      <c r="P410" s="153">
        <v>0</v>
      </c>
      <c r="Q410" s="153">
        <v>0</v>
      </c>
      <c r="R410" s="153">
        <v>0</v>
      </c>
      <c r="S410" s="153">
        <v>0</v>
      </c>
      <c r="T410" s="153">
        <v>0</v>
      </c>
      <c r="V410" s="370"/>
      <c r="W410" s="371"/>
      <c r="X410" s="371"/>
    </row>
    <row r="411" spans="1:24" ht="24" customHeight="1">
      <c r="A411" s="791" t="s">
        <v>1189</v>
      </c>
      <c r="B411" s="266"/>
      <c r="C411" s="266"/>
      <c r="D411" s="813" t="s">
        <v>1188</v>
      </c>
      <c r="E411" s="266"/>
      <c r="F411" s="266"/>
      <c r="G411" s="266"/>
      <c r="H411" s="266"/>
      <c r="I411" s="266"/>
      <c r="J411" s="266"/>
      <c r="K411" s="266"/>
      <c r="L411" s="224">
        <v>0</v>
      </c>
      <c r="M411" s="224">
        <v>0</v>
      </c>
      <c r="N411" s="170">
        <v>151300</v>
      </c>
      <c r="O411" s="170">
        <v>19500</v>
      </c>
      <c r="P411" s="169">
        <f>ROUND((350178-O411)/3,0)</f>
        <v>110226</v>
      </c>
      <c r="Q411" s="169">
        <f>ROUND((350178-O411)/3,0)</f>
        <v>110226</v>
      </c>
      <c r="R411" s="169">
        <f>ROUND((350178-O411)/3,0)</f>
        <v>110226</v>
      </c>
      <c r="S411" s="169">
        <v>0</v>
      </c>
      <c r="T411" s="169">
        <v>0</v>
      </c>
      <c r="V411" s="152"/>
    </row>
    <row r="412" spans="1:24" ht="24" customHeight="1">
      <c r="A412" s="758" t="s">
        <v>1113</v>
      </c>
      <c r="B412" s="266"/>
      <c r="C412" s="266"/>
      <c r="D412" s="1" t="s">
        <v>1114</v>
      </c>
      <c r="E412" s="266"/>
      <c r="F412" s="266"/>
      <c r="G412" s="266"/>
      <c r="H412" s="266"/>
      <c r="I412" s="266"/>
      <c r="J412" s="266"/>
      <c r="K412" s="266"/>
      <c r="L412" s="224">
        <v>12632</v>
      </c>
      <c r="M412" s="224">
        <v>8649</v>
      </c>
      <c r="N412" s="170">
        <v>4672</v>
      </c>
      <c r="O412" s="170">
        <v>5109</v>
      </c>
      <c r="P412" s="169">
        <v>5000</v>
      </c>
      <c r="Q412" s="169">
        <v>5000</v>
      </c>
      <c r="R412" s="169">
        <v>5000</v>
      </c>
      <c r="S412" s="169">
        <v>5000</v>
      </c>
      <c r="T412" s="169">
        <v>5000</v>
      </c>
      <c r="V412" s="148"/>
      <c r="W412" s="148"/>
    </row>
    <row r="413" spans="1:24" ht="24" customHeight="1">
      <c r="A413" s="758" t="s">
        <v>1352</v>
      </c>
      <c r="B413" s="266"/>
      <c r="C413" s="266"/>
      <c r="D413" s="1" t="s">
        <v>1353</v>
      </c>
      <c r="E413" s="266"/>
      <c r="F413" s="266"/>
      <c r="G413" s="266"/>
      <c r="H413" s="266"/>
      <c r="I413" s="266"/>
      <c r="J413" s="266"/>
      <c r="K413" s="266"/>
      <c r="L413" s="224">
        <v>0</v>
      </c>
      <c r="M413" s="224">
        <v>0</v>
      </c>
      <c r="N413" s="170">
        <v>50000</v>
      </c>
      <c r="O413" s="170">
        <v>40699</v>
      </c>
      <c r="P413" s="169">
        <v>0</v>
      </c>
      <c r="Q413" s="169">
        <v>0</v>
      </c>
      <c r="R413" s="169">
        <v>0</v>
      </c>
      <c r="S413" s="169">
        <v>0</v>
      </c>
      <c r="T413" s="169">
        <v>0</v>
      </c>
      <c r="V413" s="148"/>
      <c r="W413" s="148"/>
    </row>
    <row r="414" spans="1:24" ht="24" customHeight="1">
      <c r="A414" s="758" t="s">
        <v>1355</v>
      </c>
      <c r="B414" s="266"/>
      <c r="C414" s="266"/>
      <c r="D414" s="110" t="s">
        <v>1356</v>
      </c>
      <c r="E414" s="266"/>
      <c r="F414" s="266"/>
      <c r="G414" s="266"/>
      <c r="H414" s="266"/>
      <c r="I414" s="266"/>
      <c r="J414" s="266"/>
      <c r="K414" s="266"/>
      <c r="L414" s="224">
        <v>0</v>
      </c>
      <c r="M414" s="224">
        <v>0</v>
      </c>
      <c r="N414" s="170">
        <v>0</v>
      </c>
      <c r="O414" s="170">
        <v>0</v>
      </c>
      <c r="P414" s="169">
        <v>110000</v>
      </c>
      <c r="Q414" s="169">
        <v>0</v>
      </c>
      <c r="R414" s="169">
        <v>0</v>
      </c>
      <c r="S414" s="169">
        <v>0</v>
      </c>
      <c r="T414" s="169">
        <v>0</v>
      </c>
      <c r="V414" s="148"/>
      <c r="W414" s="148"/>
    </row>
    <row r="415" spans="1:24" ht="24" customHeight="1">
      <c r="A415" s="811" t="s">
        <v>1395</v>
      </c>
      <c r="B415" s="266"/>
      <c r="C415" s="266"/>
      <c r="D415" s="1" t="s">
        <v>1396</v>
      </c>
      <c r="E415" s="266"/>
      <c r="F415" s="266"/>
      <c r="G415" s="266"/>
      <c r="H415" s="266"/>
      <c r="I415" s="266"/>
      <c r="J415" s="266"/>
      <c r="K415" s="266"/>
      <c r="L415" s="224">
        <v>0</v>
      </c>
      <c r="M415" s="224">
        <v>0</v>
      </c>
      <c r="N415" s="170">
        <v>0</v>
      </c>
      <c r="O415" s="170">
        <v>16820</v>
      </c>
      <c r="P415" s="169">
        <f>273348-O415</f>
        <v>256528</v>
      </c>
      <c r="Q415" s="169">
        <v>0</v>
      </c>
      <c r="R415" s="169">
        <v>0</v>
      </c>
      <c r="S415" s="169">
        <v>0</v>
      </c>
      <c r="T415" s="169">
        <v>0</v>
      </c>
      <c r="V415" s="148"/>
      <c r="W415" s="148"/>
    </row>
    <row r="416" spans="1:24" ht="24" customHeight="1">
      <c r="A416" s="773" t="s">
        <v>959</v>
      </c>
      <c r="B416" s="266"/>
      <c r="C416" s="266"/>
      <c r="D416" s="265" t="s">
        <v>970</v>
      </c>
      <c r="E416" s="266"/>
      <c r="F416" s="266"/>
      <c r="G416" s="266"/>
      <c r="H416" s="266"/>
      <c r="I416" s="266"/>
      <c r="J416" s="266"/>
      <c r="K416" s="266"/>
      <c r="L416" s="224">
        <v>509430</v>
      </c>
      <c r="M416" s="224">
        <v>695767</v>
      </c>
      <c r="N416" s="170">
        <v>400000</v>
      </c>
      <c r="O416" s="170">
        <v>771007</v>
      </c>
      <c r="P416" s="169">
        <v>100000</v>
      </c>
      <c r="Q416" s="169">
        <v>0</v>
      </c>
      <c r="R416" s="169">
        <v>0</v>
      </c>
      <c r="S416" s="169">
        <v>98810</v>
      </c>
      <c r="T416" s="169">
        <v>128403</v>
      </c>
      <c r="V416" s="168"/>
      <c r="W416" s="151"/>
      <c r="X416" s="148"/>
    </row>
    <row r="417" spans="1:40" ht="24" customHeight="1">
      <c r="A417" s="832" t="s">
        <v>1421</v>
      </c>
      <c r="B417" s="266"/>
      <c r="C417" s="266"/>
      <c r="D417" s="265" t="s">
        <v>1422</v>
      </c>
      <c r="E417" s="266"/>
      <c r="F417" s="266"/>
      <c r="G417" s="266"/>
      <c r="H417" s="266"/>
      <c r="I417" s="266"/>
      <c r="J417" s="266"/>
      <c r="K417" s="266"/>
      <c r="L417" s="224">
        <v>0</v>
      </c>
      <c r="M417" s="224">
        <v>0</v>
      </c>
      <c r="N417" s="170">
        <v>0</v>
      </c>
      <c r="O417" s="170">
        <v>0</v>
      </c>
      <c r="P417" s="169">
        <f>ROUND((1000000)+(1000000*0.07),0)</f>
        <v>1070000</v>
      </c>
      <c r="Q417" s="169">
        <v>0</v>
      </c>
      <c r="R417" s="169">
        <v>0</v>
      </c>
      <c r="S417" s="169">
        <v>0</v>
      </c>
      <c r="T417" s="169">
        <v>0</v>
      </c>
      <c r="V417" s="168"/>
      <c r="W417" s="151"/>
    </row>
    <row r="418" spans="1:40" ht="24" customHeight="1">
      <c r="A418" s="758" t="s">
        <v>281</v>
      </c>
      <c r="B418" s="266"/>
      <c r="C418" s="266"/>
      <c r="D418" s="759" t="s">
        <v>165</v>
      </c>
      <c r="E418" s="266"/>
      <c r="F418" s="266"/>
      <c r="G418" s="266"/>
      <c r="H418" s="266"/>
      <c r="I418" s="266"/>
      <c r="J418" s="266"/>
      <c r="K418" s="266"/>
      <c r="L418" s="224">
        <v>3598</v>
      </c>
      <c r="M418" s="224">
        <v>806</v>
      </c>
      <c r="N418" s="147">
        <v>7500</v>
      </c>
      <c r="O418" s="147">
        <v>3000</v>
      </c>
      <c r="P418" s="146">
        <v>5000</v>
      </c>
      <c r="Q418" s="146">
        <v>5000</v>
      </c>
      <c r="R418" s="146">
        <v>5000</v>
      </c>
      <c r="S418" s="146">
        <v>5000</v>
      </c>
      <c r="T418" s="146">
        <v>5000</v>
      </c>
      <c r="V418" s="148"/>
    </row>
    <row r="419" spans="1:40" ht="24" customHeight="1">
      <c r="A419" s="763" t="s">
        <v>950</v>
      </c>
      <c r="B419" s="266"/>
      <c r="C419" s="266"/>
      <c r="D419" s="265" t="s">
        <v>1039</v>
      </c>
      <c r="E419" s="266"/>
      <c r="F419" s="266"/>
      <c r="G419" s="266"/>
      <c r="H419" s="266"/>
      <c r="I419" s="266"/>
      <c r="J419" s="266"/>
      <c r="K419" s="266"/>
      <c r="L419" s="224">
        <v>14055</v>
      </c>
      <c r="M419" s="224">
        <v>39088</v>
      </c>
      <c r="N419" s="147">
        <v>2000</v>
      </c>
      <c r="O419" s="147">
        <v>675</v>
      </c>
      <c r="P419" s="146">
        <v>0</v>
      </c>
      <c r="Q419" s="146">
        <v>0</v>
      </c>
      <c r="R419" s="146">
        <v>0</v>
      </c>
      <c r="S419" s="146">
        <v>0</v>
      </c>
      <c r="T419" s="146">
        <v>0</v>
      </c>
      <c r="V419" s="370"/>
      <c r="W419" s="371"/>
      <c r="X419" s="371"/>
    </row>
    <row r="420" spans="1:40" ht="24" customHeight="1">
      <c r="A420" s="758" t="s">
        <v>844</v>
      </c>
      <c r="B420" s="266"/>
      <c r="C420" s="266"/>
      <c r="D420" s="812" t="s">
        <v>1041</v>
      </c>
      <c r="E420" s="127"/>
      <c r="F420" s="127"/>
      <c r="G420" s="127"/>
      <c r="H420" s="127"/>
      <c r="I420" s="127"/>
      <c r="J420" s="127"/>
      <c r="K420" s="127"/>
      <c r="L420" s="224">
        <v>0</v>
      </c>
      <c r="M420" s="224">
        <v>0</v>
      </c>
      <c r="N420" s="170">
        <v>0</v>
      </c>
      <c r="O420" s="170">
        <v>0</v>
      </c>
      <c r="P420" s="169">
        <v>30333</v>
      </c>
      <c r="Q420" s="169">
        <v>30333</v>
      </c>
      <c r="R420" s="169">
        <v>30333</v>
      </c>
      <c r="S420" s="169">
        <v>0</v>
      </c>
      <c r="T420" s="169">
        <v>0</v>
      </c>
      <c r="V420" s="152"/>
    </row>
    <row r="421" spans="1:40" ht="24" customHeight="1">
      <c r="A421" s="766" t="s">
        <v>846</v>
      </c>
      <c r="B421" s="266"/>
      <c r="C421" s="266"/>
      <c r="D421" s="812" t="s">
        <v>845</v>
      </c>
      <c r="E421" s="266"/>
      <c r="F421" s="266"/>
      <c r="G421" s="266"/>
      <c r="H421" s="266"/>
      <c r="I421" s="266"/>
      <c r="J421" s="266"/>
      <c r="K421" s="266"/>
      <c r="L421" s="224">
        <v>0</v>
      </c>
      <c r="M421" s="224">
        <v>16497</v>
      </c>
      <c r="N421" s="170">
        <v>94600</v>
      </c>
      <c r="O421" s="170">
        <v>81682</v>
      </c>
      <c r="P421" s="169">
        <v>98413</v>
      </c>
      <c r="Q421" s="169">
        <v>98413</v>
      </c>
      <c r="R421" s="169">
        <v>0</v>
      </c>
      <c r="S421" s="169">
        <v>0</v>
      </c>
      <c r="T421" s="169">
        <v>0</v>
      </c>
      <c r="V421" s="168"/>
    </row>
    <row r="422" spans="1:40" ht="24" customHeight="1">
      <c r="A422" s="773" t="s">
        <v>282</v>
      </c>
      <c r="B422" s="266"/>
      <c r="C422" s="266"/>
      <c r="D422" s="774" t="s">
        <v>266</v>
      </c>
      <c r="E422" s="266"/>
      <c r="F422" s="266"/>
      <c r="G422" s="266"/>
      <c r="H422" s="266"/>
      <c r="I422" s="266"/>
      <c r="J422" s="266"/>
      <c r="K422" s="266"/>
      <c r="L422" s="211">
        <v>1377783</v>
      </c>
      <c r="M422" s="211">
        <v>13364</v>
      </c>
      <c r="N422" s="150">
        <v>0</v>
      </c>
      <c r="O422" s="150">
        <v>328914</v>
      </c>
      <c r="P422" s="149">
        <v>0</v>
      </c>
      <c r="Q422" s="149">
        <v>0</v>
      </c>
      <c r="R422" s="149">
        <v>0</v>
      </c>
      <c r="S422" s="149">
        <v>0</v>
      </c>
      <c r="T422" s="149">
        <v>0</v>
      </c>
      <c r="V422" s="152"/>
      <c r="W422" s="182"/>
    </row>
    <row r="423" spans="1:40" ht="24" customHeight="1">
      <c r="A423" s="759" t="s">
        <v>283</v>
      </c>
      <c r="B423" s="266"/>
      <c r="C423" s="266"/>
      <c r="D423" s="759" t="s">
        <v>284</v>
      </c>
      <c r="E423" s="278"/>
      <c r="F423" s="278"/>
      <c r="G423" s="278"/>
      <c r="H423" s="278"/>
      <c r="I423" s="278"/>
      <c r="J423" s="278"/>
      <c r="K423" s="278"/>
      <c r="L423" s="211">
        <v>152183</v>
      </c>
      <c r="M423" s="211">
        <v>0</v>
      </c>
      <c r="N423" s="150">
        <v>0</v>
      </c>
      <c r="O423" s="150">
        <v>0</v>
      </c>
      <c r="P423" s="149">
        <v>0</v>
      </c>
      <c r="Q423" s="149">
        <v>0</v>
      </c>
      <c r="R423" s="149">
        <v>0</v>
      </c>
      <c r="S423" s="149">
        <v>0</v>
      </c>
      <c r="T423" s="149">
        <v>0</v>
      </c>
      <c r="V423" s="148"/>
      <c r="W423" s="182"/>
    </row>
    <row r="424" spans="1:40" ht="24" customHeight="1">
      <c r="A424" s="761" t="s">
        <v>1135</v>
      </c>
      <c r="B424" s="266"/>
      <c r="C424" s="266"/>
      <c r="D424" s="1" t="s">
        <v>1136</v>
      </c>
      <c r="E424" s="278"/>
      <c r="F424" s="278"/>
      <c r="G424" s="278"/>
      <c r="H424" s="278"/>
      <c r="I424" s="278"/>
      <c r="J424" s="278"/>
      <c r="K424" s="278"/>
      <c r="L424" s="212">
        <v>117202</v>
      </c>
      <c r="M424" s="212">
        <v>1211639</v>
      </c>
      <c r="N424" s="156">
        <f>28500+617440</f>
        <v>645940</v>
      </c>
      <c r="O424" s="156">
        <v>627417</v>
      </c>
      <c r="P424" s="153">
        <v>0</v>
      </c>
      <c r="Q424" s="153">
        <v>0</v>
      </c>
      <c r="R424" s="153">
        <v>0</v>
      </c>
      <c r="S424" s="153">
        <v>0</v>
      </c>
      <c r="T424" s="153">
        <v>0</v>
      </c>
      <c r="V424" s="168"/>
      <c r="W424" s="865"/>
      <c r="X424" s="866"/>
      <c r="Y424" s="866"/>
    </row>
    <row r="425" spans="1:40" ht="24" customHeight="1">
      <c r="A425" s="761" t="s">
        <v>1263</v>
      </c>
      <c r="B425" s="266"/>
      <c r="C425" s="266"/>
      <c r="D425" s="1" t="s">
        <v>1306</v>
      </c>
      <c r="E425" s="278"/>
      <c r="F425" s="278"/>
      <c r="G425" s="278"/>
      <c r="H425" s="278"/>
      <c r="I425" s="278"/>
      <c r="J425" s="278"/>
      <c r="K425" s="278"/>
      <c r="L425" s="212">
        <v>0</v>
      </c>
      <c r="M425" s="212">
        <v>0</v>
      </c>
      <c r="N425" s="156">
        <f>470000+52000</f>
        <v>522000</v>
      </c>
      <c r="O425" s="156">
        <v>228480</v>
      </c>
      <c r="P425" s="153">
        <v>0</v>
      </c>
      <c r="Q425" s="153">
        <v>0</v>
      </c>
      <c r="R425" s="153">
        <v>0</v>
      </c>
      <c r="S425" s="153">
        <v>0</v>
      </c>
      <c r="T425" s="153">
        <v>0</v>
      </c>
      <c r="V425" s="168"/>
      <c r="W425" s="478"/>
      <c r="X425" s="478"/>
    </row>
    <row r="426" spans="1:40" ht="24" customHeight="1">
      <c r="A426" s="761" t="s">
        <v>1292</v>
      </c>
      <c r="B426" s="266"/>
      <c r="C426" s="266"/>
      <c r="D426" s="1" t="s">
        <v>1293</v>
      </c>
      <c r="E426" s="278"/>
      <c r="F426" s="278"/>
      <c r="G426" s="278"/>
      <c r="H426" s="278"/>
      <c r="I426" s="278"/>
      <c r="J426" s="278"/>
      <c r="K426" s="278"/>
      <c r="L426" s="212">
        <v>0</v>
      </c>
      <c r="M426" s="212">
        <v>25753</v>
      </c>
      <c r="N426" s="156">
        <f>357300+179200+65000</f>
        <v>601500</v>
      </c>
      <c r="O426" s="156">
        <v>384669</v>
      </c>
      <c r="P426" s="153">
        <v>10000</v>
      </c>
      <c r="Q426" s="153">
        <v>0</v>
      </c>
      <c r="R426" s="153">
        <v>0</v>
      </c>
      <c r="S426" s="153">
        <v>0</v>
      </c>
      <c r="T426" s="153">
        <v>0</v>
      </c>
      <c r="V426" s="168"/>
      <c r="W426" s="478"/>
      <c r="X426" s="478"/>
    </row>
    <row r="427" spans="1:40" ht="24" customHeight="1">
      <c r="A427" s="762" t="s">
        <v>593</v>
      </c>
      <c r="B427" s="266"/>
      <c r="C427" s="266"/>
      <c r="D427" s="762" t="s">
        <v>809</v>
      </c>
      <c r="E427" s="266"/>
      <c r="F427" s="266"/>
      <c r="G427" s="266"/>
      <c r="H427" s="266"/>
      <c r="I427" s="266"/>
      <c r="J427" s="266"/>
      <c r="K427" s="266"/>
      <c r="L427" s="209">
        <v>109946</v>
      </c>
      <c r="M427" s="209">
        <v>3894</v>
      </c>
      <c r="N427" s="147">
        <f>166780+279261</f>
        <v>446041</v>
      </c>
      <c r="O427" s="147">
        <v>409957</v>
      </c>
      <c r="P427" s="146">
        <v>45000</v>
      </c>
      <c r="Q427" s="146">
        <v>0</v>
      </c>
      <c r="R427" s="146">
        <v>0</v>
      </c>
      <c r="S427" s="146">
        <v>0</v>
      </c>
      <c r="T427" s="146">
        <v>0</v>
      </c>
      <c r="V427" s="168"/>
    </row>
    <row r="428" spans="1:40" ht="24" customHeight="1">
      <c r="A428" s="759" t="s">
        <v>1031</v>
      </c>
      <c r="B428" s="266"/>
      <c r="C428" s="266"/>
      <c r="D428" s="899" t="s">
        <v>1040</v>
      </c>
      <c r="E428" s="899"/>
      <c r="F428" s="899"/>
      <c r="G428" s="899"/>
      <c r="H428" s="899"/>
      <c r="I428" s="899"/>
      <c r="J428" s="899"/>
      <c r="K428" s="899"/>
      <c r="L428" s="209">
        <v>613</v>
      </c>
      <c r="M428" s="209">
        <v>0</v>
      </c>
      <c r="N428" s="156">
        <v>0</v>
      </c>
      <c r="O428" s="156">
        <v>0</v>
      </c>
      <c r="P428" s="146">
        <v>0</v>
      </c>
      <c r="Q428" s="146">
        <v>0</v>
      </c>
      <c r="R428" s="146">
        <v>0</v>
      </c>
      <c r="S428" s="146">
        <v>0</v>
      </c>
      <c r="T428" s="146">
        <v>0</v>
      </c>
      <c r="V428" s="401"/>
      <c r="W428" s="401"/>
      <c r="X428" s="401"/>
      <c r="Y428" s="401"/>
      <c r="Z428" s="401"/>
      <c r="AA428" s="401"/>
      <c r="AB428" s="401"/>
      <c r="AC428" s="401"/>
      <c r="AD428" s="401"/>
      <c r="AE428" s="401"/>
      <c r="AF428" s="401"/>
      <c r="AG428" s="401"/>
      <c r="AH428" s="401"/>
      <c r="AI428" s="401"/>
      <c r="AJ428" s="401"/>
      <c r="AK428" s="401"/>
      <c r="AL428" s="401"/>
    </row>
    <row r="429" spans="1:40" ht="24" customHeight="1">
      <c r="A429" s="794" t="s">
        <v>1388</v>
      </c>
      <c r="B429" s="266"/>
      <c r="C429" s="266"/>
      <c r="D429" s="1" t="s">
        <v>1389</v>
      </c>
      <c r="E429" s="795"/>
      <c r="F429" s="795"/>
      <c r="G429" s="795"/>
      <c r="H429" s="795"/>
      <c r="I429" s="795"/>
      <c r="J429" s="795"/>
      <c r="K429" s="795"/>
      <c r="L429" s="209">
        <v>0</v>
      </c>
      <c r="M429" s="209">
        <v>0</v>
      </c>
      <c r="N429" s="156">
        <v>0</v>
      </c>
      <c r="O429" s="156">
        <v>0</v>
      </c>
      <c r="P429" s="146">
        <v>0</v>
      </c>
      <c r="Q429" s="146">
        <v>0</v>
      </c>
      <c r="R429" s="146">
        <v>0</v>
      </c>
      <c r="S429" s="146">
        <v>0</v>
      </c>
      <c r="T429" s="146">
        <f>T370</f>
        <v>171600</v>
      </c>
      <c r="V429" s="840"/>
      <c r="W429" s="840"/>
      <c r="X429" s="840"/>
      <c r="Y429" s="840"/>
      <c r="Z429" s="840"/>
      <c r="AA429" s="840"/>
      <c r="AB429" s="840"/>
      <c r="AC429" s="840"/>
      <c r="AD429" s="840"/>
      <c r="AE429" s="840"/>
      <c r="AF429" s="840"/>
      <c r="AG429" s="840"/>
      <c r="AH429" s="401"/>
      <c r="AI429" s="401"/>
      <c r="AJ429" s="401"/>
      <c r="AK429" s="401"/>
      <c r="AL429" s="401"/>
    </row>
    <row r="430" spans="1:40" ht="24" customHeight="1">
      <c r="A430" s="269" t="s">
        <v>1098</v>
      </c>
      <c r="B430" s="264"/>
      <c r="C430" s="264"/>
      <c r="D430" s="263"/>
      <c r="E430" s="264"/>
      <c r="F430" s="264"/>
      <c r="G430" s="264"/>
      <c r="H430" s="264"/>
      <c r="I430" s="264"/>
      <c r="J430" s="264"/>
      <c r="K430" s="264"/>
      <c r="L430" s="211"/>
      <c r="M430" s="211"/>
      <c r="N430" s="150"/>
      <c r="O430" s="150"/>
      <c r="P430" s="149"/>
      <c r="Q430" s="149"/>
      <c r="R430" s="149"/>
      <c r="S430" s="149"/>
      <c r="T430" s="149"/>
      <c r="V430" s="840"/>
      <c r="W430" s="840"/>
      <c r="X430" s="840"/>
      <c r="Y430" s="840"/>
      <c r="Z430" s="840"/>
      <c r="AA430" s="840"/>
      <c r="AB430" s="840"/>
      <c r="AC430" s="840"/>
      <c r="AD430" s="840"/>
      <c r="AE430" s="840"/>
      <c r="AF430" s="840"/>
      <c r="AG430" s="840"/>
      <c r="AH430" s="840"/>
      <c r="AI430" s="840"/>
      <c r="AJ430" s="840"/>
      <c r="AK430" s="840"/>
      <c r="AL430" s="402"/>
    </row>
    <row r="431" spans="1:40" ht="24" customHeight="1">
      <c r="A431" s="263" t="s">
        <v>1099</v>
      </c>
      <c r="B431" s="319"/>
      <c r="C431" s="319"/>
      <c r="D431" s="263" t="s">
        <v>930</v>
      </c>
      <c r="E431" s="319"/>
      <c r="F431" s="319"/>
      <c r="G431" s="319"/>
      <c r="H431" s="319"/>
      <c r="I431" s="319"/>
      <c r="J431" s="264"/>
      <c r="K431" s="264"/>
      <c r="L431" s="211">
        <v>135000</v>
      </c>
      <c r="M431" s="211">
        <v>185000</v>
      </c>
      <c r="N431" s="150">
        <v>190000</v>
      </c>
      <c r="O431" s="150">
        <v>190000</v>
      </c>
      <c r="P431" s="149">
        <v>190000</v>
      </c>
      <c r="Q431" s="149">
        <v>195000</v>
      </c>
      <c r="R431" s="149">
        <v>200000</v>
      </c>
      <c r="S431" s="149">
        <v>200000</v>
      </c>
      <c r="T431" s="149">
        <v>210000</v>
      </c>
      <c r="V431" s="403"/>
      <c r="W431" s="403"/>
      <c r="X431" s="403"/>
      <c r="Y431" s="403"/>
      <c r="Z431" s="403"/>
      <c r="AA431" s="403"/>
      <c r="AB431" s="403"/>
      <c r="AC431" s="403"/>
      <c r="AD431" s="403"/>
      <c r="AE431" s="403"/>
      <c r="AF431" s="403"/>
      <c r="AG431" s="403"/>
      <c r="AH431" s="403"/>
      <c r="AI431" s="403"/>
      <c r="AJ431" s="403"/>
      <c r="AK431" s="403"/>
      <c r="AL431" s="403"/>
      <c r="AN431" s="193"/>
    </row>
    <row r="432" spans="1:40" ht="24" customHeight="1">
      <c r="A432" s="654" t="s">
        <v>1100</v>
      </c>
      <c r="B432" s="653"/>
      <c r="C432" s="653"/>
      <c r="D432" s="654" t="s">
        <v>273</v>
      </c>
      <c r="E432" s="653"/>
      <c r="F432" s="653"/>
      <c r="G432" s="653"/>
      <c r="H432" s="653"/>
      <c r="I432" s="653"/>
      <c r="J432" s="653"/>
      <c r="K432" s="653"/>
      <c r="L432" s="212">
        <v>195937</v>
      </c>
      <c r="M432" s="212">
        <v>144138</v>
      </c>
      <c r="N432" s="156">
        <v>138588</v>
      </c>
      <c r="O432" s="156">
        <v>138588</v>
      </c>
      <c r="P432" s="153">
        <v>132888</v>
      </c>
      <c r="Q432" s="153">
        <v>127188</v>
      </c>
      <c r="R432" s="153">
        <v>121338</v>
      </c>
      <c r="S432" s="153">
        <v>115338</v>
      </c>
      <c r="T432" s="153">
        <v>109338</v>
      </c>
      <c r="V432" s="403"/>
      <c r="W432" s="403"/>
      <c r="X432" s="403"/>
      <c r="Y432" s="403"/>
      <c r="Z432" s="403"/>
      <c r="AA432" s="403"/>
      <c r="AB432" s="403"/>
      <c r="AC432" s="403"/>
      <c r="AD432" s="403"/>
      <c r="AE432" s="403"/>
      <c r="AF432" s="403"/>
      <c r="AG432" s="403"/>
      <c r="AH432" s="403"/>
      <c r="AI432" s="403"/>
      <c r="AJ432" s="403"/>
      <c r="AK432" s="403"/>
      <c r="AL432" s="403"/>
      <c r="AN432" s="193"/>
    </row>
    <row r="433" spans="1:37" ht="24" customHeight="1">
      <c r="A433" s="269" t="s">
        <v>815</v>
      </c>
      <c r="B433" s="653"/>
      <c r="C433" s="653"/>
      <c r="D433" s="654"/>
      <c r="E433" s="653"/>
      <c r="F433" s="653"/>
      <c r="G433" s="653"/>
      <c r="H433" s="653"/>
      <c r="I433" s="653"/>
      <c r="J433" s="653"/>
      <c r="K433" s="653"/>
      <c r="L433" s="211"/>
      <c r="M433" s="211"/>
      <c r="N433" s="150"/>
      <c r="O433" s="150"/>
      <c r="P433" s="149"/>
      <c r="Q433" s="149"/>
      <c r="R433" s="149"/>
      <c r="S433" s="149"/>
      <c r="T433" s="149"/>
      <c r="V433" s="370"/>
    </row>
    <row r="434" spans="1:37" ht="24" customHeight="1">
      <c r="A434" s="263" t="s">
        <v>285</v>
      </c>
      <c r="B434" s="264"/>
      <c r="C434" s="264"/>
      <c r="D434" s="263" t="s">
        <v>930</v>
      </c>
      <c r="E434" s="264"/>
      <c r="F434" s="264"/>
      <c r="G434" s="264"/>
      <c r="H434" s="264"/>
      <c r="I434" s="264"/>
      <c r="J434" s="264"/>
      <c r="K434" s="264"/>
      <c r="L434" s="211">
        <v>75000</v>
      </c>
      <c r="M434" s="211">
        <v>75000</v>
      </c>
      <c r="N434" s="150">
        <v>75000</v>
      </c>
      <c r="O434" s="150">
        <v>75000</v>
      </c>
      <c r="P434" s="149">
        <v>84675</v>
      </c>
      <c r="Q434" s="149">
        <v>0</v>
      </c>
      <c r="R434" s="149">
        <v>0</v>
      </c>
      <c r="S434" s="149">
        <v>0</v>
      </c>
      <c r="T434" s="149">
        <v>0</v>
      </c>
      <c r="V434" s="193"/>
      <c r="W434" s="151"/>
    </row>
    <row r="435" spans="1:37" ht="6.95" customHeight="1">
      <c r="A435" s="783"/>
      <c r="B435" s="782"/>
      <c r="C435" s="782"/>
      <c r="D435" s="783"/>
      <c r="E435" s="782"/>
      <c r="F435" s="782"/>
      <c r="G435" s="782"/>
      <c r="H435" s="782"/>
      <c r="I435" s="782"/>
      <c r="J435" s="782"/>
      <c r="K435" s="782"/>
      <c r="L435" s="212"/>
      <c r="M435" s="212"/>
      <c r="N435" s="156"/>
      <c r="O435" s="156"/>
      <c r="P435" s="153"/>
      <c r="Q435" s="153"/>
      <c r="R435" s="153"/>
      <c r="S435" s="153"/>
      <c r="T435" s="153"/>
      <c r="V435" s="193"/>
      <c r="W435" s="151"/>
    </row>
    <row r="436" spans="1:37" ht="24" customHeight="1">
      <c r="A436" s="643" t="s">
        <v>1171</v>
      </c>
      <c r="B436" s="266"/>
      <c r="C436" s="266"/>
      <c r="D436" s="644" t="s">
        <v>1150</v>
      </c>
      <c r="E436" s="266"/>
      <c r="F436" s="266"/>
      <c r="G436" s="266"/>
      <c r="H436" s="266"/>
      <c r="I436" s="266"/>
      <c r="J436" s="266"/>
      <c r="K436" s="643"/>
      <c r="L436" s="212">
        <v>5544</v>
      </c>
      <c r="M436" s="212">
        <v>0</v>
      </c>
      <c r="N436" s="156">
        <v>0</v>
      </c>
      <c r="O436" s="156">
        <v>0</v>
      </c>
      <c r="P436" s="153">
        <v>0</v>
      </c>
      <c r="Q436" s="153">
        <v>0</v>
      </c>
      <c r="R436" s="153">
        <v>0</v>
      </c>
      <c r="S436" s="153">
        <v>0</v>
      </c>
      <c r="T436" s="153">
        <v>0</v>
      </c>
      <c r="V436" s="193"/>
      <c r="W436" s="151"/>
    </row>
    <row r="437" spans="1:37" ht="24" customHeight="1">
      <c r="A437" s="643" t="s">
        <v>1264</v>
      </c>
      <c r="B437" s="266"/>
      <c r="C437" s="266"/>
      <c r="D437" s="654" t="s">
        <v>206</v>
      </c>
      <c r="E437" s="266"/>
      <c r="F437" s="266"/>
      <c r="G437" s="266"/>
      <c r="H437" s="266"/>
      <c r="I437" s="266"/>
      <c r="J437" s="266"/>
      <c r="K437" s="653"/>
      <c r="L437" s="217">
        <v>0</v>
      </c>
      <c r="M437" s="217">
        <v>0</v>
      </c>
      <c r="N437" s="162">
        <v>71510</v>
      </c>
      <c r="O437" s="162">
        <f t="shared" ref="O437:T437" si="45">O567</f>
        <v>65074</v>
      </c>
      <c r="P437" s="161">
        <f t="shared" si="45"/>
        <v>64866</v>
      </c>
      <c r="Q437" s="161">
        <f t="shared" si="45"/>
        <v>104641</v>
      </c>
      <c r="R437" s="161">
        <f t="shared" si="45"/>
        <v>103632</v>
      </c>
      <c r="S437" s="161">
        <f t="shared" si="45"/>
        <v>104293</v>
      </c>
      <c r="T437" s="161">
        <f t="shared" si="45"/>
        <v>103945</v>
      </c>
      <c r="V437" s="845"/>
      <c r="W437" s="845"/>
      <c r="X437" s="844"/>
    </row>
    <row r="438" spans="1:37" s="202" customFormat="1" ht="24" customHeight="1">
      <c r="D438" s="655"/>
      <c r="E438" s="655"/>
      <c r="F438" s="655"/>
      <c r="G438" s="655"/>
      <c r="H438" s="655"/>
      <c r="I438" s="655"/>
      <c r="J438" s="655"/>
      <c r="K438" s="655"/>
      <c r="L438" s="220">
        <f t="shared" ref="L438:T438" si="46">SUM(L398:L437)</f>
        <v>3204177</v>
      </c>
      <c r="M438" s="220">
        <f t="shared" si="46"/>
        <v>3288567</v>
      </c>
      <c r="N438" s="221">
        <f t="shared" si="46"/>
        <v>3502526</v>
      </c>
      <c r="O438" s="221">
        <f t="shared" si="46"/>
        <v>3504317</v>
      </c>
      <c r="P438" s="220">
        <f t="shared" si="46"/>
        <v>2387153</v>
      </c>
      <c r="Q438" s="220">
        <f t="shared" si="46"/>
        <v>685025</v>
      </c>
      <c r="R438" s="220">
        <f t="shared" si="46"/>
        <v>584753</v>
      </c>
      <c r="S438" s="220">
        <f t="shared" si="46"/>
        <v>530116</v>
      </c>
      <c r="T438" s="220">
        <f t="shared" si="46"/>
        <v>769961</v>
      </c>
      <c r="U438" s="65"/>
      <c r="V438" s="845"/>
      <c r="W438" s="845"/>
      <c r="X438" s="844"/>
      <c r="Y438" s="838"/>
      <c r="Z438" s="838"/>
      <c r="AA438" s="838"/>
      <c r="AB438" s="838"/>
      <c r="AC438" s="838"/>
      <c r="AD438" s="838"/>
      <c r="AE438" s="838"/>
      <c r="AF438" s="838"/>
      <c r="AG438" s="838"/>
      <c r="AH438" s="838"/>
      <c r="AI438" s="838"/>
      <c r="AJ438" s="838"/>
      <c r="AK438" s="838"/>
    </row>
    <row r="439" spans="1:37" s="202" customFormat="1" ht="15" customHeight="1">
      <c r="L439" s="220"/>
      <c r="M439" s="220"/>
      <c r="N439" s="221"/>
      <c r="O439" s="221"/>
      <c r="P439" s="220"/>
      <c r="Q439" s="220"/>
      <c r="R439" s="220"/>
      <c r="S439" s="220"/>
      <c r="T439" s="220"/>
      <c r="U439" s="65"/>
      <c r="V439" s="838"/>
      <c r="W439" s="838"/>
      <c r="X439" s="838"/>
      <c r="Y439" s="838"/>
      <c r="Z439" s="838"/>
      <c r="AA439" s="838"/>
      <c r="AB439" s="838"/>
      <c r="AC439" s="838"/>
      <c r="AD439" s="838"/>
      <c r="AE439" s="838"/>
      <c r="AF439" s="838"/>
      <c r="AG439" s="838"/>
      <c r="AH439" s="838"/>
      <c r="AI439" s="838"/>
      <c r="AJ439" s="838"/>
      <c r="AK439" s="838"/>
    </row>
    <row r="440" spans="1:37" s="202" customFormat="1" ht="24" customHeight="1">
      <c r="K440" s="267" t="s">
        <v>484</v>
      </c>
      <c r="L440" s="220">
        <f t="shared" ref="L440:T440" si="47">L395+L438</f>
        <v>3269314</v>
      </c>
      <c r="M440" s="220">
        <f t="shared" si="47"/>
        <v>3374664</v>
      </c>
      <c r="N440" s="221">
        <f t="shared" si="47"/>
        <v>3669526</v>
      </c>
      <c r="O440" s="221">
        <f t="shared" si="47"/>
        <v>3781732</v>
      </c>
      <c r="P440" s="220">
        <f t="shared" si="47"/>
        <v>2622153</v>
      </c>
      <c r="Q440" s="220">
        <f t="shared" si="47"/>
        <v>878525</v>
      </c>
      <c r="R440" s="220">
        <f t="shared" si="47"/>
        <v>812355</v>
      </c>
      <c r="S440" s="220">
        <f t="shared" si="47"/>
        <v>764864</v>
      </c>
      <c r="T440" s="220">
        <f t="shared" si="47"/>
        <v>1012284</v>
      </c>
      <c r="U440" s="65"/>
      <c r="V440" s="845"/>
      <c r="W440" s="845"/>
      <c r="X440" s="844"/>
      <c r="Y440" s="838"/>
      <c r="Z440" s="838"/>
      <c r="AA440" s="838"/>
      <c r="AB440" s="838"/>
      <c r="AC440" s="838"/>
      <c r="AD440" s="838"/>
      <c r="AE440" s="838"/>
      <c r="AF440" s="838"/>
      <c r="AG440" s="838"/>
      <c r="AH440" s="838"/>
      <c r="AI440" s="838"/>
      <c r="AJ440" s="838"/>
      <c r="AK440" s="838"/>
    </row>
    <row r="441" spans="1:37" s="202" customFormat="1" ht="15" customHeight="1">
      <c r="L441" s="218"/>
      <c r="M441" s="218"/>
      <c r="N441" s="219"/>
      <c r="O441" s="219"/>
      <c r="P441" s="218"/>
      <c r="Q441" s="218"/>
      <c r="R441" s="218"/>
      <c r="S441" s="218"/>
      <c r="T441" s="218"/>
      <c r="U441" s="65"/>
      <c r="V441" s="845"/>
      <c r="W441" s="845"/>
      <c r="X441" s="844"/>
      <c r="Y441" s="838"/>
      <c r="Z441" s="838"/>
      <c r="AA441" s="838"/>
      <c r="AB441" s="838"/>
      <c r="AC441" s="838"/>
      <c r="AD441" s="838"/>
      <c r="AE441" s="838"/>
      <c r="AF441" s="838"/>
      <c r="AG441" s="838"/>
      <c r="AH441" s="838"/>
      <c r="AI441" s="838"/>
      <c r="AJ441" s="838"/>
      <c r="AK441" s="838"/>
    </row>
    <row r="442" spans="1:37" s="202" customFormat="1" ht="24" customHeight="1">
      <c r="K442" s="267" t="s">
        <v>485</v>
      </c>
      <c r="L442" s="237">
        <f t="shared" ref="L442:T442" si="48">L384-L440</f>
        <v>-1680799</v>
      </c>
      <c r="M442" s="237">
        <f t="shared" si="48"/>
        <v>-1648379</v>
      </c>
      <c r="N442" s="238">
        <f t="shared" si="48"/>
        <v>-963761</v>
      </c>
      <c r="O442" s="238">
        <f t="shared" si="48"/>
        <v>-947771</v>
      </c>
      <c r="P442" s="237">
        <f t="shared" si="48"/>
        <v>-438576</v>
      </c>
      <c r="Q442" s="237">
        <f t="shared" si="48"/>
        <v>-43976</v>
      </c>
      <c r="R442" s="237">
        <f t="shared" si="48"/>
        <v>22194</v>
      </c>
      <c r="S442" s="237">
        <f t="shared" si="48"/>
        <v>67136</v>
      </c>
      <c r="T442" s="237">
        <f t="shared" si="48"/>
        <v>-8684</v>
      </c>
      <c r="U442" s="65"/>
      <c r="V442" s="838"/>
      <c r="W442" s="838"/>
      <c r="X442" s="838"/>
      <c r="Y442" s="838"/>
      <c r="Z442" s="838"/>
      <c r="AA442" s="838"/>
      <c r="AB442" s="838"/>
      <c r="AC442" s="838"/>
      <c r="AD442" s="838"/>
      <c r="AE442" s="838"/>
      <c r="AF442" s="838"/>
      <c r="AG442" s="838"/>
      <c r="AH442" s="838"/>
      <c r="AI442" s="838"/>
      <c r="AJ442" s="838"/>
      <c r="AK442" s="838"/>
    </row>
    <row r="443" spans="1:37" s="202" customFormat="1" ht="15" customHeight="1">
      <c r="K443" s="267"/>
      <c r="L443" s="237"/>
      <c r="M443" s="237"/>
      <c r="N443" s="238"/>
      <c r="O443" s="238"/>
      <c r="P443" s="237"/>
      <c r="Q443" s="237"/>
      <c r="R443" s="237"/>
      <c r="S443" s="237"/>
      <c r="T443" s="237"/>
      <c r="U443" s="65"/>
      <c r="V443" s="838"/>
      <c r="W443" s="838"/>
      <c r="X443" s="838"/>
      <c r="Y443" s="838"/>
      <c r="Z443" s="838"/>
      <c r="AA443" s="838"/>
      <c r="AB443" s="838"/>
      <c r="AC443" s="838"/>
      <c r="AD443" s="838"/>
      <c r="AE443" s="838"/>
      <c r="AF443" s="838"/>
      <c r="AG443" s="838"/>
      <c r="AH443" s="838"/>
      <c r="AI443" s="838"/>
      <c r="AJ443" s="838"/>
      <c r="AK443" s="838"/>
    </row>
    <row r="444" spans="1:37" s="202" customFormat="1" ht="24" customHeight="1">
      <c r="K444" s="272" t="s">
        <v>487</v>
      </c>
      <c r="L444" s="829">
        <v>3003908</v>
      </c>
      <c r="M444" s="829">
        <v>1355530</v>
      </c>
      <c r="N444" s="830">
        <v>144741</v>
      </c>
      <c r="O444" s="830">
        <f>M444+O442</f>
        <v>407759</v>
      </c>
      <c r="P444" s="829">
        <f>O444+P442</f>
        <v>-30817</v>
      </c>
      <c r="Q444" s="829">
        <f>Q442+P444</f>
        <v>-74793</v>
      </c>
      <c r="R444" s="829">
        <f>R442+Q444</f>
        <v>-52599</v>
      </c>
      <c r="S444" s="829">
        <f>S442+R444</f>
        <v>14537</v>
      </c>
      <c r="T444" s="829">
        <f>T442+S444</f>
        <v>5853</v>
      </c>
      <c r="U444" s="65"/>
      <c r="V444" s="838"/>
      <c r="W444" s="838"/>
      <c r="X444" s="838"/>
      <c r="Y444" s="838"/>
      <c r="Z444" s="838"/>
      <c r="AA444" s="838"/>
      <c r="AB444" s="838"/>
      <c r="AC444" s="838"/>
      <c r="AD444" s="838"/>
      <c r="AE444" s="838"/>
      <c r="AF444" s="838"/>
      <c r="AG444" s="838"/>
      <c r="AH444" s="838"/>
      <c r="AI444" s="838"/>
      <c r="AJ444" s="838"/>
      <c r="AK444" s="838"/>
    </row>
    <row r="445" spans="1:37" ht="15" customHeight="1">
      <c r="A445" s="202"/>
      <c r="B445" s="202"/>
      <c r="C445" s="202"/>
      <c r="D445" s="202"/>
      <c r="E445" s="202"/>
      <c r="F445" s="202"/>
      <c r="G445" s="202"/>
      <c r="H445" s="202"/>
      <c r="I445" s="202"/>
      <c r="J445" s="202"/>
      <c r="K445" s="272"/>
      <c r="L445" s="355"/>
      <c r="M445" s="355"/>
      <c r="N445" s="360"/>
      <c r="O445" s="360"/>
      <c r="P445" s="361"/>
      <c r="Q445" s="361"/>
      <c r="R445" s="361"/>
      <c r="S445" s="361"/>
      <c r="T445" s="361"/>
    </row>
    <row r="446" spans="1:37" ht="24" customHeight="1">
      <c r="A446" s="274" t="s">
        <v>852</v>
      </c>
      <c r="B446" s="477"/>
      <c r="C446" s="477"/>
      <c r="D446" s="477"/>
      <c r="E446" s="477"/>
      <c r="F446" s="477"/>
      <c r="G446" s="202"/>
      <c r="H446" s="202"/>
      <c r="I446" s="202"/>
      <c r="J446" s="202"/>
      <c r="K446" s="272"/>
      <c r="L446" s="355"/>
      <c r="M446" s="355"/>
      <c r="N446" s="360"/>
      <c r="O446" s="360"/>
      <c r="P446" s="361"/>
      <c r="Q446" s="361"/>
      <c r="R446" s="361"/>
      <c r="S446" s="361"/>
      <c r="T446" s="361"/>
    </row>
    <row r="447" spans="1:37" ht="15" customHeight="1">
      <c r="A447" s="202"/>
      <c r="B447" s="202"/>
      <c r="C447" s="202"/>
      <c r="D447" s="511"/>
      <c r="E447" s="511"/>
      <c r="F447" s="511"/>
      <c r="G447" s="511"/>
      <c r="H447" s="511"/>
      <c r="I447" s="511"/>
      <c r="J447" s="511"/>
      <c r="K447" s="272"/>
      <c r="L447" s="355"/>
      <c r="M447" s="355"/>
      <c r="N447" s="360"/>
      <c r="O447" s="360"/>
      <c r="P447" s="361"/>
      <c r="Q447" s="361"/>
      <c r="R447" s="361"/>
      <c r="S447" s="361"/>
      <c r="T447" s="361"/>
    </row>
    <row r="448" spans="1:37" ht="24" customHeight="1">
      <c r="A448" s="263" t="s">
        <v>1065</v>
      </c>
      <c r="B448" s="264"/>
      <c r="C448" s="202"/>
      <c r="D448" s="263" t="s">
        <v>853</v>
      </c>
      <c r="E448" s="523"/>
      <c r="F448" s="524"/>
      <c r="G448" s="524"/>
      <c r="H448" s="524"/>
      <c r="I448" s="524"/>
      <c r="J448" s="524"/>
      <c r="K448" s="524"/>
      <c r="L448" s="224">
        <v>12900</v>
      </c>
      <c r="M448" s="224">
        <v>32100</v>
      </c>
      <c r="N448" s="170">
        <v>25000</v>
      </c>
      <c r="O448" s="170">
        <v>33000</v>
      </c>
      <c r="P448" s="169">
        <f>ROUND(((150*120)*0.3)+((120*300)*0.7),0)</f>
        <v>30600</v>
      </c>
      <c r="Q448" s="169">
        <f>ROUND(((110*150)*0.3)+((110*300)*0.7),0)</f>
        <v>28050</v>
      </c>
      <c r="R448" s="169">
        <f>ROUND(((110*150)*0.3)+((110*300)*0.7),0)</f>
        <v>28050</v>
      </c>
      <c r="S448" s="169">
        <f>ROUND(((110*150)*0.3)+((110*300)*0.7),0)</f>
        <v>28050</v>
      </c>
      <c r="T448" s="169">
        <f>ROUND(((110*150)*0.3)+((110*300)*0.7),0)</f>
        <v>28050</v>
      </c>
      <c r="V448" s="447"/>
      <c r="W448" s="152"/>
      <c r="X448" s="148"/>
    </row>
    <row r="449" spans="1:23" ht="24" customHeight="1">
      <c r="A449" s="263" t="s">
        <v>1023</v>
      </c>
      <c r="B449" s="264"/>
      <c r="C449" s="202"/>
      <c r="D449" s="750" t="s">
        <v>825</v>
      </c>
      <c r="E449" s="748"/>
      <c r="F449" s="749"/>
      <c r="G449" s="749"/>
      <c r="H449" s="749"/>
      <c r="I449" s="749"/>
      <c r="J449" s="749"/>
      <c r="K449" s="749"/>
      <c r="L449" s="224">
        <v>43410</v>
      </c>
      <c r="M449" s="224">
        <v>28700</v>
      </c>
      <c r="N449" s="170">
        <v>0</v>
      </c>
      <c r="O449" s="170">
        <v>0</v>
      </c>
      <c r="P449" s="169">
        <v>0</v>
      </c>
      <c r="Q449" s="169">
        <v>0</v>
      </c>
      <c r="R449" s="169">
        <v>0</v>
      </c>
      <c r="S449" s="169">
        <v>0</v>
      </c>
      <c r="T449" s="169">
        <v>0</v>
      </c>
      <c r="V449" s="447"/>
      <c r="W449" s="199"/>
    </row>
    <row r="450" spans="1:23" ht="24" customHeight="1">
      <c r="A450" s="389" t="s">
        <v>1063</v>
      </c>
      <c r="B450" s="202"/>
      <c r="C450" s="202"/>
      <c r="D450" s="263" t="s">
        <v>275</v>
      </c>
      <c r="E450" s="511"/>
      <c r="F450" s="511"/>
      <c r="G450" s="511"/>
      <c r="H450" s="511"/>
      <c r="I450" s="511"/>
      <c r="J450" s="511"/>
      <c r="K450" s="511"/>
      <c r="L450" s="224">
        <v>3250</v>
      </c>
      <c r="M450" s="224">
        <v>8600</v>
      </c>
      <c r="N450" s="170">
        <v>6000</v>
      </c>
      <c r="O450" s="170">
        <v>9000</v>
      </c>
      <c r="P450" s="169">
        <f>ROUND(120*100,0)</f>
        <v>12000</v>
      </c>
      <c r="Q450" s="169">
        <f>ROUND(110*100,0)</f>
        <v>11000</v>
      </c>
      <c r="R450" s="169">
        <f>ROUND(110*100,0)</f>
        <v>11000</v>
      </c>
      <c r="S450" s="169">
        <f>ROUND(110*100,0)</f>
        <v>11000</v>
      </c>
      <c r="T450" s="169">
        <f>ROUND(110*100,0)</f>
        <v>11000</v>
      </c>
      <c r="V450" s="447"/>
    </row>
    <row r="451" spans="1:23" ht="24" customHeight="1">
      <c r="A451" s="263" t="s">
        <v>1064</v>
      </c>
      <c r="B451" s="264"/>
      <c r="C451" s="202"/>
      <c r="D451" s="263" t="s">
        <v>854</v>
      </c>
      <c r="E451" s="523"/>
      <c r="F451" s="524"/>
      <c r="G451" s="524"/>
      <c r="H451" s="524"/>
      <c r="I451" s="524"/>
      <c r="J451" s="524"/>
      <c r="K451" s="524"/>
      <c r="L451" s="209">
        <v>26240</v>
      </c>
      <c r="M451" s="209">
        <v>60350</v>
      </c>
      <c r="N451" s="170">
        <v>40000</v>
      </c>
      <c r="O451" s="170">
        <v>75000</v>
      </c>
      <c r="P451" s="169">
        <f>ROUND(((120*450)*0.4)+((120*700)*0.6),0)</f>
        <v>72000</v>
      </c>
      <c r="Q451" s="169">
        <f>ROUND(((110*450)*0.4)+((110*700)*0.6),0)</f>
        <v>66000</v>
      </c>
      <c r="R451" s="169">
        <f>ROUND(((110*450)*0.4)+((110*700)*0.6),0)</f>
        <v>66000</v>
      </c>
      <c r="S451" s="169">
        <f>ROUND(((110*450)*0.4)+((110*700)*0.6),0)</f>
        <v>66000</v>
      </c>
      <c r="T451" s="169">
        <f>ROUND(((110*450)*0.4)+((110*700)*0.6),0)</f>
        <v>66000</v>
      </c>
      <c r="V451" s="447"/>
      <c r="W451" s="152"/>
    </row>
    <row r="452" spans="1:23" ht="24" customHeight="1">
      <c r="A452" s="263" t="s">
        <v>1066</v>
      </c>
      <c r="B452" s="264"/>
      <c r="C452" s="202"/>
      <c r="D452" s="263" t="s">
        <v>885</v>
      </c>
      <c r="E452" s="523"/>
      <c r="F452" s="524"/>
      <c r="G452" s="524"/>
      <c r="H452" s="524"/>
      <c r="I452" s="524"/>
      <c r="J452" s="524"/>
      <c r="K452" s="524"/>
      <c r="L452" s="224">
        <v>1625</v>
      </c>
      <c r="M452" s="224">
        <v>4300</v>
      </c>
      <c r="N452" s="170">
        <v>2500</v>
      </c>
      <c r="O452" s="170">
        <v>5000</v>
      </c>
      <c r="P452" s="169">
        <f>ROUND(120*50,0)</f>
        <v>6000</v>
      </c>
      <c r="Q452" s="169">
        <f>ROUND(110*50,0)</f>
        <v>5500</v>
      </c>
      <c r="R452" s="169">
        <f>ROUND(110*50,0)</f>
        <v>5500</v>
      </c>
      <c r="S452" s="169">
        <f>ROUND(110*50,0)</f>
        <v>5500</v>
      </c>
      <c r="T452" s="169">
        <f>ROUND(110*50,0)</f>
        <v>5500</v>
      </c>
      <c r="V452" s="447"/>
      <c r="W452" s="152"/>
    </row>
    <row r="453" spans="1:23" ht="24" customHeight="1">
      <c r="A453" s="580" t="s">
        <v>1225</v>
      </c>
      <c r="B453" s="579"/>
      <c r="C453" s="581"/>
      <c r="D453" s="624" t="s">
        <v>1213</v>
      </c>
      <c r="E453" s="579"/>
      <c r="F453" s="581"/>
      <c r="G453" s="581"/>
      <c r="H453" s="581"/>
      <c r="I453" s="581"/>
      <c r="J453" s="581"/>
      <c r="K453" s="581"/>
      <c r="L453" s="224">
        <v>1725</v>
      </c>
      <c r="M453" s="224">
        <v>0</v>
      </c>
      <c r="N453" s="170">
        <v>0</v>
      </c>
      <c r="O453" s="170">
        <v>0</v>
      </c>
      <c r="P453" s="169">
        <v>0</v>
      </c>
      <c r="Q453" s="169">
        <v>0</v>
      </c>
      <c r="R453" s="169">
        <v>0</v>
      </c>
      <c r="S453" s="169">
        <v>0</v>
      </c>
      <c r="T453" s="169">
        <v>0</v>
      </c>
      <c r="V453" s="447"/>
      <c r="W453" s="199"/>
    </row>
    <row r="454" spans="1:23" ht="24" customHeight="1">
      <c r="A454" s="263" t="s">
        <v>1067</v>
      </c>
      <c r="B454" s="264"/>
      <c r="C454" s="202"/>
      <c r="D454" s="907" t="s">
        <v>269</v>
      </c>
      <c r="E454" s="907"/>
      <c r="F454" s="907"/>
      <c r="G454" s="907"/>
      <c r="H454" s="907"/>
      <c r="I454" s="907"/>
      <c r="J454" s="907"/>
      <c r="K454" s="907"/>
      <c r="L454" s="209">
        <v>10803</v>
      </c>
      <c r="M454" s="209">
        <v>5865</v>
      </c>
      <c r="N454" s="147">
        <v>7000</v>
      </c>
      <c r="O454" s="147">
        <v>6000</v>
      </c>
      <c r="P454" s="146">
        <v>6000</v>
      </c>
      <c r="Q454" s="146">
        <v>6000</v>
      </c>
      <c r="R454" s="146">
        <v>6000</v>
      </c>
      <c r="S454" s="146">
        <v>6000</v>
      </c>
      <c r="T454" s="146">
        <v>6000</v>
      </c>
      <c r="V454" s="447"/>
      <c r="W454" s="199"/>
    </row>
    <row r="455" spans="1:23" ht="24" customHeight="1">
      <c r="A455" s="263" t="s">
        <v>1068</v>
      </c>
      <c r="B455" s="264"/>
      <c r="C455" s="202"/>
      <c r="D455" s="907" t="s">
        <v>817</v>
      </c>
      <c r="E455" s="907"/>
      <c r="F455" s="907"/>
      <c r="G455" s="907"/>
      <c r="H455" s="907"/>
      <c r="I455" s="907"/>
      <c r="J455" s="907"/>
      <c r="K455" s="907"/>
      <c r="L455" s="209">
        <v>571</v>
      </c>
      <c r="M455" s="209">
        <v>743</v>
      </c>
      <c r="N455" s="147">
        <v>700</v>
      </c>
      <c r="O455" s="147">
        <v>700</v>
      </c>
      <c r="P455" s="146">
        <v>700</v>
      </c>
      <c r="Q455" s="146">
        <v>700</v>
      </c>
      <c r="R455" s="146">
        <v>700</v>
      </c>
      <c r="S455" s="146">
        <v>700</v>
      </c>
      <c r="T455" s="146">
        <v>700</v>
      </c>
      <c r="V455" s="447"/>
      <c r="W455" s="199"/>
    </row>
    <row r="456" spans="1:23" ht="24" customHeight="1">
      <c r="A456" s="263" t="s">
        <v>1069</v>
      </c>
      <c r="B456" s="264"/>
      <c r="C456" s="202"/>
      <c r="D456" s="907" t="s">
        <v>584</v>
      </c>
      <c r="E456" s="907"/>
      <c r="F456" s="907"/>
      <c r="G456" s="907"/>
      <c r="H456" s="907"/>
      <c r="I456" s="907"/>
      <c r="J456" s="907"/>
      <c r="K456" s="907"/>
      <c r="L456" s="209">
        <v>0</v>
      </c>
      <c r="M456" s="209">
        <v>0</v>
      </c>
      <c r="N456" s="147">
        <v>0</v>
      </c>
      <c r="O456" s="147">
        <v>0</v>
      </c>
      <c r="P456" s="146">
        <v>0</v>
      </c>
      <c r="Q456" s="146">
        <v>0</v>
      </c>
      <c r="R456" s="146">
        <v>0</v>
      </c>
      <c r="S456" s="146">
        <v>0</v>
      </c>
      <c r="T456" s="146">
        <v>0</v>
      </c>
      <c r="V456" s="447"/>
      <c r="W456" s="152"/>
    </row>
    <row r="457" spans="1:23" ht="24" customHeight="1">
      <c r="A457" s="263" t="s">
        <v>1070</v>
      </c>
      <c r="B457" s="202"/>
      <c r="C457" s="202"/>
      <c r="D457" s="263" t="s">
        <v>272</v>
      </c>
      <c r="E457" s="202"/>
      <c r="F457" s="202"/>
      <c r="G457" s="202"/>
      <c r="H457" s="202"/>
      <c r="I457" s="202"/>
      <c r="J457" s="202"/>
      <c r="K457" s="202"/>
      <c r="L457" s="224">
        <v>5744</v>
      </c>
      <c r="M457" s="224">
        <v>1955</v>
      </c>
      <c r="N457" s="170">
        <v>3000</v>
      </c>
      <c r="O457" s="170">
        <v>629</v>
      </c>
      <c r="P457" s="169">
        <v>2000</v>
      </c>
      <c r="Q457" s="169">
        <v>2000</v>
      </c>
      <c r="R457" s="169">
        <v>2000</v>
      </c>
      <c r="S457" s="169">
        <v>2000</v>
      </c>
      <c r="T457" s="169">
        <v>2000</v>
      </c>
      <c r="V457" s="447"/>
    </row>
    <row r="458" spans="1:23" ht="24" customHeight="1">
      <c r="A458" s="715" t="s">
        <v>1342</v>
      </c>
      <c r="B458" s="714"/>
      <c r="C458" s="714"/>
      <c r="D458" s="715" t="s">
        <v>1343</v>
      </c>
      <c r="E458" s="714"/>
      <c r="F458" s="714"/>
      <c r="G458" s="714"/>
      <c r="H458" s="714"/>
      <c r="I458" s="714"/>
      <c r="J458" s="714"/>
      <c r="K458" s="714"/>
      <c r="L458" s="224">
        <v>0</v>
      </c>
      <c r="M458" s="224">
        <v>0</v>
      </c>
      <c r="N458" s="170">
        <v>0</v>
      </c>
      <c r="O458" s="170">
        <v>0</v>
      </c>
      <c r="P458" s="169">
        <v>40000</v>
      </c>
      <c r="Q458" s="169">
        <v>0</v>
      </c>
      <c r="R458" s="169">
        <v>0</v>
      </c>
      <c r="S458" s="169">
        <v>0</v>
      </c>
      <c r="T458" s="169">
        <v>0</v>
      </c>
      <c r="V458" s="447"/>
      <c r="W458" s="152"/>
    </row>
    <row r="459" spans="1:23" ht="24" customHeight="1">
      <c r="A459" s="263" t="s">
        <v>1071</v>
      </c>
      <c r="B459" s="202"/>
      <c r="C459" s="202"/>
      <c r="D459" s="263" t="s">
        <v>918</v>
      </c>
      <c r="E459" s="420"/>
      <c r="F459" s="420"/>
      <c r="G459" s="420"/>
      <c r="H459" s="420"/>
      <c r="I459" s="420"/>
      <c r="J459" s="420"/>
      <c r="K459" s="420"/>
      <c r="L459" s="224">
        <v>174263</v>
      </c>
      <c r="M459" s="224">
        <v>97459</v>
      </c>
      <c r="N459" s="170">
        <v>167600</v>
      </c>
      <c r="O459" s="170">
        <f>44633+20000+110000-32000+334+24333-8000+7300+1000-11165-2000+7735-10097-1417</f>
        <v>150656</v>
      </c>
      <c r="P459" s="169">
        <f>44633-9000+1667-8000+1000+6200-13250+550+7650</f>
        <v>31450</v>
      </c>
      <c r="Q459" s="169">
        <f>44633-9000+1667-8000+1000+6200-5600+550+2550</f>
        <v>34000</v>
      </c>
      <c r="R459" s="169">
        <f>44633-9000+1667-8000+1000+1200-5600+550+2550</f>
        <v>29000</v>
      </c>
      <c r="S459" s="169">
        <f>44633-9000+1667-8000+1000+1200-5600+550+2550</f>
        <v>29000</v>
      </c>
      <c r="T459" s="169">
        <f>44633-9000+1667-8000+1000+1200-5600+550+2550</f>
        <v>29000</v>
      </c>
      <c r="V459" s="447"/>
    </row>
    <row r="460" spans="1:23" ht="24" customHeight="1">
      <c r="A460" s="263" t="s">
        <v>1072</v>
      </c>
      <c r="B460" s="202"/>
      <c r="C460" s="202"/>
      <c r="D460" s="263" t="s">
        <v>919</v>
      </c>
      <c r="E460" s="420"/>
      <c r="F460" s="420"/>
      <c r="G460" s="420"/>
      <c r="H460" s="420"/>
      <c r="I460" s="420"/>
      <c r="J460" s="420"/>
      <c r="K460" s="420"/>
      <c r="L460" s="224">
        <v>194379</v>
      </c>
      <c r="M460" s="224">
        <v>63626</v>
      </c>
      <c r="N460" s="170">
        <f>84065-55500-9141+49141-12111+16000+8311-8000+3200</f>
        <v>75965</v>
      </c>
      <c r="O460" s="170">
        <f>84065-55500-9141+49141-12111+16000+8311-8000+3200-13932-7600-4000-1505-10097</f>
        <v>38831</v>
      </c>
      <c r="P460" s="169">
        <v>0</v>
      </c>
      <c r="Q460" s="169">
        <v>0</v>
      </c>
      <c r="R460" s="169">
        <v>0</v>
      </c>
      <c r="S460" s="169">
        <v>0</v>
      </c>
      <c r="T460" s="169">
        <v>2826</v>
      </c>
      <c r="V460" s="447"/>
    </row>
    <row r="461" spans="1:23" ht="24" customHeight="1">
      <c r="A461" s="263" t="s">
        <v>1073</v>
      </c>
      <c r="B461" s="329"/>
      <c r="C461" s="329"/>
      <c r="D461" s="263" t="s">
        <v>1008</v>
      </c>
      <c r="E461" s="420"/>
      <c r="F461" s="420"/>
      <c r="G461" s="420"/>
      <c r="H461" s="420"/>
      <c r="I461" s="420"/>
      <c r="J461" s="420"/>
      <c r="K461" s="420"/>
      <c r="L461" s="224">
        <v>0</v>
      </c>
      <c r="M461" s="224">
        <v>73908</v>
      </c>
      <c r="N461" s="170">
        <v>0</v>
      </c>
      <c r="O461" s="170">
        <f>50000+20000</f>
        <v>70000</v>
      </c>
      <c r="P461" s="169">
        <v>0</v>
      </c>
      <c r="Q461" s="169">
        <v>0</v>
      </c>
      <c r="R461" s="169">
        <v>0</v>
      </c>
      <c r="S461" s="169">
        <v>0</v>
      </c>
      <c r="T461" s="169">
        <v>0</v>
      </c>
      <c r="V461" s="447"/>
    </row>
    <row r="462" spans="1:23" ht="24" customHeight="1">
      <c r="A462" s="727" t="s">
        <v>1367</v>
      </c>
      <c r="B462" s="726"/>
      <c r="C462" s="726"/>
      <c r="D462" s="1" t="s">
        <v>1368</v>
      </c>
      <c r="E462" s="726"/>
      <c r="F462" s="726"/>
      <c r="G462" s="726"/>
      <c r="H462" s="726"/>
      <c r="I462" s="726"/>
      <c r="J462" s="726"/>
      <c r="K462" s="726"/>
      <c r="L462" s="224">
        <f t="shared" ref="L462:T462" si="49">L80+L106+L136+L174+L203+L589+L694+L820+L850</f>
        <v>0</v>
      </c>
      <c r="M462" s="224">
        <f t="shared" si="49"/>
        <v>0</v>
      </c>
      <c r="N462" s="730">
        <f t="shared" si="49"/>
        <v>0</v>
      </c>
      <c r="O462" s="730">
        <f t="shared" si="49"/>
        <v>0</v>
      </c>
      <c r="P462" s="224">
        <f t="shared" si="49"/>
        <v>34411</v>
      </c>
      <c r="Q462" s="224">
        <f t="shared" si="49"/>
        <v>11578</v>
      </c>
      <c r="R462" s="224">
        <f t="shared" si="49"/>
        <v>16146</v>
      </c>
      <c r="S462" s="224">
        <f t="shared" si="49"/>
        <v>20412</v>
      </c>
      <c r="T462" s="224">
        <f t="shared" si="49"/>
        <v>37897</v>
      </c>
      <c r="V462" s="447"/>
      <c r="W462" s="152"/>
    </row>
    <row r="463" spans="1:23" ht="24" customHeight="1">
      <c r="A463" s="263" t="s">
        <v>1074</v>
      </c>
      <c r="B463" s="264"/>
      <c r="C463" s="202"/>
      <c r="D463" s="900" t="s">
        <v>887</v>
      </c>
      <c r="E463" s="900"/>
      <c r="F463" s="900"/>
      <c r="G463" s="900"/>
      <c r="H463" s="900"/>
      <c r="I463" s="900"/>
      <c r="J463" s="900"/>
      <c r="K463" s="900"/>
      <c r="L463" s="211">
        <v>43</v>
      </c>
      <c r="M463" s="211">
        <v>86</v>
      </c>
      <c r="N463" s="150">
        <v>80</v>
      </c>
      <c r="O463" s="150">
        <v>150</v>
      </c>
      <c r="P463" s="149">
        <v>150</v>
      </c>
      <c r="Q463" s="149">
        <v>150</v>
      </c>
      <c r="R463" s="149">
        <v>150</v>
      </c>
      <c r="S463" s="149">
        <v>150</v>
      </c>
      <c r="T463" s="149">
        <v>150</v>
      </c>
      <c r="V463" s="447"/>
      <c r="W463" s="152"/>
    </row>
    <row r="464" spans="1:23" ht="24" customHeight="1">
      <c r="A464" s="263" t="s">
        <v>1075</v>
      </c>
      <c r="B464" s="202"/>
      <c r="C464" s="202"/>
      <c r="D464" s="263" t="s">
        <v>888</v>
      </c>
      <c r="E464" s="202"/>
      <c r="F464" s="202"/>
      <c r="G464" s="202"/>
      <c r="H464" s="202"/>
      <c r="I464" s="202"/>
      <c r="J464" s="202"/>
      <c r="K464" s="202"/>
      <c r="L464" s="212">
        <v>624</v>
      </c>
      <c r="M464" s="212">
        <v>435</v>
      </c>
      <c r="N464" s="156">
        <v>0</v>
      </c>
      <c r="O464" s="156">
        <v>0</v>
      </c>
      <c r="P464" s="153">
        <v>0</v>
      </c>
      <c r="Q464" s="153">
        <v>0</v>
      </c>
      <c r="R464" s="153">
        <v>0</v>
      </c>
      <c r="S464" s="153">
        <v>0</v>
      </c>
      <c r="T464" s="153">
        <v>0</v>
      </c>
      <c r="V464" s="447"/>
    </row>
    <row r="465" spans="1:37" ht="24" customHeight="1">
      <c r="A465" s="263" t="s">
        <v>1076</v>
      </c>
      <c r="B465" s="202"/>
      <c r="C465" s="202"/>
      <c r="D465" s="263" t="s">
        <v>886</v>
      </c>
      <c r="E465" s="318"/>
      <c r="F465" s="318"/>
      <c r="G465" s="318"/>
      <c r="H465" s="318"/>
      <c r="I465" s="318"/>
      <c r="J465" s="318"/>
      <c r="K465" s="318"/>
      <c r="L465" s="215">
        <v>3929</v>
      </c>
      <c r="M465" s="215">
        <v>5100</v>
      </c>
      <c r="N465" s="158">
        <v>2000</v>
      </c>
      <c r="O465" s="158">
        <v>1583</v>
      </c>
      <c r="P465" s="157">
        <v>2000</v>
      </c>
      <c r="Q465" s="157">
        <v>2000</v>
      </c>
      <c r="R465" s="157">
        <v>2000</v>
      </c>
      <c r="S465" s="157">
        <v>2000</v>
      </c>
      <c r="T465" s="157">
        <v>2000</v>
      </c>
      <c r="V465" s="447"/>
    </row>
    <row r="466" spans="1:37" ht="24" customHeight="1">
      <c r="A466" s="580" t="s">
        <v>1226</v>
      </c>
      <c r="B466" s="581"/>
      <c r="C466" s="581"/>
      <c r="D466" s="580" t="s">
        <v>1227</v>
      </c>
      <c r="E466" s="581"/>
      <c r="F466" s="581"/>
      <c r="G466" s="581"/>
      <c r="H466" s="581"/>
      <c r="I466" s="581"/>
      <c r="J466" s="581"/>
      <c r="K466" s="581"/>
      <c r="L466" s="215">
        <v>74</v>
      </c>
      <c r="M466" s="215">
        <v>0</v>
      </c>
      <c r="N466" s="158">
        <v>0</v>
      </c>
      <c r="O466" s="158">
        <v>0</v>
      </c>
      <c r="P466" s="157">
        <v>0</v>
      </c>
      <c r="Q466" s="157">
        <v>0</v>
      </c>
      <c r="R466" s="157">
        <v>0</v>
      </c>
      <c r="S466" s="157">
        <v>0</v>
      </c>
      <c r="T466" s="157">
        <v>0</v>
      </c>
      <c r="V466" s="447"/>
    </row>
    <row r="467" spans="1:37" ht="24" customHeight="1">
      <c r="A467" s="263" t="s">
        <v>1077</v>
      </c>
      <c r="B467" s="202"/>
      <c r="C467" s="202"/>
      <c r="D467" s="263" t="s">
        <v>984</v>
      </c>
      <c r="E467" s="202"/>
      <c r="F467" s="202"/>
      <c r="G467" s="202"/>
      <c r="H467" s="202"/>
      <c r="I467" s="202"/>
      <c r="J467" s="202"/>
      <c r="K467" s="202"/>
      <c r="L467" s="211">
        <v>3475</v>
      </c>
      <c r="M467" s="211">
        <v>5990</v>
      </c>
      <c r="N467" s="150">
        <v>0</v>
      </c>
      <c r="O467" s="150">
        <v>0</v>
      </c>
      <c r="P467" s="149">
        <v>0</v>
      </c>
      <c r="Q467" s="149">
        <v>0</v>
      </c>
      <c r="R467" s="149">
        <v>0</v>
      </c>
      <c r="S467" s="149">
        <v>0</v>
      </c>
      <c r="T467" s="149">
        <v>0</v>
      </c>
      <c r="V467" s="447"/>
      <c r="W467" s="148"/>
    </row>
    <row r="468" spans="1:37" ht="24" customHeight="1">
      <c r="A468" s="263" t="s">
        <v>1078</v>
      </c>
      <c r="B468" s="329"/>
      <c r="C468" s="329"/>
      <c r="D468" s="263" t="s">
        <v>997</v>
      </c>
      <c r="E468" s="329"/>
      <c r="F468" s="329"/>
      <c r="G468" s="329"/>
      <c r="H468" s="329"/>
      <c r="I468" s="329"/>
      <c r="J468" s="329"/>
      <c r="K468" s="329"/>
      <c r="L468" s="212">
        <v>44171</v>
      </c>
      <c r="M468" s="212">
        <v>0</v>
      </c>
      <c r="N468" s="156">
        <f>30000-30000</f>
        <v>0</v>
      </c>
      <c r="O468" s="156">
        <f>30000-30000</f>
        <v>0</v>
      </c>
      <c r="P468" s="153">
        <v>0</v>
      </c>
      <c r="Q468" s="153">
        <v>0</v>
      </c>
      <c r="R468" s="153">
        <v>0</v>
      </c>
      <c r="S468" s="153">
        <v>0</v>
      </c>
      <c r="T468" s="153">
        <v>0</v>
      </c>
      <c r="V468" s="447"/>
    </row>
    <row r="469" spans="1:37" ht="24" customHeight="1">
      <c r="A469" s="556" t="s">
        <v>1199</v>
      </c>
      <c r="B469" s="557"/>
      <c r="C469" s="557"/>
      <c r="D469" s="556" t="s">
        <v>1200</v>
      </c>
      <c r="E469" s="557"/>
      <c r="F469" s="557"/>
      <c r="G469" s="557"/>
      <c r="H469" s="557"/>
      <c r="I469" s="557"/>
      <c r="J469" s="557"/>
      <c r="K469" s="557"/>
      <c r="L469" s="217">
        <v>800</v>
      </c>
      <c r="M469" s="217">
        <v>248172</v>
      </c>
      <c r="N469" s="162">
        <f>30000-30000</f>
        <v>0</v>
      </c>
      <c r="O469" s="162">
        <f>30000-30000</f>
        <v>0</v>
      </c>
      <c r="P469" s="161">
        <v>0</v>
      </c>
      <c r="Q469" s="161">
        <v>0</v>
      </c>
      <c r="R469" s="161">
        <v>0</v>
      </c>
      <c r="S469" s="161">
        <v>0</v>
      </c>
      <c r="T469" s="161">
        <v>0</v>
      </c>
      <c r="V469" s="447"/>
    </row>
    <row r="470" spans="1:37" ht="15" customHeight="1">
      <c r="A470" s="202"/>
      <c r="B470" s="202"/>
      <c r="C470" s="202"/>
      <c r="D470" s="202"/>
      <c r="E470" s="202"/>
      <c r="F470" s="202"/>
      <c r="G470" s="202"/>
      <c r="H470" s="202"/>
      <c r="I470" s="202"/>
      <c r="J470" s="202"/>
      <c r="K470" s="202"/>
      <c r="L470" s="218"/>
      <c r="M470" s="218"/>
      <c r="N470" s="164"/>
      <c r="O470" s="164"/>
      <c r="P470" s="163"/>
      <c r="Q470" s="163"/>
      <c r="R470" s="163"/>
      <c r="S470" s="163"/>
      <c r="T470" s="163"/>
    </row>
    <row r="471" spans="1:37" s="202" customFormat="1" ht="24" customHeight="1">
      <c r="K471" s="267" t="s">
        <v>481</v>
      </c>
      <c r="L471" s="220">
        <f t="shared" ref="L471:T471" si="50">SUM(L448:L470)</f>
        <v>528026</v>
      </c>
      <c r="M471" s="220">
        <f t="shared" si="50"/>
        <v>637389</v>
      </c>
      <c r="N471" s="221">
        <f t="shared" si="50"/>
        <v>329845</v>
      </c>
      <c r="O471" s="221">
        <f t="shared" si="50"/>
        <v>390549</v>
      </c>
      <c r="P471" s="220">
        <f t="shared" si="50"/>
        <v>237311</v>
      </c>
      <c r="Q471" s="220">
        <f t="shared" si="50"/>
        <v>166978</v>
      </c>
      <c r="R471" s="220">
        <f t="shared" si="50"/>
        <v>166546</v>
      </c>
      <c r="S471" s="220">
        <f t="shared" si="50"/>
        <v>170812</v>
      </c>
      <c r="T471" s="220">
        <f t="shared" si="50"/>
        <v>191123</v>
      </c>
      <c r="U471" s="65"/>
      <c r="V471" s="839"/>
      <c r="W471" s="845"/>
      <c r="X471" s="845"/>
      <c r="Y471" s="844"/>
      <c r="Z471" s="838"/>
      <c r="AA471" s="838"/>
      <c r="AB471" s="838"/>
      <c r="AC471" s="838"/>
      <c r="AD471" s="838"/>
      <c r="AE471" s="838"/>
      <c r="AF471" s="838"/>
      <c r="AG471" s="838"/>
      <c r="AH471" s="838"/>
      <c r="AI471" s="838"/>
      <c r="AJ471" s="838"/>
      <c r="AK471" s="838"/>
    </row>
    <row r="472" spans="1:37" ht="15" customHeight="1">
      <c r="A472" s="202"/>
      <c r="B472" s="202"/>
      <c r="C472" s="202"/>
      <c r="D472" s="202"/>
      <c r="E472" s="202"/>
      <c r="F472" s="202"/>
      <c r="G472" s="202"/>
      <c r="H472" s="202"/>
      <c r="I472" s="202"/>
      <c r="J472" s="202"/>
      <c r="K472" s="202"/>
      <c r="L472" s="218"/>
      <c r="M472" s="218"/>
      <c r="N472" s="164"/>
      <c r="O472" s="164"/>
      <c r="P472" s="163"/>
      <c r="Q472" s="163"/>
      <c r="R472" s="163"/>
      <c r="S472" s="163"/>
      <c r="T472" s="163"/>
    </row>
    <row r="473" spans="1:37" ht="24" customHeight="1">
      <c r="A473" s="267" t="s">
        <v>666</v>
      </c>
      <c r="B473" s="202"/>
      <c r="C473" s="202"/>
      <c r="D473" s="202"/>
      <c r="E473" s="202"/>
      <c r="F473" s="202"/>
      <c r="G473" s="202"/>
      <c r="H473" s="202"/>
      <c r="I473" s="202"/>
      <c r="J473" s="202"/>
      <c r="K473" s="202"/>
      <c r="L473" s="218"/>
      <c r="M473" s="218"/>
      <c r="N473" s="164"/>
      <c r="O473" s="164"/>
      <c r="P473" s="163"/>
      <c r="Q473" s="163"/>
      <c r="R473" s="163"/>
      <c r="S473" s="163"/>
      <c r="T473" s="163"/>
    </row>
    <row r="474" spans="1:37" ht="24" customHeight="1">
      <c r="A474" s="263" t="s">
        <v>1019</v>
      </c>
      <c r="B474" s="347"/>
      <c r="C474" s="347"/>
      <c r="D474" s="347" t="s">
        <v>798</v>
      </c>
      <c r="E474" s="347"/>
      <c r="F474" s="347"/>
      <c r="G474" s="347"/>
      <c r="H474" s="347"/>
      <c r="I474" s="347"/>
      <c r="J474" s="347"/>
      <c r="K474" s="347"/>
      <c r="L474" s="218">
        <v>9750</v>
      </c>
      <c r="M474" s="218">
        <v>2700</v>
      </c>
      <c r="N474" s="164">
        <v>0</v>
      </c>
      <c r="O474" s="164">
        <v>0</v>
      </c>
      <c r="P474" s="163">
        <v>0</v>
      </c>
      <c r="Q474" s="163">
        <v>0</v>
      </c>
      <c r="R474" s="163">
        <v>0</v>
      </c>
      <c r="S474" s="163">
        <v>0</v>
      </c>
      <c r="T474" s="163">
        <v>0</v>
      </c>
    </row>
    <row r="475" spans="1:37" ht="24" customHeight="1">
      <c r="A475" s="580" t="s">
        <v>1228</v>
      </c>
      <c r="B475" s="581"/>
      <c r="C475" s="581"/>
      <c r="D475" s="581" t="s">
        <v>1215</v>
      </c>
      <c r="E475" s="581"/>
      <c r="F475" s="581"/>
      <c r="G475" s="581"/>
      <c r="H475" s="581"/>
      <c r="I475" s="581"/>
      <c r="J475" s="581"/>
      <c r="K475" s="581"/>
      <c r="L475" s="218">
        <v>450</v>
      </c>
      <c r="M475" s="218">
        <v>0</v>
      </c>
      <c r="N475" s="164">
        <v>0</v>
      </c>
      <c r="O475" s="164">
        <v>0</v>
      </c>
      <c r="P475" s="163">
        <v>0</v>
      </c>
      <c r="Q475" s="163">
        <v>0</v>
      </c>
      <c r="R475" s="163">
        <v>0</v>
      </c>
      <c r="S475" s="163">
        <v>0</v>
      </c>
      <c r="T475" s="163">
        <v>0</v>
      </c>
    </row>
    <row r="476" spans="1:37" ht="24" customHeight="1">
      <c r="A476" s="263" t="s">
        <v>855</v>
      </c>
      <c r="B476" s="264"/>
      <c r="C476" s="264"/>
      <c r="D476" s="263" t="s">
        <v>964</v>
      </c>
      <c r="E476" s="513"/>
      <c r="F476" s="513"/>
      <c r="G476" s="513"/>
      <c r="H476" s="513"/>
      <c r="I476" s="513"/>
      <c r="J476" s="513"/>
      <c r="K476" s="513"/>
      <c r="L476" s="228">
        <v>5517</v>
      </c>
      <c r="M476" s="228">
        <v>760</v>
      </c>
      <c r="N476" s="185">
        <v>8000</v>
      </c>
      <c r="O476" s="185">
        <v>8570</v>
      </c>
      <c r="P476" s="177">
        <v>8750</v>
      </c>
      <c r="Q476" s="177">
        <v>8750</v>
      </c>
      <c r="R476" s="177">
        <v>8750</v>
      </c>
      <c r="S476" s="177">
        <v>8750</v>
      </c>
      <c r="T476" s="177">
        <v>8750</v>
      </c>
      <c r="V476" s="148"/>
      <c r="W476" s="148"/>
    </row>
    <row r="477" spans="1:37" ht="24" customHeight="1">
      <c r="A477" s="263" t="s">
        <v>856</v>
      </c>
      <c r="B477" s="266"/>
      <c r="C477" s="266"/>
      <c r="D477" s="631" t="s">
        <v>270</v>
      </c>
      <c r="E477" s="266"/>
      <c r="F477" s="266"/>
      <c r="G477" s="266"/>
      <c r="H477" s="266"/>
      <c r="I477" s="266"/>
      <c r="J477" s="266"/>
      <c r="K477" s="266"/>
      <c r="L477" s="209">
        <v>2369</v>
      </c>
      <c r="M477" s="209">
        <v>0</v>
      </c>
      <c r="N477" s="147">
        <v>27300</v>
      </c>
      <c r="O477" s="147">
        <v>27300</v>
      </c>
      <c r="P477" s="146">
        <v>5000</v>
      </c>
      <c r="Q477" s="146">
        <v>5000</v>
      </c>
      <c r="R477" s="146">
        <v>0</v>
      </c>
      <c r="S477" s="146">
        <v>0</v>
      </c>
      <c r="T477" s="146">
        <v>0</v>
      </c>
      <c r="V477" s="148"/>
    </row>
    <row r="478" spans="1:37" ht="24" customHeight="1">
      <c r="A478" s="263" t="s">
        <v>857</v>
      </c>
      <c r="B478" s="266"/>
      <c r="C478" s="266"/>
      <c r="D478" s="913" t="s">
        <v>271</v>
      </c>
      <c r="E478" s="913"/>
      <c r="F478" s="913"/>
      <c r="G478" s="913"/>
      <c r="H478" s="913"/>
      <c r="I478" s="913"/>
      <c r="J478" s="913"/>
      <c r="K478" s="913"/>
      <c r="L478" s="226">
        <v>194750</v>
      </c>
      <c r="M478" s="226">
        <v>141832</v>
      </c>
      <c r="N478" s="174">
        <v>165000</v>
      </c>
      <c r="O478" s="174">
        <v>154486</v>
      </c>
      <c r="P478" s="173">
        <v>55000</v>
      </c>
      <c r="Q478" s="173">
        <v>55000</v>
      </c>
      <c r="R478" s="173">
        <v>55000</v>
      </c>
      <c r="S478" s="173">
        <v>55000</v>
      </c>
      <c r="T478" s="173">
        <v>55000</v>
      </c>
      <c r="V478" s="148"/>
      <c r="W478" s="151"/>
    </row>
    <row r="479" spans="1:37" s="202" customFormat="1" ht="24" customHeight="1">
      <c r="K479" s="267"/>
      <c r="L479" s="237">
        <f>SUM(L474:L478)</f>
        <v>212836</v>
      </c>
      <c r="M479" s="237">
        <f t="shared" ref="M479:T479" si="51">SUM(M474:M478)</f>
        <v>145292</v>
      </c>
      <c r="N479" s="238">
        <f t="shared" si="51"/>
        <v>200300</v>
      </c>
      <c r="O479" s="238">
        <f t="shared" si="51"/>
        <v>190356</v>
      </c>
      <c r="P479" s="237">
        <f t="shared" si="51"/>
        <v>68750</v>
      </c>
      <c r="Q479" s="237">
        <f t="shared" si="51"/>
        <v>68750</v>
      </c>
      <c r="R479" s="237">
        <f t="shared" si="51"/>
        <v>63750</v>
      </c>
      <c r="S479" s="237">
        <f>SUM(S474:S478)</f>
        <v>63750</v>
      </c>
      <c r="T479" s="237">
        <f t="shared" si="51"/>
        <v>63750</v>
      </c>
      <c r="U479" s="65"/>
      <c r="V479" s="838"/>
      <c r="W479" s="845"/>
      <c r="X479" s="845"/>
      <c r="Y479" s="844"/>
      <c r="Z479" s="838"/>
      <c r="AA479" s="838"/>
      <c r="AB479" s="838"/>
      <c r="AC479" s="838"/>
      <c r="AD479" s="838"/>
      <c r="AE479" s="838"/>
      <c r="AF479" s="838"/>
      <c r="AG479" s="838"/>
      <c r="AH479" s="838"/>
      <c r="AI479" s="838"/>
      <c r="AJ479" s="838"/>
      <c r="AK479" s="838"/>
    </row>
    <row r="480" spans="1:37" ht="15" customHeight="1">
      <c r="A480" s="202"/>
      <c r="B480" s="202"/>
      <c r="C480" s="202"/>
      <c r="D480" s="202"/>
      <c r="E480" s="202"/>
      <c r="F480" s="202"/>
      <c r="G480" s="202"/>
      <c r="H480" s="202"/>
      <c r="I480" s="202"/>
      <c r="J480" s="202"/>
      <c r="K480" s="202"/>
      <c r="L480" s="237"/>
      <c r="M480" s="237"/>
      <c r="N480" s="188"/>
      <c r="O480" s="188"/>
      <c r="P480" s="187"/>
      <c r="Q480" s="187"/>
      <c r="R480" s="187"/>
      <c r="S480" s="187"/>
      <c r="T480" s="187"/>
    </row>
    <row r="481" spans="1:37" ht="24" customHeight="1">
      <c r="A481" s="267" t="s">
        <v>1340</v>
      </c>
      <c r="B481" s="714"/>
      <c r="C481" s="714"/>
      <c r="D481" s="714"/>
      <c r="E481" s="714"/>
      <c r="F481" s="714"/>
      <c r="G481" s="714"/>
      <c r="H481" s="714"/>
      <c r="I481" s="714"/>
      <c r="J481" s="714"/>
      <c r="K481" s="714"/>
      <c r="L481" s="237"/>
      <c r="M481" s="237"/>
      <c r="N481" s="188"/>
      <c r="O481" s="188"/>
      <c r="P481" s="187"/>
      <c r="Q481" s="187"/>
      <c r="R481" s="187"/>
      <c r="S481" s="187"/>
      <c r="T481" s="187"/>
    </row>
    <row r="482" spans="1:37" ht="24" customHeight="1">
      <c r="A482" s="794" t="s">
        <v>1390</v>
      </c>
      <c r="B482" s="725"/>
      <c r="C482" s="725"/>
      <c r="D482" s="727" t="s">
        <v>233</v>
      </c>
      <c r="E482" s="725"/>
      <c r="F482" s="725"/>
      <c r="G482" s="725"/>
      <c r="H482" s="725"/>
      <c r="I482" s="725"/>
      <c r="J482" s="725"/>
      <c r="K482" s="725"/>
      <c r="L482" s="237">
        <f>L462</f>
        <v>0</v>
      </c>
      <c r="M482" s="237">
        <f t="shared" ref="M482:T482" si="52">M462</f>
        <v>0</v>
      </c>
      <c r="N482" s="238">
        <f t="shared" si="52"/>
        <v>0</v>
      </c>
      <c r="O482" s="238">
        <f t="shared" si="52"/>
        <v>0</v>
      </c>
      <c r="P482" s="232">
        <f t="shared" si="52"/>
        <v>34411</v>
      </c>
      <c r="Q482" s="232">
        <f t="shared" si="52"/>
        <v>11578</v>
      </c>
      <c r="R482" s="232">
        <f t="shared" si="52"/>
        <v>16146</v>
      </c>
      <c r="S482" s="232">
        <f t="shared" si="52"/>
        <v>20412</v>
      </c>
      <c r="T482" s="232">
        <f t="shared" si="52"/>
        <v>37897</v>
      </c>
      <c r="V482" s="152"/>
    </row>
    <row r="483" spans="1:37" ht="24" customHeight="1">
      <c r="A483" s="794" t="s">
        <v>1391</v>
      </c>
      <c r="B483" s="266"/>
      <c r="C483" s="266"/>
      <c r="D483" s="913" t="s">
        <v>271</v>
      </c>
      <c r="E483" s="913"/>
      <c r="F483" s="913"/>
      <c r="G483" s="913"/>
      <c r="H483" s="913"/>
      <c r="I483" s="913"/>
      <c r="J483" s="913"/>
      <c r="K483" s="913"/>
      <c r="L483" s="226">
        <v>0</v>
      </c>
      <c r="M483" s="226">
        <v>0</v>
      </c>
      <c r="N483" s="174">
        <v>0</v>
      </c>
      <c r="O483" s="174">
        <v>0</v>
      </c>
      <c r="P483" s="173">
        <v>40000</v>
      </c>
      <c r="Q483" s="173">
        <v>0</v>
      </c>
      <c r="R483" s="173">
        <v>0</v>
      </c>
      <c r="S483" s="173">
        <v>0</v>
      </c>
      <c r="T483" s="173">
        <v>0</v>
      </c>
      <c r="V483" s="152"/>
      <c r="W483" s="401"/>
      <c r="X483" s="401"/>
      <c r="Y483" s="401"/>
      <c r="Z483" s="401"/>
      <c r="AA483" s="401"/>
    </row>
    <row r="484" spans="1:37" ht="24" customHeight="1">
      <c r="A484" s="714"/>
      <c r="B484" s="714"/>
      <c r="C484" s="714"/>
      <c r="D484" s="714"/>
      <c r="E484" s="714"/>
      <c r="F484" s="714"/>
      <c r="G484" s="714"/>
      <c r="H484" s="714"/>
      <c r="I484" s="714"/>
      <c r="J484" s="714"/>
      <c r="K484" s="267"/>
      <c r="L484" s="237">
        <f t="shared" ref="L484:T484" si="53">SUM(L482:L483)</f>
        <v>0</v>
      </c>
      <c r="M484" s="237">
        <f t="shared" si="53"/>
        <v>0</v>
      </c>
      <c r="N484" s="238">
        <f t="shared" si="53"/>
        <v>0</v>
      </c>
      <c r="O484" s="238">
        <f t="shared" si="53"/>
        <v>0</v>
      </c>
      <c r="P484" s="237">
        <f t="shared" si="53"/>
        <v>74411</v>
      </c>
      <c r="Q484" s="237">
        <f t="shared" si="53"/>
        <v>11578</v>
      </c>
      <c r="R484" s="237">
        <f t="shared" si="53"/>
        <v>16146</v>
      </c>
      <c r="S484" s="237">
        <f t="shared" si="53"/>
        <v>20412</v>
      </c>
      <c r="T484" s="237">
        <f t="shared" si="53"/>
        <v>37897</v>
      </c>
      <c r="U484" s="65"/>
      <c r="V484" s="838"/>
      <c r="W484" s="845"/>
      <c r="X484" s="845"/>
      <c r="Y484" s="844"/>
      <c r="Z484" s="838"/>
      <c r="AA484" s="838"/>
    </row>
    <row r="485" spans="1:37" ht="15" customHeight="1">
      <c r="A485" s="714"/>
      <c r="B485" s="714"/>
      <c r="C485" s="714"/>
      <c r="D485" s="714"/>
      <c r="E485" s="714"/>
      <c r="F485" s="714"/>
      <c r="G485" s="714"/>
      <c r="H485" s="714"/>
      <c r="I485" s="714"/>
      <c r="J485" s="714"/>
      <c r="K485" s="714"/>
      <c r="L485" s="237"/>
      <c r="M485" s="237"/>
      <c r="N485" s="188"/>
      <c r="O485" s="188"/>
      <c r="P485" s="187"/>
      <c r="Q485" s="187"/>
      <c r="R485" s="187"/>
      <c r="S485" s="187"/>
      <c r="T485" s="187"/>
    </row>
    <row r="486" spans="1:37" ht="24" customHeight="1">
      <c r="A486" s="267" t="s">
        <v>745</v>
      </c>
      <c r="B486" s="542"/>
      <c r="C486" s="542"/>
      <c r="D486" s="542"/>
      <c r="E486" s="528"/>
      <c r="F486" s="202"/>
      <c r="G486" s="202"/>
      <c r="H486" s="202"/>
      <c r="I486" s="202"/>
      <c r="J486" s="202"/>
      <c r="K486" s="202"/>
      <c r="L486" s="237"/>
      <c r="M486" s="237"/>
      <c r="N486" s="188"/>
      <c r="O486" s="188"/>
      <c r="P486" s="187"/>
      <c r="Q486" s="187"/>
      <c r="R486" s="187"/>
      <c r="S486" s="187"/>
      <c r="T486" s="187"/>
    </row>
    <row r="487" spans="1:37" ht="24" customHeight="1">
      <c r="A487" s="263" t="s">
        <v>858</v>
      </c>
      <c r="B487" s="202"/>
      <c r="C487" s="202"/>
      <c r="D487" s="202" t="s">
        <v>798</v>
      </c>
      <c r="E487" s="202"/>
      <c r="F487" s="202"/>
      <c r="G487" s="202"/>
      <c r="H487" s="202"/>
      <c r="I487" s="202"/>
      <c r="J487" s="202"/>
      <c r="K487" s="202"/>
      <c r="L487" s="212">
        <v>32510</v>
      </c>
      <c r="M487" s="212">
        <v>25950</v>
      </c>
      <c r="N487" s="156">
        <v>0</v>
      </c>
      <c r="O487" s="156">
        <v>0</v>
      </c>
      <c r="P487" s="153">
        <v>0</v>
      </c>
      <c r="Q487" s="153">
        <v>0</v>
      </c>
      <c r="R487" s="153">
        <v>0</v>
      </c>
      <c r="S487" s="153">
        <v>0</v>
      </c>
      <c r="T487" s="153">
        <v>0</v>
      </c>
      <c r="U487" s="311"/>
      <c r="V487" s="148"/>
    </row>
    <row r="488" spans="1:37" ht="24" customHeight="1">
      <c r="A488" s="580" t="s">
        <v>1229</v>
      </c>
      <c r="B488" s="581"/>
      <c r="C488" s="581"/>
      <c r="D488" s="581" t="s">
        <v>1215</v>
      </c>
      <c r="E488" s="581"/>
      <c r="F488" s="581"/>
      <c r="G488" s="581"/>
      <c r="H488" s="581"/>
      <c r="I488" s="581"/>
      <c r="J488" s="581"/>
      <c r="K488" s="581"/>
      <c r="L488" s="212">
        <v>1200</v>
      </c>
      <c r="M488" s="212">
        <v>0</v>
      </c>
      <c r="N488" s="156">
        <v>0</v>
      </c>
      <c r="O488" s="156">
        <v>0</v>
      </c>
      <c r="P488" s="153">
        <v>0</v>
      </c>
      <c r="Q488" s="153">
        <v>0</v>
      </c>
      <c r="R488" s="153">
        <v>0</v>
      </c>
      <c r="S488" s="153">
        <v>0</v>
      </c>
      <c r="T488" s="153">
        <v>0</v>
      </c>
      <c r="U488" s="311"/>
      <c r="V488" s="148"/>
    </row>
    <row r="489" spans="1:37" ht="24" customHeight="1">
      <c r="A489" s="263" t="s">
        <v>859</v>
      </c>
      <c r="B489" s="264"/>
      <c r="C489" s="264"/>
      <c r="D489" s="263" t="s">
        <v>49</v>
      </c>
      <c r="E489" s="264"/>
      <c r="F489" s="264"/>
      <c r="G489" s="264"/>
      <c r="H489" s="264"/>
      <c r="I489" s="264"/>
      <c r="J489" s="264"/>
      <c r="K489" s="264"/>
      <c r="L489" s="212">
        <v>1901</v>
      </c>
      <c r="M489" s="212">
        <v>294</v>
      </c>
      <c r="N489" s="156">
        <v>1750</v>
      </c>
      <c r="O489" s="156">
        <v>245</v>
      </c>
      <c r="P489" s="153">
        <v>1750</v>
      </c>
      <c r="Q489" s="153">
        <v>1750</v>
      </c>
      <c r="R489" s="153">
        <v>1750</v>
      </c>
      <c r="S489" s="153">
        <v>1750</v>
      </c>
      <c r="T489" s="153">
        <v>1750</v>
      </c>
    </row>
    <row r="490" spans="1:37" ht="24" customHeight="1">
      <c r="A490" s="263" t="s">
        <v>860</v>
      </c>
      <c r="B490" s="264"/>
      <c r="C490" s="264"/>
      <c r="D490" s="263" t="s">
        <v>12</v>
      </c>
      <c r="E490" s="317"/>
      <c r="F490" s="317"/>
      <c r="G490" s="317"/>
      <c r="H490" s="317"/>
      <c r="I490" s="317"/>
      <c r="J490" s="317"/>
      <c r="K490" s="317"/>
      <c r="L490" s="224">
        <v>0</v>
      </c>
      <c r="M490" s="224">
        <v>0</v>
      </c>
      <c r="N490" s="170">
        <v>2000</v>
      </c>
      <c r="O490" s="170">
        <f t="shared" ref="O490:T490" si="54">O465</f>
        <v>1583</v>
      </c>
      <c r="P490" s="169">
        <f t="shared" si="54"/>
        <v>2000</v>
      </c>
      <c r="Q490" s="169">
        <f t="shared" si="54"/>
        <v>2000</v>
      </c>
      <c r="R490" s="169">
        <f t="shared" si="54"/>
        <v>2000</v>
      </c>
      <c r="S490" s="169">
        <f t="shared" si="54"/>
        <v>2000</v>
      </c>
      <c r="T490" s="169">
        <f t="shared" si="54"/>
        <v>2000</v>
      </c>
    </row>
    <row r="491" spans="1:37" ht="24" customHeight="1">
      <c r="A491" s="263" t="s">
        <v>861</v>
      </c>
      <c r="B491" s="266"/>
      <c r="C491" s="266"/>
      <c r="D491" s="631" t="s">
        <v>270</v>
      </c>
      <c r="E491" s="266"/>
      <c r="F491" s="266"/>
      <c r="G491" s="266"/>
      <c r="H491" s="266"/>
      <c r="I491" s="266"/>
      <c r="J491" s="266"/>
      <c r="K491" s="266"/>
      <c r="L491" s="212">
        <v>15084</v>
      </c>
      <c r="M491" s="212">
        <v>24098</v>
      </c>
      <c r="N491" s="150">
        <v>7400</v>
      </c>
      <c r="O491" s="150">
        <v>7400</v>
      </c>
      <c r="P491" s="149">
        <v>7000</v>
      </c>
      <c r="Q491" s="149">
        <v>7000</v>
      </c>
      <c r="R491" s="149">
        <v>7000</v>
      </c>
      <c r="S491" s="149">
        <v>7000</v>
      </c>
      <c r="T491" s="149">
        <f>7000+7000</f>
        <v>14000</v>
      </c>
      <c r="V491" s="152"/>
      <c r="W491" s="151"/>
    </row>
    <row r="492" spans="1:37" ht="24" customHeight="1">
      <c r="A492" s="263" t="s">
        <v>862</v>
      </c>
      <c r="B492" s="266"/>
      <c r="C492" s="266"/>
      <c r="D492" s="913" t="s">
        <v>271</v>
      </c>
      <c r="E492" s="913"/>
      <c r="F492" s="913"/>
      <c r="G492" s="913"/>
      <c r="H492" s="913"/>
      <c r="I492" s="913"/>
      <c r="J492" s="913"/>
      <c r="K492" s="913"/>
      <c r="L492" s="211">
        <v>169807</v>
      </c>
      <c r="M492" s="211">
        <v>44424</v>
      </c>
      <c r="N492" s="150">
        <v>45000</v>
      </c>
      <c r="O492" s="150">
        <f>45000</f>
        <v>45000</v>
      </c>
      <c r="P492" s="149">
        <v>0</v>
      </c>
      <c r="Q492" s="149">
        <v>0</v>
      </c>
      <c r="R492" s="149">
        <v>0</v>
      </c>
      <c r="S492" s="149">
        <v>0</v>
      </c>
      <c r="T492" s="149">
        <v>0</v>
      </c>
      <c r="V492" s="401"/>
      <c r="W492" s="401"/>
      <c r="X492" s="401"/>
      <c r="Y492" s="401"/>
      <c r="Z492" s="401"/>
      <c r="AA492" s="401"/>
      <c r="AB492" s="401"/>
      <c r="AC492" s="401"/>
      <c r="AD492" s="401"/>
      <c r="AE492" s="371"/>
      <c r="AF492" s="371"/>
      <c r="AG492" s="371"/>
      <c r="AH492" s="371"/>
      <c r="AI492" s="371"/>
      <c r="AJ492" s="371"/>
    </row>
    <row r="493" spans="1:37" ht="24" customHeight="1">
      <c r="A493" s="324" t="s">
        <v>878</v>
      </c>
      <c r="B493" s="266"/>
      <c r="C493" s="266"/>
      <c r="D493" s="263"/>
      <c r="E493" s="266"/>
      <c r="F493" s="266"/>
      <c r="G493" s="266"/>
      <c r="H493" s="266"/>
      <c r="I493" s="266"/>
      <c r="J493" s="266"/>
      <c r="K493" s="266"/>
      <c r="L493" s="211"/>
      <c r="M493" s="211"/>
      <c r="N493" s="150"/>
      <c r="O493" s="150"/>
      <c r="P493" s="149"/>
      <c r="Q493" s="149"/>
      <c r="R493" s="149"/>
      <c r="S493" s="149"/>
      <c r="T493" s="149"/>
      <c r="V493" s="840"/>
      <c r="W493" s="840"/>
      <c r="X493" s="840"/>
      <c r="Y493" s="840"/>
      <c r="Z493" s="840"/>
      <c r="AA493" s="840"/>
      <c r="AB493" s="840"/>
      <c r="AC493" s="840"/>
      <c r="AD493" s="840"/>
      <c r="AE493" s="447"/>
      <c r="AF493" s="447"/>
      <c r="AG493" s="447"/>
      <c r="AH493" s="447"/>
      <c r="AI493" s="447"/>
      <c r="AJ493" s="447"/>
    </row>
    <row r="494" spans="1:37" ht="24" customHeight="1">
      <c r="A494" s="263" t="s">
        <v>863</v>
      </c>
      <c r="B494" s="266"/>
      <c r="C494" s="266"/>
      <c r="D494" s="263" t="s">
        <v>930</v>
      </c>
      <c r="E494" s="266"/>
      <c r="F494" s="266"/>
      <c r="G494" s="266"/>
      <c r="H494" s="266"/>
      <c r="I494" s="266"/>
      <c r="J494" s="266"/>
      <c r="K494" s="266"/>
      <c r="L494" s="211">
        <v>39638</v>
      </c>
      <c r="M494" s="211">
        <v>41430</v>
      </c>
      <c r="N494" s="150">
        <v>43303</v>
      </c>
      <c r="O494" s="150">
        <f>ROUND(44660.1*0.969621,0)</f>
        <v>43303</v>
      </c>
      <c r="P494" s="149">
        <f>ROUND(46679.21*0.969621,0)</f>
        <v>45261</v>
      </c>
      <c r="Q494" s="149">
        <f>ROUND(48789.6*0.969621,0)</f>
        <v>47307</v>
      </c>
      <c r="R494" s="149">
        <f>ROUND(50995.41*0.969621,0)</f>
        <v>49446</v>
      </c>
      <c r="S494" s="149">
        <f>ROUND(53300.95*0.969621,0)</f>
        <v>51682</v>
      </c>
      <c r="T494" s="149">
        <f>ROUND(55710.72*0.969621,0)</f>
        <v>54018</v>
      </c>
      <c r="V494" s="491"/>
      <c r="W494" s="491"/>
      <c r="X494" s="491"/>
      <c r="Y494" s="491"/>
      <c r="Z494" s="491"/>
      <c r="AA494" s="491"/>
      <c r="AB494" s="491"/>
      <c r="AC494" s="491"/>
      <c r="AD494" s="491"/>
      <c r="AE494" s="491"/>
      <c r="AF494" s="491"/>
      <c r="AG494" s="491"/>
      <c r="AH494" s="491"/>
      <c r="AI494" s="491"/>
      <c r="AJ494" s="491"/>
    </row>
    <row r="495" spans="1:37" ht="24" customHeight="1">
      <c r="A495" s="263" t="s">
        <v>864</v>
      </c>
      <c r="B495" s="266"/>
      <c r="C495" s="266"/>
      <c r="D495" s="263" t="s">
        <v>273</v>
      </c>
      <c r="E495" s="266"/>
      <c r="F495" s="266"/>
      <c r="G495" s="266"/>
      <c r="H495" s="266"/>
      <c r="I495" s="266"/>
      <c r="J495" s="266"/>
      <c r="K495" s="266"/>
      <c r="L495" s="226">
        <v>31177</v>
      </c>
      <c r="M495" s="226">
        <v>29385</v>
      </c>
      <c r="N495" s="174">
        <v>27512</v>
      </c>
      <c r="O495" s="174">
        <f>ROUND(28374.23*0.969621,0)</f>
        <v>27512</v>
      </c>
      <c r="P495" s="173">
        <f>ROUND(26355.12*0.969621,0)</f>
        <v>25554</v>
      </c>
      <c r="Q495" s="173">
        <f>ROUND(24244.72*0.969621,0)</f>
        <v>23508</v>
      </c>
      <c r="R495" s="173">
        <f>ROUND(22038.91*0.969621,0)</f>
        <v>21369</v>
      </c>
      <c r="S495" s="173">
        <f>ROUND(19733.39*0.969621,0)</f>
        <v>19134</v>
      </c>
      <c r="T495" s="173">
        <f>ROUND(17323.61*0.969621,0)</f>
        <v>16797</v>
      </c>
      <c r="V495" s="491"/>
      <c r="W495" s="491"/>
      <c r="X495" s="491"/>
      <c r="Y495" s="491"/>
      <c r="Z495" s="491"/>
      <c r="AA495" s="491"/>
      <c r="AB495" s="491"/>
      <c r="AC495" s="491"/>
      <c r="AD495" s="491"/>
      <c r="AE495" s="491"/>
      <c r="AF495" s="491"/>
      <c r="AG495" s="491"/>
      <c r="AH495" s="491"/>
      <c r="AI495" s="491"/>
      <c r="AJ495" s="491"/>
    </row>
    <row r="496" spans="1:37" s="202" customFormat="1" ht="24" customHeight="1">
      <c r="K496" s="267"/>
      <c r="L496" s="237">
        <f t="shared" ref="L496:T496" si="55">SUM(L487:L495)</f>
        <v>291317</v>
      </c>
      <c r="M496" s="237">
        <f t="shared" si="55"/>
        <v>165581</v>
      </c>
      <c r="N496" s="238">
        <f t="shared" si="55"/>
        <v>126965</v>
      </c>
      <c r="O496" s="238">
        <f t="shared" si="55"/>
        <v>125043</v>
      </c>
      <c r="P496" s="237">
        <f t="shared" si="55"/>
        <v>81565</v>
      </c>
      <c r="Q496" s="237">
        <f t="shared" si="55"/>
        <v>81565</v>
      </c>
      <c r="R496" s="237">
        <f t="shared" si="55"/>
        <v>81565</v>
      </c>
      <c r="S496" s="237">
        <f t="shared" si="55"/>
        <v>81566</v>
      </c>
      <c r="T496" s="237">
        <f t="shared" si="55"/>
        <v>88565</v>
      </c>
      <c r="U496" s="65"/>
      <c r="V496" s="838"/>
      <c r="W496" s="878"/>
      <c r="X496" s="878"/>
      <c r="Y496" s="844"/>
      <c r="Z496" s="838"/>
      <c r="AA496" s="838"/>
      <c r="AB496" s="838"/>
      <c r="AC496" s="838"/>
      <c r="AD496" s="838"/>
      <c r="AE496" s="838"/>
      <c r="AF496" s="838"/>
      <c r="AG496" s="838"/>
      <c r="AH496" s="838"/>
      <c r="AI496" s="838"/>
      <c r="AJ496" s="838"/>
      <c r="AK496" s="838"/>
    </row>
    <row r="497" spans="1:37" ht="15" customHeight="1">
      <c r="A497" s="202"/>
      <c r="B497" s="202"/>
      <c r="C497" s="202"/>
      <c r="D497" s="202"/>
      <c r="E497" s="202"/>
      <c r="F497" s="202"/>
      <c r="G497" s="202"/>
      <c r="H497" s="202"/>
      <c r="I497" s="202"/>
      <c r="J497" s="202"/>
      <c r="K497" s="202"/>
      <c r="L497" s="237"/>
      <c r="M497" s="237"/>
      <c r="N497" s="188"/>
      <c r="O497" s="188"/>
      <c r="P497" s="187"/>
      <c r="Q497" s="187"/>
      <c r="R497" s="187"/>
      <c r="S497" s="187"/>
      <c r="T497" s="187"/>
    </row>
    <row r="498" spans="1:37" ht="24" customHeight="1">
      <c r="A498" s="267" t="s">
        <v>879</v>
      </c>
      <c r="B498" s="528"/>
      <c r="C498" s="528"/>
      <c r="D498" s="528"/>
      <c r="E498" s="528"/>
      <c r="F498" s="528"/>
      <c r="G498" s="202"/>
      <c r="H498" s="202"/>
      <c r="I498" s="202"/>
      <c r="J498" s="202"/>
      <c r="K498" s="202"/>
      <c r="L498" s="237"/>
      <c r="M498" s="237"/>
      <c r="N498" s="188"/>
      <c r="O498" s="188"/>
      <c r="P498" s="187"/>
      <c r="Q498" s="187"/>
      <c r="R498" s="187"/>
      <c r="S498" s="187"/>
      <c r="T498" s="187"/>
    </row>
    <row r="499" spans="1:37" ht="24" customHeight="1">
      <c r="A499" s="263" t="s">
        <v>1020</v>
      </c>
      <c r="B499" s="347"/>
      <c r="C499" s="347"/>
      <c r="D499" s="347" t="s">
        <v>798</v>
      </c>
      <c r="E499" s="347"/>
      <c r="F499" s="347"/>
      <c r="G499" s="347"/>
      <c r="H499" s="347"/>
      <c r="I499" s="347"/>
      <c r="J499" s="347"/>
      <c r="K499" s="347"/>
      <c r="L499" s="232">
        <v>1150</v>
      </c>
      <c r="M499" s="232">
        <v>50</v>
      </c>
      <c r="N499" s="184">
        <v>0</v>
      </c>
      <c r="O499" s="184">
        <v>0</v>
      </c>
      <c r="P499" s="183">
        <v>0</v>
      </c>
      <c r="Q499" s="183">
        <v>0</v>
      </c>
      <c r="R499" s="183">
        <v>0</v>
      </c>
      <c r="S499" s="183">
        <v>0</v>
      </c>
      <c r="T499" s="183">
        <v>0</v>
      </c>
    </row>
    <row r="500" spans="1:37" ht="24" customHeight="1">
      <c r="A500" s="580" t="s">
        <v>1230</v>
      </c>
      <c r="B500" s="581"/>
      <c r="C500" s="581"/>
      <c r="D500" s="581" t="s">
        <v>1215</v>
      </c>
      <c r="E500" s="581"/>
      <c r="F500" s="581"/>
      <c r="G500" s="581"/>
      <c r="H500" s="581"/>
      <c r="I500" s="581"/>
      <c r="J500" s="581"/>
      <c r="K500" s="581"/>
      <c r="L500" s="232">
        <v>75</v>
      </c>
      <c r="M500" s="232">
        <v>0</v>
      </c>
      <c r="N500" s="184">
        <v>0</v>
      </c>
      <c r="O500" s="184">
        <v>0</v>
      </c>
      <c r="P500" s="183">
        <v>0</v>
      </c>
      <c r="Q500" s="183">
        <v>0</v>
      </c>
      <c r="R500" s="183">
        <v>0</v>
      </c>
      <c r="S500" s="183">
        <v>0</v>
      </c>
      <c r="T500" s="183">
        <v>0</v>
      </c>
    </row>
    <row r="501" spans="1:37" ht="24" customHeight="1">
      <c r="A501" s="631" t="s">
        <v>1259</v>
      </c>
      <c r="B501" s="635"/>
      <c r="C501" s="635"/>
      <c r="D501" s="635" t="s">
        <v>10</v>
      </c>
      <c r="E501" s="635"/>
      <c r="F501" s="635"/>
      <c r="G501" s="635"/>
      <c r="H501" s="635"/>
      <c r="I501" s="635"/>
      <c r="J501" s="635"/>
      <c r="K501" s="635"/>
      <c r="L501" s="232">
        <v>0</v>
      </c>
      <c r="M501" s="232">
        <v>1772</v>
      </c>
      <c r="N501" s="184">
        <v>0</v>
      </c>
      <c r="O501" s="184">
        <v>0</v>
      </c>
      <c r="P501" s="183">
        <v>0</v>
      </c>
      <c r="Q501" s="183">
        <v>0</v>
      </c>
      <c r="R501" s="183">
        <v>0</v>
      </c>
      <c r="S501" s="183">
        <v>0</v>
      </c>
      <c r="T501" s="183">
        <v>0</v>
      </c>
    </row>
    <row r="502" spans="1:37" ht="24" customHeight="1">
      <c r="A502" s="652" t="s">
        <v>1270</v>
      </c>
      <c r="B502" s="266"/>
      <c r="C502" s="266"/>
      <c r="D502" s="652" t="s">
        <v>1271</v>
      </c>
      <c r="E502" s="266"/>
      <c r="F502" s="266"/>
      <c r="G502" s="266"/>
      <c r="H502" s="266"/>
      <c r="I502" s="266"/>
      <c r="J502" s="266"/>
      <c r="K502" s="266"/>
      <c r="L502" s="212">
        <v>0</v>
      </c>
      <c r="M502" s="212">
        <v>0</v>
      </c>
      <c r="N502" s="156">
        <f>248172+2241+28</f>
        <v>250441</v>
      </c>
      <c r="O502" s="184">
        <v>0</v>
      </c>
      <c r="P502" s="153">
        <v>0</v>
      </c>
      <c r="Q502" s="153">
        <v>0</v>
      </c>
      <c r="R502" s="153">
        <v>0</v>
      </c>
      <c r="S502" s="153">
        <v>0</v>
      </c>
      <c r="T502" s="153">
        <v>0</v>
      </c>
      <c r="V502" s="152"/>
      <c r="W502" s="148"/>
      <c r="X502" s="148"/>
    </row>
    <row r="503" spans="1:37" ht="24" customHeight="1">
      <c r="A503" s="263" t="s">
        <v>865</v>
      </c>
      <c r="B503" s="266"/>
      <c r="C503" s="266"/>
      <c r="D503" s="263" t="s">
        <v>270</v>
      </c>
      <c r="E503" s="266"/>
      <c r="F503" s="266"/>
      <c r="G503" s="266"/>
      <c r="H503" s="266"/>
      <c r="I503" s="266"/>
      <c r="J503" s="266"/>
      <c r="K503" s="266"/>
      <c r="L503" s="212">
        <v>78936</v>
      </c>
      <c r="M503" s="212">
        <v>53908</v>
      </c>
      <c r="N503" s="147">
        <v>0</v>
      </c>
      <c r="O503" s="147">
        <v>20000</v>
      </c>
      <c r="P503" s="146">
        <v>50000</v>
      </c>
      <c r="Q503" s="146">
        <v>0</v>
      </c>
      <c r="R503" s="146">
        <v>0</v>
      </c>
      <c r="S503" s="146">
        <v>0</v>
      </c>
      <c r="T503" s="146">
        <v>0</v>
      </c>
      <c r="V503" s="152"/>
      <c r="W503" s="148"/>
    </row>
    <row r="504" spans="1:37" ht="24" customHeight="1">
      <c r="A504" s="263" t="s">
        <v>1159</v>
      </c>
      <c r="B504" s="266"/>
      <c r="C504" s="266"/>
      <c r="D504" s="263" t="s">
        <v>1162</v>
      </c>
      <c r="E504" s="266"/>
      <c r="F504" s="266"/>
      <c r="G504" s="266"/>
      <c r="H504" s="266"/>
      <c r="I504" s="266"/>
      <c r="J504" s="266"/>
      <c r="K504" s="266"/>
      <c r="L504" s="232">
        <v>20347</v>
      </c>
      <c r="M504" s="232">
        <v>0</v>
      </c>
      <c r="N504" s="184">
        <v>0</v>
      </c>
      <c r="O504" s="184">
        <v>0</v>
      </c>
      <c r="P504" s="183">
        <v>0</v>
      </c>
      <c r="Q504" s="183">
        <v>0</v>
      </c>
      <c r="R504" s="183">
        <v>0</v>
      </c>
      <c r="S504" s="183">
        <v>0</v>
      </c>
      <c r="T504" s="183">
        <v>0</v>
      </c>
      <c r="V504" s="152"/>
    </row>
    <row r="505" spans="1:37" ht="24" customHeight="1">
      <c r="A505" s="263" t="s">
        <v>998</v>
      </c>
      <c r="B505" s="266"/>
      <c r="C505" s="266"/>
      <c r="D505" s="263" t="s">
        <v>271</v>
      </c>
      <c r="E505" s="266"/>
      <c r="F505" s="266"/>
      <c r="G505" s="266"/>
      <c r="H505" s="266"/>
      <c r="I505" s="266"/>
      <c r="J505" s="266"/>
      <c r="K505" s="266"/>
      <c r="L505" s="212">
        <v>24882</v>
      </c>
      <c r="M505" s="212">
        <v>0</v>
      </c>
      <c r="N505" s="147">
        <v>20000</v>
      </c>
      <c r="O505" s="147">
        <v>19903</v>
      </c>
      <c r="P505" s="146">
        <v>0</v>
      </c>
      <c r="Q505" s="146">
        <v>0</v>
      </c>
      <c r="R505" s="146">
        <v>0</v>
      </c>
      <c r="S505" s="146">
        <v>0</v>
      </c>
      <c r="T505" s="146">
        <v>0</v>
      </c>
      <c r="V505" s="152"/>
      <c r="W505" s="401"/>
      <c r="X505" s="401"/>
      <c r="Y505" s="401"/>
      <c r="Z505" s="401"/>
      <c r="AA505" s="401"/>
      <c r="AB505" s="401"/>
      <c r="AC505" s="371"/>
      <c r="AD505" s="371"/>
      <c r="AE505" s="371"/>
      <c r="AF505" s="371"/>
      <c r="AG505" s="371"/>
      <c r="AH505" s="371"/>
      <c r="AI505" s="371"/>
      <c r="AJ505" s="371"/>
    </row>
    <row r="506" spans="1:37" ht="24" customHeight="1">
      <c r="A506" s="324" t="s">
        <v>878</v>
      </c>
      <c r="B506" s="266"/>
      <c r="C506" s="266"/>
      <c r="D506" s="263"/>
      <c r="E506" s="266"/>
      <c r="F506" s="266"/>
      <c r="G506" s="266"/>
      <c r="H506" s="266"/>
      <c r="I506" s="266"/>
      <c r="J506" s="266"/>
      <c r="K506" s="266"/>
      <c r="L506" s="211"/>
      <c r="M506" s="211"/>
      <c r="N506" s="150"/>
      <c r="O506" s="150"/>
      <c r="P506" s="149"/>
      <c r="Q506" s="149"/>
      <c r="R506" s="149"/>
      <c r="S506" s="149"/>
      <c r="T506" s="149"/>
      <c r="V506" s="840"/>
      <c r="W506" s="840"/>
      <c r="X506" s="840"/>
      <c r="Y506" s="840"/>
      <c r="Z506" s="840"/>
      <c r="AA506" s="840"/>
      <c r="AB506" s="840"/>
      <c r="AC506" s="447"/>
      <c r="AD506" s="447"/>
      <c r="AE506" s="447"/>
      <c r="AF506" s="447"/>
      <c r="AG506" s="447"/>
      <c r="AH506" s="447"/>
      <c r="AI506" s="447"/>
      <c r="AJ506" s="447"/>
    </row>
    <row r="507" spans="1:37" ht="24" customHeight="1">
      <c r="A507" s="263" t="s">
        <v>866</v>
      </c>
      <c r="B507" s="266"/>
      <c r="C507" s="266"/>
      <c r="D507" s="263" t="s">
        <v>930</v>
      </c>
      <c r="E507" s="266"/>
      <c r="F507" s="266"/>
      <c r="G507" s="266"/>
      <c r="H507" s="266"/>
      <c r="I507" s="266"/>
      <c r="J507" s="266"/>
      <c r="K507" s="266"/>
      <c r="L507" s="211">
        <v>1242</v>
      </c>
      <c r="M507" s="211">
        <v>1298</v>
      </c>
      <c r="N507" s="150">
        <v>1357</v>
      </c>
      <c r="O507" s="150">
        <f>ROUND(44660.1*0.030379,0)</f>
        <v>1357</v>
      </c>
      <c r="P507" s="149">
        <f>ROUND(46679.21*0.030379,0)</f>
        <v>1418</v>
      </c>
      <c r="Q507" s="149">
        <f>ROUND(48789.6*0.030379,0)</f>
        <v>1482</v>
      </c>
      <c r="R507" s="149">
        <f>ROUND(50995.41*0.030379,0)</f>
        <v>1549</v>
      </c>
      <c r="S507" s="149">
        <f>ROUND(53300.95*0.030379,0)</f>
        <v>1619</v>
      </c>
      <c r="T507" s="149">
        <f>ROUND(55710.72*0.030379,0)</f>
        <v>1692</v>
      </c>
      <c r="V507" s="491"/>
      <c r="W507" s="491"/>
      <c r="X507" s="491"/>
      <c r="Y507" s="491"/>
      <c r="Z507" s="491"/>
      <c r="AA507" s="491"/>
      <c r="AB507" s="491"/>
      <c r="AC507" s="491"/>
      <c r="AD507" s="491"/>
      <c r="AE507" s="491"/>
      <c r="AF507" s="491"/>
      <c r="AG507" s="491"/>
      <c r="AH507" s="491"/>
      <c r="AI507" s="491"/>
      <c r="AJ507" s="491"/>
    </row>
    <row r="508" spans="1:37" ht="24" customHeight="1">
      <c r="A508" s="263" t="s">
        <v>867</v>
      </c>
      <c r="B508" s="266"/>
      <c r="C508" s="266"/>
      <c r="D508" s="263" t="s">
        <v>273</v>
      </c>
      <c r="E508" s="266"/>
      <c r="F508" s="266"/>
      <c r="G508" s="266"/>
      <c r="H508" s="266"/>
      <c r="I508" s="266"/>
      <c r="J508" s="266"/>
      <c r="K508" s="266"/>
      <c r="L508" s="226">
        <v>977</v>
      </c>
      <c r="M508" s="226">
        <v>921</v>
      </c>
      <c r="N508" s="174">
        <v>862</v>
      </c>
      <c r="O508" s="174">
        <f>ROUND(28374.23*0.030379,0)</f>
        <v>862</v>
      </c>
      <c r="P508" s="173">
        <f>ROUND(26355.12*0.030379,0)</f>
        <v>801</v>
      </c>
      <c r="Q508" s="173">
        <f>ROUND(24244.72*0.030379,0)</f>
        <v>737</v>
      </c>
      <c r="R508" s="173">
        <f>ROUND(22038.91*0.030379,0)</f>
        <v>670</v>
      </c>
      <c r="S508" s="173">
        <f>ROUND(19733.39*0.030379,0)</f>
        <v>599</v>
      </c>
      <c r="T508" s="173">
        <f>ROUND(17323.61*0.030379,0)</f>
        <v>526</v>
      </c>
      <c r="V508" s="491"/>
      <c r="W508" s="491"/>
      <c r="X508" s="491"/>
      <c r="Y508" s="491"/>
      <c r="Z508" s="491"/>
      <c r="AA508" s="491"/>
      <c r="AB508" s="491"/>
      <c r="AC508" s="491"/>
      <c r="AD508" s="491"/>
      <c r="AE508" s="491"/>
      <c r="AF508" s="491"/>
      <c r="AG508" s="491"/>
      <c r="AH508" s="491"/>
      <c r="AI508" s="491"/>
      <c r="AJ508" s="491"/>
    </row>
    <row r="509" spans="1:37" s="202" customFormat="1" ht="24" customHeight="1">
      <c r="K509" s="267"/>
      <c r="L509" s="220">
        <f t="shared" ref="L509:T509" si="56">SUM(L499:L508)</f>
        <v>127609</v>
      </c>
      <c r="M509" s="220">
        <f t="shared" si="56"/>
        <v>57949</v>
      </c>
      <c r="N509" s="221">
        <f t="shared" si="56"/>
        <v>272660</v>
      </c>
      <c r="O509" s="221">
        <f t="shared" si="56"/>
        <v>42122</v>
      </c>
      <c r="P509" s="220">
        <f t="shared" si="56"/>
        <v>52219</v>
      </c>
      <c r="Q509" s="220">
        <f t="shared" si="56"/>
        <v>2219</v>
      </c>
      <c r="R509" s="220">
        <f t="shared" si="56"/>
        <v>2219</v>
      </c>
      <c r="S509" s="220">
        <f t="shared" si="56"/>
        <v>2218</v>
      </c>
      <c r="T509" s="220">
        <f t="shared" si="56"/>
        <v>2218</v>
      </c>
      <c r="U509" s="65"/>
      <c r="V509" s="838"/>
      <c r="W509" s="878"/>
      <c r="X509" s="878"/>
      <c r="Y509" s="844"/>
      <c r="Z509" s="838"/>
      <c r="AA509" s="838"/>
      <c r="AB509" s="838"/>
      <c r="AC509" s="838"/>
      <c r="AD509" s="838"/>
      <c r="AE509" s="838"/>
      <c r="AF509" s="838"/>
      <c r="AG509" s="838"/>
      <c r="AH509" s="838"/>
      <c r="AI509" s="838"/>
      <c r="AJ509" s="838"/>
      <c r="AK509" s="838"/>
    </row>
    <row r="510" spans="1:37" s="450" customFormat="1" ht="24" customHeight="1">
      <c r="K510" s="267"/>
      <c r="L510" s="220"/>
      <c r="M510" s="220"/>
      <c r="N510" s="221"/>
      <c r="O510" s="221"/>
      <c r="P510" s="220"/>
      <c r="Q510" s="220"/>
      <c r="R510" s="220"/>
      <c r="S510" s="220"/>
      <c r="T510" s="220"/>
      <c r="U510" s="65"/>
      <c r="V510" s="838"/>
      <c r="W510" s="838"/>
      <c r="X510" s="838"/>
      <c r="Y510" s="838"/>
      <c r="Z510" s="838"/>
      <c r="AA510" s="838"/>
      <c r="AB510" s="838"/>
      <c r="AC510" s="838"/>
      <c r="AD510" s="838"/>
      <c r="AE510" s="838"/>
      <c r="AF510" s="838"/>
      <c r="AG510" s="838"/>
      <c r="AH510" s="838"/>
      <c r="AI510" s="838"/>
      <c r="AJ510" s="838"/>
      <c r="AK510" s="838"/>
    </row>
    <row r="511" spans="1:37" s="202" customFormat="1" ht="24" customHeight="1">
      <c r="K511" s="267" t="s">
        <v>484</v>
      </c>
      <c r="L511" s="237">
        <f t="shared" ref="L511:T511" si="57">L479+L496+L509+L484</f>
        <v>631762</v>
      </c>
      <c r="M511" s="237">
        <f t="shared" si="57"/>
        <v>368822</v>
      </c>
      <c r="N511" s="238">
        <f t="shared" si="57"/>
        <v>599925</v>
      </c>
      <c r="O511" s="238">
        <f t="shared" si="57"/>
        <v>357521</v>
      </c>
      <c r="P511" s="237">
        <f t="shared" si="57"/>
        <v>276945</v>
      </c>
      <c r="Q511" s="237">
        <f t="shared" si="57"/>
        <v>164112</v>
      </c>
      <c r="R511" s="237">
        <f t="shared" si="57"/>
        <v>163680</v>
      </c>
      <c r="S511" s="237">
        <f t="shared" si="57"/>
        <v>167946</v>
      </c>
      <c r="T511" s="237">
        <f t="shared" si="57"/>
        <v>192430</v>
      </c>
      <c r="U511" s="65"/>
      <c r="V511" s="845"/>
      <c r="W511" s="845"/>
      <c r="X511" s="844"/>
      <c r="Y511" s="838"/>
      <c r="Z511" s="838"/>
      <c r="AA511" s="838"/>
      <c r="AB511" s="838"/>
      <c r="AC511" s="838"/>
      <c r="AD511" s="838"/>
      <c r="AE511" s="838"/>
      <c r="AF511" s="838"/>
      <c r="AG511" s="838"/>
      <c r="AH511" s="838"/>
      <c r="AI511" s="838"/>
      <c r="AJ511" s="838"/>
      <c r="AK511" s="838"/>
    </row>
    <row r="512" spans="1:37" s="572" customFormat="1" ht="15" customHeight="1">
      <c r="A512" s="300"/>
      <c r="B512" s="300"/>
      <c r="C512" s="300"/>
      <c r="D512" s="300"/>
      <c r="E512" s="300"/>
      <c r="F512" s="300"/>
      <c r="G512" s="300"/>
      <c r="H512" s="300"/>
      <c r="I512" s="300"/>
      <c r="J512" s="300"/>
      <c r="K512" s="300"/>
      <c r="L512" s="530"/>
      <c r="M512" s="530"/>
      <c r="N512" s="562"/>
      <c r="O512" s="562"/>
      <c r="P512" s="530"/>
      <c r="Q512" s="530"/>
      <c r="R512" s="530"/>
      <c r="S512" s="530"/>
      <c r="T512" s="530"/>
      <c r="U512" s="65"/>
      <c r="V512" s="442"/>
      <c r="W512" s="838"/>
      <c r="X512" s="838"/>
      <c r="Y512" s="838"/>
      <c r="Z512" s="838"/>
      <c r="AA512" s="838"/>
      <c r="AB512" s="838"/>
      <c r="AC512" s="838"/>
      <c r="AD512" s="838"/>
      <c r="AE512" s="838"/>
      <c r="AF512" s="838"/>
      <c r="AG512" s="838"/>
      <c r="AH512" s="838"/>
      <c r="AI512" s="838"/>
      <c r="AJ512" s="838"/>
      <c r="AK512" s="838"/>
    </row>
    <row r="513" spans="1:37" s="202" customFormat="1" ht="24" customHeight="1">
      <c r="K513" s="267" t="s">
        <v>485</v>
      </c>
      <c r="L513" s="237">
        <f t="shared" ref="L513:T513" si="58">L471-L511</f>
        <v>-103736</v>
      </c>
      <c r="M513" s="237">
        <f t="shared" si="58"/>
        <v>268567</v>
      </c>
      <c r="N513" s="238">
        <f t="shared" si="58"/>
        <v>-270080</v>
      </c>
      <c r="O513" s="238">
        <f t="shared" si="58"/>
        <v>33028</v>
      </c>
      <c r="P513" s="237">
        <f t="shared" si="58"/>
        <v>-39634</v>
      </c>
      <c r="Q513" s="237">
        <f t="shared" si="58"/>
        <v>2866</v>
      </c>
      <c r="R513" s="237">
        <f t="shared" si="58"/>
        <v>2866</v>
      </c>
      <c r="S513" s="237">
        <f t="shared" si="58"/>
        <v>2866</v>
      </c>
      <c r="T513" s="237">
        <f t="shared" si="58"/>
        <v>-1307</v>
      </c>
      <c r="U513" s="65"/>
      <c r="V513" s="838"/>
      <c r="W513" s="838"/>
      <c r="X513" s="838"/>
      <c r="Y513" s="838"/>
      <c r="Z513" s="838"/>
      <c r="AA513" s="838"/>
      <c r="AB513" s="838"/>
      <c r="AC513" s="838"/>
      <c r="AD513" s="838"/>
      <c r="AE513" s="838"/>
      <c r="AF513" s="838"/>
      <c r="AG513" s="838"/>
      <c r="AH513" s="838"/>
      <c r="AI513" s="838"/>
      <c r="AJ513" s="838"/>
      <c r="AK513" s="838"/>
    </row>
    <row r="514" spans="1:37" s="529" customFormat="1" ht="15" customHeight="1">
      <c r="A514" s="300"/>
      <c r="B514" s="300"/>
      <c r="C514" s="300"/>
      <c r="D514" s="300"/>
      <c r="E514" s="300"/>
      <c r="F514" s="300"/>
      <c r="G514" s="300"/>
      <c r="H514" s="300"/>
      <c r="I514" s="300"/>
      <c r="J514" s="300"/>
      <c r="K514" s="301"/>
      <c r="L514" s="530"/>
      <c r="M514" s="530"/>
      <c r="N514" s="562"/>
      <c r="O514" s="562"/>
      <c r="P514" s="530"/>
      <c r="Q514" s="530"/>
      <c r="R514" s="530"/>
      <c r="S514" s="530"/>
      <c r="T514" s="530"/>
      <c r="U514" s="65"/>
      <c r="V514" s="442"/>
      <c r="W514" s="838"/>
      <c r="X514" s="838"/>
      <c r="Y514" s="838"/>
      <c r="Z514" s="838"/>
      <c r="AA514" s="838"/>
      <c r="AB514" s="838"/>
      <c r="AC514" s="838"/>
      <c r="AD514" s="838"/>
      <c r="AE514" s="838"/>
      <c r="AF514" s="838"/>
      <c r="AG514" s="838"/>
      <c r="AH514" s="838"/>
      <c r="AI514" s="838"/>
      <c r="AJ514" s="838"/>
      <c r="AK514" s="838"/>
    </row>
    <row r="515" spans="1:37" s="202" customFormat="1" ht="24" customHeight="1">
      <c r="C515" s="898" t="s">
        <v>908</v>
      </c>
      <c r="D515" s="898"/>
      <c r="E515" s="898"/>
      <c r="F515" s="898"/>
      <c r="G515" s="898"/>
      <c r="H515" s="898"/>
      <c r="I515" s="898"/>
      <c r="J515" s="898"/>
      <c r="K515" s="898"/>
      <c r="L515" s="243">
        <v>0</v>
      </c>
      <c r="M515" s="243">
        <v>0</v>
      </c>
      <c r="N515" s="244">
        <v>0</v>
      </c>
      <c r="O515" s="244">
        <f>M515+(O471-O450-O451-O449-O452-O457-O463-O465-O460-O468-O461-O469-O466-O453-O462-O458)-O479-O474-O475</f>
        <v>0</v>
      </c>
      <c r="P515" s="243">
        <f>O515+(P471-P450-P451-P449-P452-P457-P463-P465-P460-P468-P461-P469-P466-P453-P462-P458)-P479-P474-P475</f>
        <v>0</v>
      </c>
      <c r="Q515" s="243">
        <f>P515+(Q471-Q450-Q451-Q449-Q452-Q457-Q463-Q465-Q460-Q468-Q461-Q469-Q466-Q453-Q462-Q458)-Q479-Q474-Q475</f>
        <v>0</v>
      </c>
      <c r="R515" s="243">
        <f>Q515+(R471-R450-R451-R449-R452-R457-R463-R465-R460-R468-R461-R469-R466-R453-R462-R458)-R479-R474-R475</f>
        <v>0</v>
      </c>
      <c r="S515" s="243">
        <f>R515+(S471-S450-S451-S449-S452-S457-S463-S465-S460-S468-S461-S469-S466-S453-S462-S458)-S479-S474-S475</f>
        <v>0</v>
      </c>
      <c r="T515" s="243">
        <f>S515+(T471-T450-T451-T449-T452-T457-T463-T465-T460-T468-T461-T469-T466-T453-T462-T458)-T479-T474-T475</f>
        <v>0</v>
      </c>
      <c r="U515" s="209"/>
      <c r="V515" s="152"/>
      <c r="W515" s="838"/>
      <c r="X515" s="838"/>
      <c r="Y515" s="838"/>
      <c r="Z515" s="838"/>
      <c r="AA515" s="838"/>
      <c r="AB515" s="838"/>
      <c r="AC515" s="838"/>
      <c r="AD515" s="838"/>
      <c r="AE515" s="838"/>
      <c r="AF515" s="838"/>
      <c r="AG515" s="838"/>
      <c r="AH515" s="838"/>
      <c r="AI515" s="838"/>
      <c r="AJ515" s="838"/>
      <c r="AK515" s="838"/>
    </row>
    <row r="516" spans="1:37" s="202" customFormat="1" ht="15" customHeight="1">
      <c r="C516" s="698"/>
      <c r="D516" s="698"/>
      <c r="E516" s="698"/>
      <c r="F516" s="698"/>
      <c r="G516" s="698"/>
      <c r="H516" s="698"/>
      <c r="I516" s="698"/>
      <c r="J516" s="698"/>
      <c r="K516" s="267"/>
      <c r="L516" s="243"/>
      <c r="M516" s="243"/>
      <c r="N516" s="244"/>
      <c r="O516" s="244"/>
      <c r="P516" s="243"/>
      <c r="Q516" s="243"/>
      <c r="R516" s="243"/>
      <c r="S516" s="243"/>
      <c r="T516" s="243"/>
      <c r="U516" s="65"/>
      <c r="V516" s="152"/>
      <c r="W516" s="838"/>
      <c r="X516" s="838"/>
      <c r="Y516" s="838"/>
      <c r="Z516" s="838"/>
      <c r="AA516" s="838"/>
      <c r="AB516" s="838"/>
      <c r="AC516" s="838"/>
      <c r="AD516" s="838"/>
      <c r="AE516" s="838"/>
      <c r="AF516" s="838"/>
      <c r="AG516" s="838"/>
      <c r="AH516" s="838"/>
      <c r="AI516" s="838"/>
      <c r="AJ516" s="838"/>
      <c r="AK516" s="838"/>
    </row>
    <row r="517" spans="1:37" s="714" customFormat="1" ht="24" customHeight="1">
      <c r="C517" s="898" t="s">
        <v>1344</v>
      </c>
      <c r="D517" s="898"/>
      <c r="E517" s="898"/>
      <c r="F517" s="898"/>
      <c r="G517" s="898"/>
      <c r="H517" s="898"/>
      <c r="I517" s="898"/>
      <c r="J517" s="898"/>
      <c r="K517" s="898"/>
      <c r="L517" s="243">
        <v>0</v>
      </c>
      <c r="M517" s="243">
        <v>0</v>
      </c>
      <c r="N517" s="244">
        <v>0</v>
      </c>
      <c r="O517" s="244">
        <v>0</v>
      </c>
      <c r="P517" s="243">
        <f>O517+(P458+P462)-P483-P482</f>
        <v>0</v>
      </c>
      <c r="Q517" s="243">
        <f>P517+(Q458+Q462)-Q483-Q482</f>
        <v>0</v>
      </c>
      <c r="R517" s="243">
        <f>Q517+(R458+R462)-R483-R482</f>
        <v>0</v>
      </c>
      <c r="S517" s="243">
        <f>R517+(S458+S462)-S483-S482</f>
        <v>0</v>
      </c>
      <c r="T517" s="243">
        <f>S517+(T458+T462)-T483-T482</f>
        <v>0</v>
      </c>
      <c r="U517" s="209"/>
      <c r="V517" s="152"/>
      <c r="W517" s="838"/>
      <c r="X517" s="838"/>
      <c r="Y517" s="838"/>
      <c r="Z517" s="838"/>
      <c r="AA517" s="838"/>
      <c r="AB517" s="838"/>
      <c r="AC517" s="838"/>
      <c r="AD517" s="838"/>
      <c r="AE517" s="838"/>
      <c r="AF517" s="838"/>
      <c r="AG517" s="838"/>
      <c r="AH517" s="838"/>
      <c r="AI517" s="838"/>
      <c r="AJ517" s="838"/>
      <c r="AK517" s="838"/>
    </row>
    <row r="518" spans="1:37" s="714" customFormat="1" ht="15" customHeight="1">
      <c r="K518" s="267"/>
      <c r="L518" s="243"/>
      <c r="M518" s="243"/>
      <c r="N518" s="244"/>
      <c r="O518" s="244"/>
      <c r="P518" s="243"/>
      <c r="Q518" s="243"/>
      <c r="R518" s="243"/>
      <c r="S518" s="243"/>
      <c r="T518" s="243"/>
      <c r="U518" s="65"/>
      <c r="V518" s="152"/>
      <c r="W518" s="838"/>
      <c r="X518" s="838"/>
      <c r="Y518" s="838"/>
      <c r="Z518" s="838"/>
      <c r="AA518" s="838"/>
      <c r="AB518" s="838"/>
      <c r="AC518" s="838"/>
      <c r="AD518" s="838"/>
      <c r="AE518" s="838"/>
      <c r="AF518" s="838"/>
      <c r="AG518" s="838"/>
      <c r="AH518" s="838"/>
      <c r="AI518" s="838"/>
      <c r="AJ518" s="838"/>
      <c r="AK518" s="838"/>
    </row>
    <row r="519" spans="1:37" s="202" customFormat="1" ht="24" customHeight="1">
      <c r="C519" s="898" t="s">
        <v>909</v>
      </c>
      <c r="D519" s="898"/>
      <c r="E519" s="898"/>
      <c r="F519" s="898"/>
      <c r="G519" s="898"/>
      <c r="H519" s="898"/>
      <c r="I519" s="898"/>
      <c r="J519" s="898"/>
      <c r="K519" s="898"/>
      <c r="L519" s="243">
        <v>0</v>
      </c>
      <c r="M519" s="243">
        <v>0</v>
      </c>
      <c r="N519" s="244">
        <v>0</v>
      </c>
      <c r="O519" s="244">
        <f>M519+(O471-O448-O452-O454-O455-O456-O463-O467-O464-O459-O461-O449-O469-O466-O453-O462-O458)-O496-O487-O488</f>
        <v>0</v>
      </c>
      <c r="P519" s="243">
        <f>O519+(P471-P448-P452-P454-P455-P456-P463-P467-P464-P459-P461-P449-P469-P466-P453-P462-P458)-P496-P487-P488</f>
        <v>6435</v>
      </c>
      <c r="Q519" s="243">
        <f>P519+(Q471-Q448-Q452-Q454-Q455-Q456-Q463-Q467-Q464-Q459-Q461-Q449-Q469-Q466-Q453-Q462-Q458)-Q496-Q487-Q488</f>
        <v>5870</v>
      </c>
      <c r="R519" s="243">
        <f>Q519+(R471-R448-R452-R454-R455-R456-R463-R467-R464-R459-R461-R449-R469-R466-R453-R462-R458)-R496-R487-R488</f>
        <v>5305</v>
      </c>
      <c r="S519" s="243">
        <f>R519+(S471-S448-S452-S454-S455-S456-S463-S467-S464-S459-S461-S449-S469-S466-S453-S462-S458)-S496-S487-S488</f>
        <v>4739</v>
      </c>
      <c r="T519" s="243">
        <f>S519+(T471-T448-T452-T454-T455-T456-T463-T467-T464-T459-T461-T449-T469-T466-T453-T462-T458)-T496-T487-T488</f>
        <v>0</v>
      </c>
      <c r="U519" s="65"/>
      <c r="V519" s="152"/>
      <c r="W519" s="838"/>
      <c r="X519" s="838"/>
      <c r="Y519" s="838"/>
      <c r="Z519" s="838"/>
      <c r="AA519" s="838"/>
      <c r="AB519" s="838"/>
      <c r="AC519" s="838"/>
      <c r="AD519" s="838"/>
      <c r="AE519" s="838"/>
      <c r="AF519" s="838"/>
      <c r="AG519" s="838"/>
      <c r="AH519" s="838"/>
      <c r="AI519" s="838"/>
      <c r="AJ519" s="838"/>
      <c r="AK519" s="838"/>
    </row>
    <row r="520" spans="1:37" s="202" customFormat="1" ht="15" customHeight="1">
      <c r="C520" s="698"/>
      <c r="D520" s="698"/>
      <c r="E520" s="698"/>
      <c r="F520" s="698"/>
      <c r="G520" s="698"/>
      <c r="H520" s="698"/>
      <c r="I520" s="698"/>
      <c r="J520" s="698"/>
      <c r="K520" s="267"/>
      <c r="L520" s="243"/>
      <c r="M520" s="243"/>
      <c r="N520" s="244"/>
      <c r="O520" s="244"/>
      <c r="P520" s="243"/>
      <c r="Q520" s="243"/>
      <c r="R520" s="243"/>
      <c r="S520" s="243"/>
      <c r="T520" s="243"/>
      <c r="U520" s="65"/>
      <c r="V520" s="152"/>
      <c r="W520" s="838"/>
      <c r="X520" s="838"/>
      <c r="Y520" s="838"/>
      <c r="Z520" s="838"/>
      <c r="AA520" s="838"/>
      <c r="AB520" s="838"/>
      <c r="AC520" s="838"/>
      <c r="AD520" s="838"/>
      <c r="AE520" s="838"/>
      <c r="AF520" s="838"/>
      <c r="AG520" s="838"/>
      <c r="AH520" s="838"/>
      <c r="AI520" s="838"/>
      <c r="AJ520" s="838"/>
      <c r="AK520" s="838"/>
    </row>
    <row r="521" spans="1:37" s="202" customFormat="1" ht="24" customHeight="1">
      <c r="C521" s="898" t="s">
        <v>910</v>
      </c>
      <c r="D521" s="898"/>
      <c r="E521" s="898"/>
      <c r="F521" s="898"/>
      <c r="G521" s="898"/>
      <c r="H521" s="898"/>
      <c r="I521" s="898"/>
      <c r="J521" s="898"/>
      <c r="K521" s="898"/>
      <c r="L521" s="243">
        <v>1841</v>
      </c>
      <c r="M521" s="243">
        <v>270407</v>
      </c>
      <c r="N521" s="244">
        <v>0</v>
      </c>
      <c r="O521" s="244">
        <f>M521+(O471-O448-O450-O451-O449-O454-O455-O456-O457-O467-O465-O464-O459-O460-O468-O453-O462-O458)-O509-O499-O500</f>
        <v>303435</v>
      </c>
      <c r="P521" s="243">
        <f>O521+(P471-P448-P450-P451-P449-P454-P455-P456-P457-P467-P465-P464-P459-P460-P468-P453-P462-P458)-P509-P499-P500</f>
        <v>257366</v>
      </c>
      <c r="Q521" s="243">
        <f>P521+(Q471-Q448-Q450-Q451-Q449-Q454-Q455-Q456-Q457-Q467-Q465-Q464-Q459-Q460-Q468-Q453-Q462-Q458)-Q509-Q499-Q500</f>
        <v>260797</v>
      </c>
      <c r="R521" s="243">
        <f>Q521+(R471-R448-R450-R451-R449-R454-R455-R456-R457-R467-R465-R464-R459-R460-R468-R453-R462-R458)-R509-R499-R500</f>
        <v>264228</v>
      </c>
      <c r="S521" s="243">
        <f>R521+(S471-S448-S450-S451-S449-S454-S455-S456-S457-S467-S465-S464-S459-S460-S468-S453-S462-S458)-S509-S499-S500</f>
        <v>267660</v>
      </c>
      <c r="T521" s="243">
        <f>S521+(T471-T448-T450-T451-T449-T454-T455-T456-T457-T467-T465-T464-T459-T460-T468-T453-T462-T458)-T509-T499-T500</f>
        <v>271092</v>
      </c>
      <c r="U521" s="459"/>
      <c r="V521" s="152"/>
      <c r="W521" s="838"/>
      <c r="X521" s="838"/>
      <c r="Y521" s="838"/>
      <c r="Z521" s="838"/>
      <c r="AA521" s="838"/>
      <c r="AB521" s="838"/>
      <c r="AC521" s="838"/>
      <c r="AD521" s="838"/>
      <c r="AE521" s="838"/>
      <c r="AF521" s="838"/>
      <c r="AG521" s="838"/>
      <c r="AH521" s="838"/>
      <c r="AI521" s="838"/>
      <c r="AJ521" s="838"/>
      <c r="AK521" s="838"/>
    </row>
    <row r="522" spans="1:37" s="202" customFormat="1" ht="15" customHeight="1">
      <c r="C522" s="698"/>
      <c r="D522" s="698"/>
      <c r="E522" s="698"/>
      <c r="F522" s="698"/>
      <c r="G522" s="698"/>
      <c r="H522" s="698"/>
      <c r="I522" s="698"/>
      <c r="J522" s="698"/>
      <c r="K522" s="267"/>
      <c r="L522" s="237"/>
      <c r="M522" s="237"/>
      <c r="N522" s="238"/>
      <c r="O522" s="238"/>
      <c r="P522" s="237"/>
      <c r="Q522" s="237"/>
      <c r="R522" s="237"/>
      <c r="S522" s="237"/>
      <c r="T522" s="237"/>
      <c r="U522" s="65"/>
      <c r="V522" s="838"/>
      <c r="W522" s="838"/>
      <c r="X522" s="838"/>
      <c r="Y522" s="838"/>
      <c r="Z522" s="838"/>
      <c r="AA522" s="838"/>
      <c r="AB522" s="838"/>
      <c r="AC522" s="838"/>
      <c r="AD522" s="838"/>
      <c r="AE522" s="838"/>
      <c r="AF522" s="838"/>
      <c r="AG522" s="838"/>
      <c r="AH522" s="838"/>
      <c r="AI522" s="838"/>
      <c r="AJ522" s="838"/>
      <c r="AK522" s="838"/>
    </row>
    <row r="523" spans="1:37" s="202" customFormat="1" ht="24" customHeight="1" thickBot="1">
      <c r="C523" s="698"/>
      <c r="D523" s="698"/>
      <c r="E523" s="698"/>
      <c r="F523" s="698"/>
      <c r="G523" s="698"/>
      <c r="H523" s="698"/>
      <c r="I523" s="698"/>
      <c r="J523" s="698"/>
      <c r="K523" s="272" t="s">
        <v>487</v>
      </c>
      <c r="L523" s="245">
        <v>1841</v>
      </c>
      <c r="M523" s="245">
        <v>270407</v>
      </c>
      <c r="N523" s="246">
        <v>0</v>
      </c>
      <c r="O523" s="246">
        <f t="shared" ref="O523:T523" si="59">O515+O519+O521+O517</f>
        <v>303435</v>
      </c>
      <c r="P523" s="245">
        <f t="shared" si="59"/>
        <v>263801</v>
      </c>
      <c r="Q523" s="245">
        <f t="shared" si="59"/>
        <v>266667</v>
      </c>
      <c r="R523" s="245">
        <f t="shared" si="59"/>
        <v>269533</v>
      </c>
      <c r="S523" s="245">
        <f t="shared" si="59"/>
        <v>272399</v>
      </c>
      <c r="T523" s="245">
        <f t="shared" si="59"/>
        <v>271092</v>
      </c>
      <c r="U523" s="65"/>
      <c r="V523" s="838"/>
      <c r="W523" s="838"/>
      <c r="X523" s="838"/>
      <c r="Y523" s="838"/>
      <c r="Z523" s="838"/>
      <c r="AA523" s="838"/>
      <c r="AB523" s="838"/>
      <c r="AC523" s="838"/>
      <c r="AD523" s="838"/>
      <c r="AE523" s="838"/>
      <c r="AF523" s="838"/>
      <c r="AG523" s="838"/>
      <c r="AH523" s="838"/>
      <c r="AI523" s="838"/>
      <c r="AJ523" s="838"/>
      <c r="AK523" s="838"/>
    </row>
    <row r="524" spans="1:37" ht="15" customHeight="1" thickTop="1">
      <c r="A524" s="202"/>
      <c r="B524" s="202"/>
      <c r="C524" s="698"/>
      <c r="D524" s="698"/>
      <c r="E524" s="698"/>
      <c r="F524" s="698"/>
      <c r="G524" s="698"/>
      <c r="H524" s="698"/>
      <c r="I524" s="698"/>
      <c r="J524" s="698"/>
      <c r="K524" s="698"/>
      <c r="L524" s="355"/>
      <c r="M524" s="355"/>
      <c r="N524" s="360"/>
      <c r="O524" s="360"/>
      <c r="P524" s="361"/>
      <c r="Q524" s="361"/>
      <c r="R524" s="361"/>
      <c r="S524" s="361"/>
      <c r="T524" s="361"/>
    </row>
    <row r="525" spans="1:37" ht="15" customHeight="1">
      <c r="A525" s="291"/>
      <c r="B525" s="291"/>
      <c r="C525" s="291"/>
      <c r="D525" s="291"/>
      <c r="E525" s="291"/>
      <c r="F525" s="291"/>
      <c r="G525" s="291"/>
      <c r="H525" s="291"/>
      <c r="I525" s="291"/>
      <c r="J525" s="291"/>
      <c r="K525" s="272"/>
      <c r="L525" s="355"/>
      <c r="M525" s="355"/>
      <c r="N525" s="362"/>
      <c r="O525" s="362"/>
      <c r="P525" s="363"/>
      <c r="Q525" s="363"/>
      <c r="R525" s="363"/>
      <c r="S525" s="363"/>
      <c r="T525" s="363"/>
    </row>
    <row r="526" spans="1:37" ht="24" customHeight="1">
      <c r="A526" s="274" t="s">
        <v>497</v>
      </c>
      <c r="B526" s="202"/>
      <c r="C526" s="202"/>
      <c r="D526" s="202"/>
      <c r="E526" s="202"/>
      <c r="F526" s="202"/>
      <c r="G526" s="202"/>
      <c r="H526" s="202"/>
      <c r="I526" s="202"/>
      <c r="J526" s="202"/>
      <c r="K526" s="202"/>
      <c r="L526" s="354"/>
      <c r="M526" s="354"/>
      <c r="N526" s="358"/>
      <c r="O526" s="358"/>
      <c r="P526" s="359"/>
      <c r="Q526" s="359"/>
      <c r="R526" s="359"/>
      <c r="S526" s="359"/>
      <c r="T526" s="359"/>
    </row>
    <row r="527" spans="1:37" ht="15" customHeight="1">
      <c r="A527" s="202"/>
      <c r="B527" s="202"/>
      <c r="C527" s="202"/>
      <c r="D527" s="202"/>
      <c r="E527" s="202"/>
      <c r="F527" s="202"/>
      <c r="G527" s="202"/>
      <c r="H527" s="202"/>
      <c r="I527" s="202"/>
      <c r="J527" s="202"/>
      <c r="K527" s="202"/>
      <c r="L527" s="354"/>
      <c r="M527" s="354"/>
      <c r="N527" s="358"/>
      <c r="O527" s="358"/>
      <c r="P527" s="359"/>
      <c r="Q527" s="359"/>
      <c r="R527" s="359"/>
      <c r="S527" s="359"/>
      <c r="T527" s="359"/>
    </row>
    <row r="528" spans="1:37" ht="24" customHeight="1">
      <c r="A528" s="329" t="s">
        <v>1003</v>
      </c>
      <c r="B528" s="202"/>
      <c r="C528" s="202"/>
      <c r="D528" s="633" t="s">
        <v>1144</v>
      </c>
      <c r="E528" s="633"/>
      <c r="F528" s="633"/>
      <c r="G528" s="633"/>
      <c r="H528" s="633"/>
      <c r="I528" s="633"/>
      <c r="J528" s="633"/>
      <c r="K528" s="633"/>
      <c r="L528" s="212">
        <v>164852</v>
      </c>
      <c r="M528" s="212">
        <v>47070</v>
      </c>
      <c r="N528" s="156">
        <v>0</v>
      </c>
      <c r="O528" s="156">
        <v>0</v>
      </c>
      <c r="P528" s="153">
        <v>0</v>
      </c>
      <c r="Q528" s="153">
        <v>0</v>
      </c>
      <c r="R528" s="153">
        <v>0</v>
      </c>
      <c r="S528" s="153">
        <v>0</v>
      </c>
      <c r="T528" s="153">
        <v>0</v>
      </c>
      <c r="V528" s="370"/>
      <c r="W528" s="371"/>
    </row>
    <row r="529" spans="1:37" ht="24" customHeight="1">
      <c r="A529" s="202" t="s">
        <v>286</v>
      </c>
      <c r="B529" s="202"/>
      <c r="C529" s="511"/>
      <c r="D529" s="511" t="s">
        <v>287</v>
      </c>
      <c r="E529" s="511"/>
      <c r="F529" s="511"/>
      <c r="G529" s="511"/>
      <c r="H529" s="511"/>
      <c r="I529" s="511"/>
      <c r="J529" s="511"/>
      <c r="K529" s="511"/>
      <c r="L529" s="211">
        <v>10777</v>
      </c>
      <c r="M529" s="211">
        <v>6577</v>
      </c>
      <c r="N529" s="150">
        <v>5000</v>
      </c>
      <c r="O529" s="150">
        <v>6500</v>
      </c>
      <c r="P529" s="169">
        <v>6000</v>
      </c>
      <c r="Q529" s="169">
        <v>6000</v>
      </c>
      <c r="R529" s="169">
        <v>6000</v>
      </c>
      <c r="S529" s="169">
        <v>6000</v>
      </c>
      <c r="T529" s="169">
        <v>6000</v>
      </c>
      <c r="V529" s="152"/>
    </row>
    <row r="530" spans="1:37" ht="24" customHeight="1">
      <c r="A530" s="263" t="s">
        <v>1024</v>
      </c>
      <c r="B530" s="346"/>
      <c r="C530" s="347"/>
      <c r="D530" s="750" t="s">
        <v>825</v>
      </c>
      <c r="E530" s="748"/>
      <c r="F530" s="749"/>
      <c r="G530" s="749"/>
      <c r="H530" s="749"/>
      <c r="I530" s="749"/>
      <c r="J530" s="749"/>
      <c r="K530" s="749"/>
      <c r="L530" s="211">
        <v>3466</v>
      </c>
      <c r="M530" s="211">
        <v>425</v>
      </c>
      <c r="N530" s="150">
        <v>0</v>
      </c>
      <c r="O530" s="150">
        <v>0</v>
      </c>
      <c r="P530" s="149">
        <v>0</v>
      </c>
      <c r="Q530" s="149">
        <v>0</v>
      </c>
      <c r="R530" s="149">
        <v>0</v>
      </c>
      <c r="S530" s="149">
        <v>0</v>
      </c>
      <c r="T530" s="149">
        <v>0</v>
      </c>
    </row>
    <row r="531" spans="1:37" ht="24" customHeight="1">
      <c r="A531" s="580" t="s">
        <v>1231</v>
      </c>
      <c r="B531" s="579"/>
      <c r="C531" s="581"/>
      <c r="D531" s="580" t="s">
        <v>1215</v>
      </c>
      <c r="E531" s="579"/>
      <c r="F531" s="581"/>
      <c r="G531" s="581"/>
      <c r="H531" s="581"/>
      <c r="I531" s="581"/>
      <c r="J531" s="581"/>
      <c r="K531" s="581"/>
      <c r="L531" s="211">
        <v>38</v>
      </c>
      <c r="M531" s="211">
        <v>13</v>
      </c>
      <c r="N531" s="150">
        <v>0</v>
      </c>
      <c r="O531" s="150">
        <v>0</v>
      </c>
      <c r="P531" s="149">
        <v>0</v>
      </c>
      <c r="Q531" s="149">
        <v>0</v>
      </c>
      <c r="R531" s="149">
        <v>0</v>
      </c>
      <c r="S531" s="149">
        <v>0</v>
      </c>
      <c r="T531" s="149">
        <v>0</v>
      </c>
    </row>
    <row r="532" spans="1:37" ht="24" customHeight="1">
      <c r="A532" s="202" t="s">
        <v>590</v>
      </c>
      <c r="B532" s="202"/>
      <c r="C532" s="202"/>
      <c r="D532" s="202" t="s">
        <v>6</v>
      </c>
      <c r="E532" s="202"/>
      <c r="F532" s="202"/>
      <c r="G532" s="202"/>
      <c r="H532" s="202"/>
      <c r="I532" s="202"/>
      <c r="J532" s="202"/>
      <c r="K532" s="202"/>
      <c r="L532" s="211">
        <v>11</v>
      </c>
      <c r="M532" s="211">
        <v>0</v>
      </c>
      <c r="N532" s="150">
        <v>0</v>
      </c>
      <c r="O532" s="150">
        <v>0</v>
      </c>
      <c r="P532" s="149">
        <v>0</v>
      </c>
      <c r="Q532" s="149">
        <v>0</v>
      </c>
      <c r="R532" s="149">
        <v>0</v>
      </c>
      <c r="S532" s="149">
        <v>0</v>
      </c>
      <c r="T532" s="149">
        <v>0</v>
      </c>
    </row>
    <row r="533" spans="1:37" ht="24" customHeight="1">
      <c r="A533" s="263" t="s">
        <v>288</v>
      </c>
      <c r="B533" s="264"/>
      <c r="C533" s="264"/>
      <c r="D533" s="263" t="s">
        <v>255</v>
      </c>
      <c r="E533" s="264"/>
      <c r="F533" s="264"/>
      <c r="G533" s="264"/>
      <c r="H533" s="264"/>
      <c r="I533" s="264"/>
      <c r="J533" s="264"/>
      <c r="K533" s="264"/>
      <c r="L533" s="217">
        <v>127243</v>
      </c>
      <c r="M533" s="217">
        <v>266979</v>
      </c>
      <c r="N533" s="162">
        <f>268425-2200+8118+50+30500+10882-2500-50+1000+1000</f>
        <v>315225</v>
      </c>
      <c r="O533" s="162">
        <f>268425-2200+8118+50+30500+10882-2500-50+1000-500</f>
        <v>313725</v>
      </c>
      <c r="P533" s="161">
        <f>318725</f>
        <v>318725</v>
      </c>
      <c r="Q533" s="161">
        <f>318025</f>
        <v>318025</v>
      </c>
      <c r="R533" s="161">
        <f>317225</f>
        <v>317225</v>
      </c>
      <c r="S533" s="161">
        <f>323375</f>
        <v>323375</v>
      </c>
      <c r="T533" s="161">
        <f>324075</f>
        <v>324075</v>
      </c>
    </row>
    <row r="534" spans="1:37" ht="15" customHeight="1">
      <c r="A534" s="202"/>
      <c r="B534" s="279"/>
      <c r="C534" s="279"/>
      <c r="D534" s="279"/>
      <c r="E534" s="202"/>
      <c r="F534" s="266"/>
      <c r="G534" s="266"/>
      <c r="H534" s="266"/>
      <c r="I534" s="266"/>
      <c r="J534" s="266"/>
      <c r="K534" s="266"/>
      <c r="L534" s="218"/>
      <c r="M534" s="218"/>
      <c r="N534" s="164"/>
      <c r="O534" s="164"/>
      <c r="P534" s="163"/>
      <c r="Q534" s="163"/>
      <c r="R534" s="163"/>
      <c r="S534" s="163"/>
      <c r="T534" s="163"/>
    </row>
    <row r="535" spans="1:37" s="202" customFormat="1" ht="24" customHeight="1">
      <c r="K535" s="267" t="s">
        <v>481</v>
      </c>
      <c r="L535" s="220">
        <f t="shared" ref="L535:T535" si="60">SUM(L528:L534)</f>
        <v>306387</v>
      </c>
      <c r="M535" s="220">
        <f t="shared" si="60"/>
        <v>321064</v>
      </c>
      <c r="N535" s="221">
        <f t="shared" si="60"/>
        <v>320225</v>
      </c>
      <c r="O535" s="221">
        <f t="shared" si="60"/>
        <v>320225</v>
      </c>
      <c r="P535" s="220">
        <f t="shared" si="60"/>
        <v>324725</v>
      </c>
      <c r="Q535" s="220">
        <f t="shared" si="60"/>
        <v>324025</v>
      </c>
      <c r="R535" s="220">
        <f t="shared" si="60"/>
        <v>323225</v>
      </c>
      <c r="S535" s="220">
        <f t="shared" si="60"/>
        <v>329375</v>
      </c>
      <c r="T535" s="220">
        <f t="shared" si="60"/>
        <v>330075</v>
      </c>
      <c r="U535" s="65"/>
      <c r="V535" s="845"/>
      <c r="W535" s="845"/>
      <c r="X535" s="844"/>
      <c r="Y535" s="838"/>
      <c r="Z535" s="838"/>
      <c r="AA535" s="838"/>
      <c r="AB535" s="838"/>
      <c r="AC535" s="838"/>
      <c r="AD535" s="838"/>
      <c r="AE535" s="838"/>
      <c r="AF535" s="838"/>
      <c r="AG535" s="838"/>
      <c r="AH535" s="838"/>
      <c r="AI535" s="838"/>
      <c r="AJ535" s="838"/>
      <c r="AK535" s="838"/>
    </row>
    <row r="536" spans="1:37" ht="15" customHeight="1">
      <c r="A536" s="202"/>
      <c r="B536" s="202"/>
      <c r="C536" s="202"/>
      <c r="D536" s="202"/>
      <c r="E536" s="202"/>
      <c r="F536" s="202"/>
      <c r="G536" s="202"/>
      <c r="H536" s="202"/>
      <c r="I536" s="202"/>
      <c r="J536" s="202"/>
      <c r="K536" s="202"/>
      <c r="L536" s="218"/>
      <c r="M536" s="218"/>
      <c r="N536" s="164"/>
      <c r="O536" s="164"/>
      <c r="P536" s="163"/>
      <c r="Q536" s="163"/>
      <c r="R536" s="163"/>
      <c r="S536" s="163"/>
      <c r="T536" s="163"/>
      <c r="V536" s="845"/>
      <c r="W536" s="845"/>
      <c r="X536" s="844"/>
    </row>
    <row r="537" spans="1:37" ht="24" customHeight="1">
      <c r="A537" s="263" t="s">
        <v>1021</v>
      </c>
      <c r="B537" s="346"/>
      <c r="C537" s="346"/>
      <c r="D537" s="347" t="s">
        <v>798</v>
      </c>
      <c r="E537" s="346"/>
      <c r="F537" s="346"/>
      <c r="G537" s="346"/>
      <c r="H537" s="346"/>
      <c r="I537" s="346"/>
      <c r="J537" s="346"/>
      <c r="K537" s="346"/>
      <c r="L537" s="212">
        <v>3466</v>
      </c>
      <c r="M537" s="212">
        <v>425</v>
      </c>
      <c r="N537" s="156">
        <v>0</v>
      </c>
      <c r="O537" s="156">
        <v>0</v>
      </c>
      <c r="P537" s="153">
        <v>0</v>
      </c>
      <c r="Q537" s="153">
        <v>0</v>
      </c>
      <c r="R537" s="153">
        <v>0</v>
      </c>
      <c r="S537" s="153">
        <v>0</v>
      </c>
      <c r="T537" s="153">
        <v>0</v>
      </c>
    </row>
    <row r="538" spans="1:37" ht="24" customHeight="1">
      <c r="A538" s="580" t="s">
        <v>1232</v>
      </c>
      <c r="B538" s="579"/>
      <c r="C538" s="579"/>
      <c r="D538" s="581" t="s">
        <v>1215</v>
      </c>
      <c r="E538" s="579"/>
      <c r="F538" s="579"/>
      <c r="G538" s="579"/>
      <c r="H538" s="579"/>
      <c r="I538" s="579"/>
      <c r="J538" s="579"/>
      <c r="K538" s="579"/>
      <c r="L538" s="212">
        <v>38</v>
      </c>
      <c r="M538" s="212">
        <v>13</v>
      </c>
      <c r="N538" s="156">
        <v>0</v>
      </c>
      <c r="O538" s="156">
        <v>0</v>
      </c>
      <c r="P538" s="153">
        <v>0</v>
      </c>
      <c r="Q538" s="153">
        <v>0</v>
      </c>
      <c r="R538" s="153">
        <v>0</v>
      </c>
      <c r="S538" s="153">
        <v>0</v>
      </c>
      <c r="T538" s="153">
        <v>0</v>
      </c>
    </row>
    <row r="539" spans="1:37" ht="24" customHeight="1">
      <c r="A539" s="263" t="s">
        <v>289</v>
      </c>
      <c r="B539" s="264"/>
      <c r="C539" s="264"/>
      <c r="D539" s="263" t="s">
        <v>290</v>
      </c>
      <c r="E539" s="413"/>
      <c r="F539" s="413"/>
      <c r="G539" s="413"/>
      <c r="H539" s="413"/>
      <c r="I539" s="413"/>
      <c r="J539" s="413"/>
      <c r="K539" s="264"/>
      <c r="L539" s="212">
        <v>475</v>
      </c>
      <c r="M539" s="212">
        <v>476</v>
      </c>
      <c r="N539" s="156">
        <v>475</v>
      </c>
      <c r="O539" s="156">
        <v>475</v>
      </c>
      <c r="P539" s="153">
        <v>475</v>
      </c>
      <c r="Q539" s="153">
        <v>475</v>
      </c>
      <c r="R539" s="153">
        <v>475</v>
      </c>
      <c r="S539" s="153">
        <v>475</v>
      </c>
      <c r="T539" s="153">
        <v>475</v>
      </c>
      <c r="V539" s="401"/>
      <c r="W539" s="401"/>
      <c r="X539" s="401"/>
    </row>
    <row r="540" spans="1:37" ht="24" customHeight="1">
      <c r="A540" s="269" t="s">
        <v>1160</v>
      </c>
      <c r="B540" s="484"/>
      <c r="C540" s="484"/>
      <c r="D540" s="263"/>
      <c r="E540" s="484"/>
      <c r="F540" s="484"/>
      <c r="G540" s="484"/>
      <c r="H540" s="484"/>
      <c r="I540" s="484"/>
      <c r="J540" s="484"/>
      <c r="K540" s="484"/>
      <c r="L540" s="212"/>
      <c r="M540" s="212"/>
      <c r="N540" s="156"/>
      <c r="O540" s="156"/>
      <c r="P540" s="153"/>
      <c r="Q540" s="153"/>
      <c r="R540" s="153"/>
      <c r="S540" s="153"/>
      <c r="T540" s="153"/>
      <c r="V540" s="840"/>
      <c r="W540" s="840"/>
      <c r="X540" s="840"/>
    </row>
    <row r="541" spans="1:37" ht="24" customHeight="1">
      <c r="A541" s="263" t="s">
        <v>1096</v>
      </c>
      <c r="B541" s="484"/>
      <c r="C541" s="484"/>
      <c r="D541" s="263" t="s">
        <v>930</v>
      </c>
      <c r="E541" s="484"/>
      <c r="F541" s="484"/>
      <c r="G541" s="484"/>
      <c r="H541" s="484"/>
      <c r="I541" s="484"/>
      <c r="J541" s="484"/>
      <c r="K541" s="484"/>
      <c r="L541" s="211">
        <v>255000</v>
      </c>
      <c r="M541" s="211">
        <v>270000</v>
      </c>
      <c r="N541" s="150">
        <v>275000</v>
      </c>
      <c r="O541" s="150">
        <v>275000</v>
      </c>
      <c r="P541" s="149">
        <v>285000</v>
      </c>
      <c r="Q541" s="149">
        <v>290000</v>
      </c>
      <c r="R541" s="149">
        <v>295000</v>
      </c>
      <c r="S541" s="149">
        <v>310000</v>
      </c>
      <c r="T541" s="149">
        <v>320000</v>
      </c>
      <c r="V541" s="403"/>
      <c r="W541" s="403"/>
      <c r="X541" s="403"/>
    </row>
    <row r="542" spans="1:37" ht="24" customHeight="1">
      <c r="A542" s="263" t="s">
        <v>1097</v>
      </c>
      <c r="B542" s="484"/>
      <c r="C542" s="484"/>
      <c r="D542" s="263" t="s">
        <v>273</v>
      </c>
      <c r="E542" s="484"/>
      <c r="F542" s="484"/>
      <c r="G542" s="484"/>
      <c r="H542" s="484"/>
      <c r="I542" s="484"/>
      <c r="J542" s="484"/>
      <c r="K542" s="484"/>
      <c r="L542" s="229">
        <v>55250</v>
      </c>
      <c r="M542" s="229">
        <v>50150</v>
      </c>
      <c r="N542" s="174">
        <v>44750</v>
      </c>
      <c r="O542" s="174">
        <v>44750</v>
      </c>
      <c r="P542" s="173">
        <f>19625+19625</f>
        <v>39250</v>
      </c>
      <c r="Q542" s="173">
        <f>16775+16775</f>
        <v>33550</v>
      </c>
      <c r="R542" s="173">
        <v>27750</v>
      </c>
      <c r="S542" s="173">
        <v>18900</v>
      </c>
      <c r="T542" s="173">
        <v>9600</v>
      </c>
      <c r="V542" s="403"/>
      <c r="W542" s="403"/>
      <c r="X542" s="403"/>
    </row>
    <row r="543" spans="1:37" ht="15" customHeight="1">
      <c r="A543" s="263"/>
      <c r="B543" s="264"/>
      <c r="C543" s="264"/>
      <c r="D543" s="263"/>
      <c r="E543" s="264"/>
      <c r="F543" s="264"/>
      <c r="G543" s="264"/>
      <c r="H543" s="264"/>
      <c r="I543" s="264"/>
      <c r="J543" s="264"/>
      <c r="K543" s="264"/>
      <c r="L543" s="212"/>
      <c r="M543" s="212"/>
      <c r="N543" s="156"/>
      <c r="O543" s="156"/>
      <c r="P543" s="153"/>
      <c r="Q543" s="153"/>
      <c r="R543" s="153"/>
      <c r="S543" s="153"/>
      <c r="T543" s="153"/>
    </row>
    <row r="544" spans="1:37" s="202" customFormat="1" ht="24" customHeight="1">
      <c r="K544" s="267" t="s">
        <v>484</v>
      </c>
      <c r="L544" s="220">
        <f t="shared" ref="L544:T544" si="61">SUM(L537:L542)</f>
        <v>314229</v>
      </c>
      <c r="M544" s="220">
        <f t="shared" si="61"/>
        <v>321064</v>
      </c>
      <c r="N544" s="221">
        <f t="shared" si="61"/>
        <v>320225</v>
      </c>
      <c r="O544" s="221">
        <f t="shared" si="61"/>
        <v>320225</v>
      </c>
      <c r="P544" s="220">
        <f t="shared" si="61"/>
        <v>324725</v>
      </c>
      <c r="Q544" s="220">
        <f t="shared" si="61"/>
        <v>324025</v>
      </c>
      <c r="R544" s="220">
        <f t="shared" si="61"/>
        <v>323225</v>
      </c>
      <c r="S544" s="220">
        <f t="shared" si="61"/>
        <v>329375</v>
      </c>
      <c r="T544" s="220">
        <f t="shared" si="61"/>
        <v>330075</v>
      </c>
      <c r="U544" s="65"/>
      <c r="V544" s="845"/>
      <c r="W544" s="845"/>
      <c r="X544" s="844"/>
      <c r="Y544" s="838"/>
      <c r="Z544" s="838"/>
      <c r="AA544" s="838"/>
      <c r="AB544" s="838"/>
      <c r="AC544" s="838"/>
      <c r="AD544" s="838"/>
      <c r="AE544" s="838"/>
      <c r="AF544" s="838"/>
      <c r="AG544" s="838"/>
      <c r="AH544" s="838"/>
      <c r="AI544" s="838"/>
      <c r="AJ544" s="838"/>
      <c r="AK544" s="838"/>
    </row>
    <row r="545" spans="1:37" s="202" customFormat="1" ht="15" customHeight="1">
      <c r="L545" s="218"/>
      <c r="M545" s="218"/>
      <c r="N545" s="219"/>
      <c r="O545" s="219"/>
      <c r="P545" s="218"/>
      <c r="Q545" s="218"/>
      <c r="R545" s="218"/>
      <c r="S545" s="218"/>
      <c r="T545" s="218"/>
      <c r="U545" s="65"/>
      <c r="V545" s="838"/>
      <c r="W545" s="838"/>
      <c r="X545" s="838"/>
      <c r="Y545" s="838"/>
      <c r="Z545" s="838"/>
      <c r="AA545" s="838"/>
      <c r="AB545" s="838"/>
      <c r="AC545" s="838"/>
      <c r="AD545" s="838"/>
      <c r="AE545" s="838"/>
      <c r="AF545" s="838"/>
      <c r="AG545" s="838"/>
      <c r="AH545" s="838"/>
      <c r="AI545" s="838"/>
      <c r="AJ545" s="838"/>
      <c r="AK545" s="838"/>
    </row>
    <row r="546" spans="1:37" s="202" customFormat="1" ht="24" customHeight="1">
      <c r="K546" s="267" t="s">
        <v>485</v>
      </c>
      <c r="L546" s="237">
        <f t="shared" ref="L546:T546" si="62">L535-L544</f>
        <v>-7842</v>
      </c>
      <c r="M546" s="237">
        <f t="shared" si="62"/>
        <v>0</v>
      </c>
      <c r="N546" s="238">
        <f t="shared" si="62"/>
        <v>0</v>
      </c>
      <c r="O546" s="238">
        <f t="shared" si="62"/>
        <v>0</v>
      </c>
      <c r="P546" s="237">
        <f t="shared" si="62"/>
        <v>0</v>
      </c>
      <c r="Q546" s="237">
        <f t="shared" si="62"/>
        <v>0</v>
      </c>
      <c r="R546" s="237">
        <f t="shared" si="62"/>
        <v>0</v>
      </c>
      <c r="S546" s="237">
        <f t="shared" si="62"/>
        <v>0</v>
      </c>
      <c r="T546" s="237">
        <f t="shared" si="62"/>
        <v>0</v>
      </c>
      <c r="U546" s="65"/>
      <c r="V546" s="838"/>
      <c r="W546" s="838"/>
      <c r="X546" s="838"/>
      <c r="Y546" s="838"/>
      <c r="Z546" s="838"/>
      <c r="AA546" s="838"/>
      <c r="AB546" s="838"/>
      <c r="AC546" s="838"/>
      <c r="AD546" s="838"/>
      <c r="AE546" s="838"/>
      <c r="AF546" s="838"/>
      <c r="AG546" s="838"/>
      <c r="AH546" s="838"/>
      <c r="AI546" s="838"/>
      <c r="AJ546" s="838"/>
      <c r="AK546" s="838"/>
    </row>
    <row r="547" spans="1:37" s="202" customFormat="1" ht="15" customHeight="1">
      <c r="L547" s="237"/>
      <c r="M547" s="237"/>
      <c r="N547" s="238"/>
      <c r="O547" s="238"/>
      <c r="P547" s="237"/>
      <c r="Q547" s="237"/>
      <c r="R547" s="237"/>
      <c r="S547" s="237"/>
      <c r="T547" s="237"/>
      <c r="U547" s="65"/>
      <c r="V547" s="838"/>
      <c r="W547" s="838"/>
      <c r="X547" s="838"/>
      <c r="Y547" s="838"/>
      <c r="Z547" s="838"/>
      <c r="AA547" s="838"/>
      <c r="AB547" s="838"/>
      <c r="AC547" s="838"/>
      <c r="AD547" s="838"/>
      <c r="AE547" s="838"/>
      <c r="AF547" s="838"/>
      <c r="AG547" s="838"/>
      <c r="AH547" s="838"/>
      <c r="AI547" s="838"/>
      <c r="AJ547" s="838"/>
      <c r="AK547" s="838"/>
    </row>
    <row r="548" spans="1:37" s="202" customFormat="1" ht="24" customHeight="1">
      <c r="K548" s="272" t="s">
        <v>487</v>
      </c>
      <c r="L548" s="237">
        <v>0</v>
      </c>
      <c r="M548" s="237">
        <v>0</v>
      </c>
      <c r="N548" s="238">
        <v>0</v>
      </c>
      <c r="O548" s="238">
        <f>M548+O546</f>
        <v>0</v>
      </c>
      <c r="P548" s="237">
        <f>O548+P546</f>
        <v>0</v>
      </c>
      <c r="Q548" s="237">
        <f>P548+Q546</f>
        <v>0</v>
      </c>
      <c r="R548" s="237">
        <f>Q548+R546</f>
        <v>0</v>
      </c>
      <c r="S548" s="237">
        <f>R548+S546</f>
        <v>0</v>
      </c>
      <c r="T548" s="237">
        <f>S548+T546</f>
        <v>0</v>
      </c>
      <c r="U548" s="65"/>
      <c r="V548" s="838"/>
      <c r="W548" s="838"/>
      <c r="X548" s="838"/>
      <c r="Y548" s="838"/>
      <c r="Z548" s="838"/>
      <c r="AA548" s="838"/>
      <c r="AB548" s="838"/>
      <c r="AC548" s="838"/>
      <c r="AD548" s="838"/>
      <c r="AE548" s="838"/>
      <c r="AF548" s="838"/>
      <c r="AG548" s="838"/>
      <c r="AH548" s="838"/>
      <c r="AI548" s="838"/>
      <c r="AJ548" s="838"/>
      <c r="AK548" s="838"/>
    </row>
    <row r="549" spans="1:37" ht="15" customHeight="1">
      <c r="A549" s="202"/>
      <c r="B549" s="202"/>
      <c r="C549" s="202"/>
      <c r="D549" s="202"/>
      <c r="E549" s="202"/>
      <c r="F549" s="202"/>
      <c r="G549" s="202"/>
      <c r="H549" s="202"/>
      <c r="I549" s="202"/>
      <c r="J549" s="202"/>
      <c r="K549" s="202"/>
      <c r="L549" s="354"/>
      <c r="M549" s="354"/>
      <c r="N549" s="358"/>
      <c r="O549" s="358"/>
      <c r="P549" s="359"/>
      <c r="Q549" s="359"/>
      <c r="R549" s="359"/>
      <c r="S549" s="359"/>
      <c r="T549" s="359"/>
    </row>
    <row r="550" spans="1:37" ht="24" customHeight="1">
      <c r="A550" s="274" t="s">
        <v>500</v>
      </c>
      <c r="B550" s="202"/>
      <c r="C550" s="202"/>
      <c r="D550" s="202"/>
      <c r="E550" s="202"/>
      <c r="F550" s="202"/>
      <c r="G550" s="202"/>
      <c r="H550" s="202"/>
      <c r="I550" s="202"/>
      <c r="J550" s="202"/>
      <c r="K550" s="202"/>
      <c r="L550" s="261"/>
      <c r="M550" s="261"/>
      <c r="N550" s="352"/>
      <c r="O550" s="352"/>
      <c r="P550" s="353"/>
      <c r="Q550" s="353"/>
      <c r="R550" s="353"/>
      <c r="S550" s="353"/>
      <c r="T550" s="353"/>
    </row>
    <row r="551" spans="1:37" ht="15" customHeight="1">
      <c r="A551" s="202"/>
      <c r="B551" s="202"/>
      <c r="C551" s="202"/>
      <c r="D551" s="202"/>
      <c r="E551" s="202"/>
      <c r="F551" s="202"/>
      <c r="G551" s="202"/>
      <c r="H551" s="202"/>
      <c r="I551" s="202"/>
      <c r="J551" s="202"/>
      <c r="K551" s="202"/>
      <c r="L551" s="261"/>
      <c r="M551" s="261"/>
      <c r="N551" s="352"/>
      <c r="O551" s="352"/>
      <c r="P551" s="353"/>
      <c r="Q551" s="353"/>
      <c r="R551" s="353"/>
      <c r="S551" s="353"/>
      <c r="T551" s="353"/>
    </row>
    <row r="552" spans="1:37" ht="24" customHeight="1">
      <c r="A552" s="263" t="s">
        <v>799</v>
      </c>
      <c r="B552" s="264"/>
      <c r="C552" s="264"/>
      <c r="D552" s="747" t="s">
        <v>825</v>
      </c>
      <c r="E552" s="745"/>
      <c r="F552" s="746"/>
      <c r="G552" s="745"/>
      <c r="H552" s="745"/>
      <c r="I552" s="745"/>
      <c r="J552" s="745"/>
      <c r="K552" s="745"/>
      <c r="L552" s="212">
        <v>162468</v>
      </c>
      <c r="M552" s="212">
        <v>171840</v>
      </c>
      <c r="N552" s="156">
        <v>0</v>
      </c>
      <c r="O552" s="170">
        <v>0</v>
      </c>
      <c r="P552" s="153">
        <v>0</v>
      </c>
      <c r="Q552" s="153">
        <v>0</v>
      </c>
      <c r="R552" s="153">
        <v>0</v>
      </c>
      <c r="S552" s="153">
        <v>0</v>
      </c>
      <c r="T552" s="153">
        <v>0</v>
      </c>
      <c r="V552" s="148"/>
      <c r="W552" s="194"/>
    </row>
    <row r="553" spans="1:37" ht="24" customHeight="1">
      <c r="A553" s="263" t="s">
        <v>291</v>
      </c>
      <c r="B553" s="264"/>
      <c r="C553" s="264"/>
      <c r="D553" s="263" t="s">
        <v>292</v>
      </c>
      <c r="E553" s="449"/>
      <c r="F553" s="449"/>
      <c r="G553" s="449"/>
      <c r="H553" s="449"/>
      <c r="I553" s="449"/>
      <c r="J553" s="449"/>
      <c r="K553" s="449"/>
      <c r="L553" s="212">
        <v>2463058</v>
      </c>
      <c r="M553" s="212">
        <v>2952074</v>
      </c>
      <c r="N553" s="156">
        <v>2956000</v>
      </c>
      <c r="O553" s="156">
        <v>3105000</v>
      </c>
      <c r="P553" s="153">
        <f>O553</f>
        <v>3105000</v>
      </c>
      <c r="Q553" s="153">
        <f>ROUND(P553*1.05,0)</f>
        <v>3260250</v>
      </c>
      <c r="R553" s="153">
        <f>ROUND(Q553*1.05,0)</f>
        <v>3423263</v>
      </c>
      <c r="S553" s="153">
        <f>ROUND(R553*1.05,0)-1</f>
        <v>3594425</v>
      </c>
      <c r="T553" s="153">
        <f>ROUND(S553*1.05,0)-1</f>
        <v>3774145</v>
      </c>
      <c r="V553" s="401"/>
      <c r="W553" s="401"/>
      <c r="X553" s="401"/>
      <c r="Y553" s="401"/>
      <c r="Z553" s="401"/>
      <c r="AA553" s="401"/>
    </row>
    <row r="554" spans="1:37" ht="24" customHeight="1">
      <c r="A554" s="263" t="s">
        <v>293</v>
      </c>
      <c r="B554" s="202"/>
      <c r="C554" s="202"/>
      <c r="D554" s="567" t="s">
        <v>294</v>
      </c>
      <c r="E554" s="568"/>
      <c r="F554" s="568"/>
      <c r="G554" s="568"/>
      <c r="H554" s="568"/>
      <c r="I554" s="568"/>
      <c r="J554" s="568"/>
      <c r="K554" s="568"/>
      <c r="L554" s="212">
        <v>-6660</v>
      </c>
      <c r="M554" s="212">
        <v>5250</v>
      </c>
      <c r="N554" s="156">
        <v>5000</v>
      </c>
      <c r="O554" s="156">
        <v>2000</v>
      </c>
      <c r="P554" s="153">
        <v>5000</v>
      </c>
      <c r="Q554" s="153">
        <v>5000</v>
      </c>
      <c r="R554" s="153">
        <v>5000</v>
      </c>
      <c r="S554" s="153">
        <v>5000</v>
      </c>
      <c r="T554" s="153">
        <v>5000</v>
      </c>
      <c r="V554" s="371"/>
      <c r="W554" s="862"/>
      <c r="X554" s="862"/>
      <c r="Y554" s="862"/>
      <c r="Z554" s="862"/>
      <c r="AA554" s="862"/>
    </row>
    <row r="555" spans="1:37" ht="24" customHeight="1">
      <c r="A555" s="263" t="s">
        <v>925</v>
      </c>
      <c r="B555" s="202"/>
      <c r="C555" s="202"/>
      <c r="D555" s="263" t="s">
        <v>892</v>
      </c>
      <c r="E555" s="264"/>
      <c r="F555" s="264"/>
      <c r="G555" s="264"/>
      <c r="H555" s="264"/>
      <c r="I555" s="264"/>
      <c r="J555" s="264"/>
      <c r="K555" s="264"/>
      <c r="L555" s="212">
        <v>101208</v>
      </c>
      <c r="M555" s="212">
        <v>104425</v>
      </c>
      <c r="N555" s="156">
        <v>105000</v>
      </c>
      <c r="O555" s="156">
        <v>120000</v>
      </c>
      <c r="P555" s="153">
        <v>120000</v>
      </c>
      <c r="Q555" s="153">
        <f>ROUND(P555*1.05,0)</f>
        <v>126000</v>
      </c>
      <c r="R555" s="153">
        <f>ROUND(Q555*1.05,0)</f>
        <v>132300</v>
      </c>
      <c r="S555" s="153">
        <f>ROUND(R555*1.05,0)</f>
        <v>138915</v>
      </c>
      <c r="T555" s="153">
        <f>ROUND(S555*1.05,0)</f>
        <v>145861</v>
      </c>
      <c r="V555" s="863"/>
      <c r="W555" s="433"/>
      <c r="X555" s="433"/>
      <c r="Y555" s="433"/>
      <c r="Z555" s="433"/>
      <c r="AA555" s="433"/>
    </row>
    <row r="556" spans="1:37" ht="24" customHeight="1">
      <c r="A556" s="263" t="s">
        <v>295</v>
      </c>
      <c r="B556" s="264"/>
      <c r="C556" s="264"/>
      <c r="D556" s="263" t="s">
        <v>296</v>
      </c>
      <c r="E556" s="264"/>
      <c r="F556" s="264"/>
      <c r="G556" s="264"/>
      <c r="H556" s="264"/>
      <c r="I556" s="264"/>
      <c r="J556" s="264"/>
      <c r="K556" s="264"/>
      <c r="L556" s="212">
        <v>38102</v>
      </c>
      <c r="M556" s="212">
        <v>66280</v>
      </c>
      <c r="N556" s="156">
        <v>50000</v>
      </c>
      <c r="O556" s="156">
        <v>75000</v>
      </c>
      <c r="P556" s="169">
        <f>ROUND(((120*435)*0.63)+((120*700)*0.05+(120*550)*0.32),0)</f>
        <v>58206</v>
      </c>
      <c r="Q556" s="169">
        <f>ROUND(((110*435)*0.63)+((110*700)*0.05+(110*550)*0.32),0)</f>
        <v>53356</v>
      </c>
      <c r="R556" s="169">
        <f>ROUND(((110*435)*0.63)+((110*700)*0.05+(110*550)*0.32),0)</f>
        <v>53356</v>
      </c>
      <c r="S556" s="169">
        <f>ROUND(((110*435)*0.63)+((110*700)*0.05+(110*550)*0.32),0)</f>
        <v>53356</v>
      </c>
      <c r="T556" s="169">
        <f>ROUND(((110*435)*0.63)+((110*700)*0.05+(110*550)*0.32),0)</f>
        <v>53356</v>
      </c>
      <c r="V556" s="371"/>
      <c r="W556" s="433"/>
      <c r="X556" s="433"/>
      <c r="Y556" s="433"/>
      <c r="Z556" s="433"/>
      <c r="AA556" s="433"/>
    </row>
    <row r="557" spans="1:37" ht="24" customHeight="1">
      <c r="A557" s="263" t="s">
        <v>297</v>
      </c>
      <c r="B557" s="202"/>
      <c r="C557" s="202"/>
      <c r="D557" s="724" t="s">
        <v>298</v>
      </c>
      <c r="E557" s="637"/>
      <c r="F557" s="637"/>
      <c r="G557" s="637"/>
      <c r="H557" s="637"/>
      <c r="I557" s="637"/>
      <c r="J557" s="637"/>
      <c r="K557" s="637"/>
      <c r="L557" s="212">
        <v>717028</v>
      </c>
      <c r="M557" s="212">
        <v>734552</v>
      </c>
      <c r="N557" s="210">
        <v>725000</v>
      </c>
      <c r="O557" s="210">
        <v>745000</v>
      </c>
      <c r="P557" s="209">
        <v>745000</v>
      </c>
      <c r="Q557" s="209">
        <v>745000</v>
      </c>
      <c r="R557" s="209">
        <v>745000</v>
      </c>
      <c r="S557" s="209">
        <v>745000</v>
      </c>
      <c r="T557" s="209">
        <v>745000</v>
      </c>
      <c r="V557" s="371"/>
      <c r="W557" s="433"/>
      <c r="X557" s="433"/>
      <c r="Y557" s="433"/>
      <c r="Z557" s="433"/>
      <c r="AA557" s="433"/>
    </row>
    <row r="558" spans="1:37" ht="24" customHeight="1">
      <c r="A558" s="263" t="s">
        <v>299</v>
      </c>
      <c r="B558" s="264"/>
      <c r="C558" s="264"/>
      <c r="D558" s="638" t="s">
        <v>300</v>
      </c>
      <c r="E558" s="636"/>
      <c r="F558" s="636"/>
      <c r="G558" s="636"/>
      <c r="H558" s="636"/>
      <c r="I558" s="636"/>
      <c r="J558" s="636"/>
      <c r="K558" s="636"/>
      <c r="L558" s="209">
        <v>149170</v>
      </c>
      <c r="M558" s="209">
        <v>93363</v>
      </c>
      <c r="N558" s="156">
        <v>247800</v>
      </c>
      <c r="O558" s="156">
        <f>200000+52338+57078</f>
        <v>309416</v>
      </c>
      <c r="P558" s="169">
        <f>ROUND(((120*2660)*0.65)+((120*800)*0.2)+((120*3700)*0.15),0)</f>
        <v>293280</v>
      </c>
      <c r="Q558" s="169">
        <f>ROUND(((110*2660)*0.65)+((110*800)*0.2)+((110*3700)*0.15),0)</f>
        <v>268840</v>
      </c>
      <c r="R558" s="169">
        <f>ROUND(((110*2660)*0.65)+((110*800)*0.2)+((110*3700)*0.15),0)</f>
        <v>268840</v>
      </c>
      <c r="S558" s="169">
        <f>ROUND(((110*2660)*0.65)+((110*800)*0.2)+((110*3700)*0.15),0)</f>
        <v>268840</v>
      </c>
      <c r="T558" s="169">
        <f>ROUND(((110*2660)*0.65)+((110*800)*0.2)+((110*3700)*0.15),0)</f>
        <v>268840</v>
      </c>
      <c r="V558" s="152"/>
      <c r="W558" s="344"/>
      <c r="X558" s="371"/>
      <c r="Y558" s="371"/>
      <c r="Z558" s="371"/>
      <c r="AA558" s="371"/>
    </row>
    <row r="559" spans="1:37" ht="24" customHeight="1">
      <c r="A559" s="263" t="s">
        <v>301</v>
      </c>
      <c r="B559" s="264"/>
      <c r="C559" s="264"/>
      <c r="D559" s="907" t="s">
        <v>6</v>
      </c>
      <c r="E559" s="907"/>
      <c r="F559" s="907"/>
      <c r="G559" s="907"/>
      <c r="H559" s="907"/>
      <c r="I559" s="907"/>
      <c r="J559" s="907"/>
      <c r="K559" s="907"/>
      <c r="L559" s="211">
        <v>5492</v>
      </c>
      <c r="M559" s="211">
        <v>9729</v>
      </c>
      <c r="N559" s="150">
        <v>5000</v>
      </c>
      <c r="O559" s="150">
        <v>10500</v>
      </c>
      <c r="P559" s="149">
        <v>7000</v>
      </c>
      <c r="Q559" s="149">
        <v>3000</v>
      </c>
      <c r="R559" s="149">
        <v>3000</v>
      </c>
      <c r="S559" s="149">
        <v>5000</v>
      </c>
      <c r="T559" s="149">
        <v>10000</v>
      </c>
      <c r="V559" s="152"/>
      <c r="W559" s="728"/>
      <c r="X559" s="728"/>
      <c r="Y559" s="728"/>
      <c r="Z559" s="728"/>
      <c r="AA559" s="728"/>
    </row>
    <row r="560" spans="1:37" ht="24" customHeight="1">
      <c r="A560" s="263" t="s">
        <v>591</v>
      </c>
      <c r="B560" s="264"/>
      <c r="C560" s="264"/>
      <c r="D560" s="263" t="s">
        <v>61</v>
      </c>
      <c r="E560" s="515"/>
      <c r="F560" s="515"/>
      <c r="G560" s="515"/>
      <c r="H560" s="515"/>
      <c r="I560" s="515"/>
      <c r="J560" s="515"/>
      <c r="K560" s="515"/>
      <c r="L560" s="212">
        <v>4605</v>
      </c>
      <c r="M560" s="212">
        <v>27256</v>
      </c>
      <c r="N560" s="158">
        <v>0</v>
      </c>
      <c r="O560" s="158">
        <v>200</v>
      </c>
      <c r="P560" s="157">
        <v>0</v>
      </c>
      <c r="Q560" s="157">
        <v>0</v>
      </c>
      <c r="R560" s="157">
        <v>0</v>
      </c>
      <c r="S560" s="157">
        <v>0</v>
      </c>
      <c r="T560" s="157">
        <v>0</v>
      </c>
      <c r="V560" s="152"/>
      <c r="W560" s="729"/>
      <c r="X560" s="729"/>
      <c r="Y560" s="729"/>
      <c r="Z560" s="729"/>
      <c r="AA560" s="729"/>
    </row>
    <row r="561" spans="1:37" ht="24" customHeight="1">
      <c r="A561" s="263" t="s">
        <v>811</v>
      </c>
      <c r="B561" s="202"/>
      <c r="C561" s="202"/>
      <c r="D561" s="706" t="s">
        <v>812</v>
      </c>
      <c r="E561" s="516"/>
      <c r="F561" s="516"/>
      <c r="G561" s="266"/>
      <c r="H561" s="266"/>
      <c r="I561" s="266"/>
      <c r="J561" s="266"/>
      <c r="K561" s="266"/>
      <c r="L561" s="224">
        <v>56888</v>
      </c>
      <c r="M561" s="224">
        <v>60495</v>
      </c>
      <c r="N561" s="170">
        <v>58582</v>
      </c>
      <c r="O561" s="170">
        <v>61051</v>
      </c>
      <c r="P561" s="169">
        <v>62491</v>
      </c>
      <c r="Q561" s="169">
        <f>ROUND(P561*1.02,0)</f>
        <v>63741</v>
      </c>
      <c r="R561" s="169">
        <f>ROUND(Q561*1.02,0)</f>
        <v>65016</v>
      </c>
      <c r="S561" s="169">
        <f>ROUND(R561*1.02,0)</f>
        <v>66316</v>
      </c>
      <c r="T561" s="169">
        <f>ROUND(S561*1.02,0)</f>
        <v>67642</v>
      </c>
      <c r="V561" s="371"/>
      <c r="W561" s="729"/>
      <c r="X561" s="729"/>
      <c r="Y561" s="729"/>
      <c r="Z561" s="729"/>
      <c r="AA561" s="729"/>
    </row>
    <row r="562" spans="1:37" ht="24" customHeight="1">
      <c r="A562" s="263" t="s">
        <v>302</v>
      </c>
      <c r="B562" s="202"/>
      <c r="C562" s="202"/>
      <c r="D562" s="263" t="s">
        <v>7</v>
      </c>
      <c r="E562" s="202"/>
      <c r="F562" s="202"/>
      <c r="G562" s="202"/>
      <c r="H562" s="202"/>
      <c r="I562" s="202"/>
      <c r="J562" s="202"/>
      <c r="K562" s="202"/>
      <c r="L562" s="211">
        <v>373</v>
      </c>
      <c r="M562" s="211">
        <v>370</v>
      </c>
      <c r="N562" s="150">
        <v>0</v>
      </c>
      <c r="O562" s="150">
        <v>0</v>
      </c>
      <c r="P562" s="149">
        <v>0</v>
      </c>
      <c r="Q562" s="149">
        <v>0</v>
      </c>
      <c r="R562" s="149">
        <v>0</v>
      </c>
      <c r="S562" s="149">
        <v>0</v>
      </c>
      <c r="T562" s="149">
        <v>0</v>
      </c>
      <c r="V562" s="371"/>
      <c r="W562" s="729"/>
      <c r="X562" s="729"/>
      <c r="Y562" s="729"/>
      <c r="Z562" s="729"/>
      <c r="AA562" s="729"/>
    </row>
    <row r="563" spans="1:37" ht="24" customHeight="1">
      <c r="A563" s="263" t="s">
        <v>1140</v>
      </c>
      <c r="B563" s="435"/>
      <c r="C563" s="435"/>
      <c r="D563" s="263" t="s">
        <v>280</v>
      </c>
      <c r="E563" s="435"/>
      <c r="F563" s="435"/>
      <c r="G563" s="435"/>
      <c r="H563" s="435"/>
      <c r="I563" s="435"/>
      <c r="J563" s="435"/>
      <c r="K563" s="435"/>
      <c r="L563" s="213">
        <v>4100000</v>
      </c>
      <c r="M563" s="213">
        <v>0</v>
      </c>
      <c r="N563" s="155">
        <v>0</v>
      </c>
      <c r="O563" s="155">
        <v>0</v>
      </c>
      <c r="P563" s="154">
        <v>0</v>
      </c>
      <c r="Q563" s="154">
        <v>0</v>
      </c>
      <c r="R563" s="154">
        <v>0</v>
      </c>
      <c r="S563" s="154">
        <v>0</v>
      </c>
      <c r="T563" s="154">
        <v>0</v>
      </c>
      <c r="V563" s="371"/>
      <c r="W563" s="432"/>
      <c r="X563" s="432"/>
      <c r="Y563" s="432"/>
      <c r="Z563" s="432"/>
      <c r="AA563" s="432"/>
    </row>
    <row r="564" spans="1:37" ht="24" customHeight="1">
      <c r="A564" s="263" t="s">
        <v>1178</v>
      </c>
      <c r="B564" s="487"/>
      <c r="C564" s="487"/>
      <c r="D564" s="263" t="s">
        <v>1087</v>
      </c>
      <c r="E564" s="488"/>
      <c r="F564" s="488"/>
      <c r="G564" s="488"/>
      <c r="H564" s="488"/>
      <c r="I564" s="488"/>
      <c r="J564" s="488"/>
      <c r="K564" s="488"/>
      <c r="L564" s="213">
        <v>0</v>
      </c>
      <c r="M564" s="213">
        <v>5800000</v>
      </c>
      <c r="N564" s="155">
        <v>0</v>
      </c>
      <c r="O564" s="155">
        <v>0</v>
      </c>
      <c r="P564" s="154">
        <v>0</v>
      </c>
      <c r="Q564" s="154">
        <v>0</v>
      </c>
      <c r="R564" s="154">
        <v>0</v>
      </c>
      <c r="S564" s="154">
        <v>0</v>
      </c>
      <c r="T564" s="154">
        <v>0</v>
      </c>
      <c r="V564" s="371"/>
      <c r="W564" s="432"/>
      <c r="X564" s="432"/>
      <c r="Y564" s="432"/>
      <c r="Z564" s="432"/>
      <c r="AA564" s="432"/>
    </row>
    <row r="565" spans="1:37" ht="24" customHeight="1">
      <c r="A565" s="263" t="s">
        <v>1179</v>
      </c>
      <c r="B565" s="487"/>
      <c r="C565" s="487"/>
      <c r="D565" s="263" t="s">
        <v>1108</v>
      </c>
      <c r="E565" s="488"/>
      <c r="F565" s="488"/>
      <c r="G565" s="488"/>
      <c r="H565" s="488"/>
      <c r="I565" s="488"/>
      <c r="J565" s="488"/>
      <c r="K565" s="488"/>
      <c r="L565" s="213">
        <v>193723</v>
      </c>
      <c r="M565" s="213">
        <v>449023</v>
      </c>
      <c r="N565" s="155">
        <v>0</v>
      </c>
      <c r="O565" s="155">
        <v>0</v>
      </c>
      <c r="P565" s="154">
        <v>0</v>
      </c>
      <c r="Q565" s="154">
        <v>0</v>
      </c>
      <c r="R565" s="154">
        <v>0</v>
      </c>
      <c r="S565" s="154">
        <v>0</v>
      </c>
      <c r="T565" s="154">
        <v>0</v>
      </c>
    </row>
    <row r="566" spans="1:37" ht="24" customHeight="1">
      <c r="A566" s="695" t="s">
        <v>1316</v>
      </c>
      <c r="B566" s="693"/>
      <c r="C566" s="693"/>
      <c r="D566" s="695" t="s">
        <v>985</v>
      </c>
      <c r="E566" s="694"/>
      <c r="F566" s="694"/>
      <c r="G566" s="694"/>
      <c r="H566" s="694"/>
      <c r="I566" s="694"/>
      <c r="J566" s="694"/>
      <c r="K566" s="694"/>
      <c r="L566" s="213">
        <v>0</v>
      </c>
      <c r="M566" s="213">
        <v>1894</v>
      </c>
      <c r="N566" s="155">
        <v>0</v>
      </c>
      <c r="O566" s="155">
        <v>0</v>
      </c>
      <c r="P566" s="154">
        <v>0</v>
      </c>
      <c r="Q566" s="154">
        <v>0</v>
      </c>
      <c r="R566" s="154">
        <v>0</v>
      </c>
      <c r="S566" s="154">
        <v>0</v>
      </c>
      <c r="T566" s="154">
        <v>0</v>
      </c>
    </row>
    <row r="567" spans="1:37" ht="24" customHeight="1">
      <c r="A567" s="644" t="s">
        <v>1265</v>
      </c>
      <c r="B567" s="643"/>
      <c r="C567" s="643"/>
      <c r="D567" s="743" t="s">
        <v>1151</v>
      </c>
      <c r="E567" s="660"/>
      <c r="F567" s="660"/>
      <c r="G567" s="660"/>
      <c r="H567" s="660"/>
      <c r="I567" s="660"/>
      <c r="J567" s="660"/>
      <c r="K567" s="660"/>
      <c r="L567" s="213">
        <v>0</v>
      </c>
      <c r="M567" s="213">
        <v>0</v>
      </c>
      <c r="N567" s="155">
        <v>71510</v>
      </c>
      <c r="O567" s="155">
        <f>ROUND((O631+O632)*0.2366,0)</f>
        <v>65074</v>
      </c>
      <c r="P567" s="154">
        <f>ROUND((P631+P632)*0.2366,0)</f>
        <v>64866</v>
      </c>
      <c r="Q567" s="154">
        <f t="shared" ref="Q567:T567" si="63">ROUND((Q631+Q632)*0.2366,0)</f>
        <v>104641</v>
      </c>
      <c r="R567" s="154">
        <f t="shared" si="63"/>
        <v>103632</v>
      </c>
      <c r="S567" s="154">
        <f t="shared" si="63"/>
        <v>104293</v>
      </c>
      <c r="T567" s="154">
        <f t="shared" si="63"/>
        <v>103945</v>
      </c>
    </row>
    <row r="568" spans="1:37" ht="24" customHeight="1">
      <c r="A568" s="263" t="s">
        <v>303</v>
      </c>
      <c r="B568" s="264"/>
      <c r="C568" s="264"/>
      <c r="D568" s="263" t="s">
        <v>208</v>
      </c>
      <c r="E568" s="264"/>
      <c r="F568" s="264"/>
      <c r="G568" s="264"/>
      <c r="H568" s="264"/>
      <c r="I568" s="264"/>
      <c r="J568" s="264"/>
      <c r="K568" s="264"/>
      <c r="L568" s="229">
        <v>76275</v>
      </c>
      <c r="M568" s="229">
        <v>75075</v>
      </c>
      <c r="N568" s="179">
        <v>73875</v>
      </c>
      <c r="O568" s="179">
        <f t="shared" ref="O568:T568" si="64">O738</f>
        <v>73875</v>
      </c>
      <c r="P568" s="178">
        <f t="shared" si="64"/>
        <v>77675</v>
      </c>
      <c r="Q568" s="178">
        <f t="shared" si="64"/>
        <v>73875</v>
      </c>
      <c r="R568" s="178">
        <f t="shared" si="64"/>
        <v>75125</v>
      </c>
      <c r="S568" s="178">
        <f t="shared" si="64"/>
        <v>75675</v>
      </c>
      <c r="T568" s="178">
        <f t="shared" si="64"/>
        <v>73650</v>
      </c>
      <c r="V568" s="151"/>
    </row>
    <row r="569" spans="1:37" ht="15" customHeight="1">
      <c r="A569" s="202"/>
      <c r="B569" s="202"/>
      <c r="C569" s="202"/>
      <c r="D569" s="202"/>
      <c r="E569" s="202"/>
      <c r="F569" s="202"/>
      <c r="G569" s="202"/>
      <c r="H569" s="202"/>
      <c r="I569" s="202"/>
      <c r="J569" s="202"/>
      <c r="K569" s="202"/>
      <c r="L569" s="218"/>
      <c r="M569" s="218"/>
      <c r="N569" s="164"/>
      <c r="O569" s="164"/>
      <c r="P569" s="163"/>
      <c r="Q569" s="163"/>
      <c r="R569" s="163"/>
      <c r="S569" s="163"/>
      <c r="T569" s="163"/>
    </row>
    <row r="570" spans="1:37" s="202" customFormat="1" ht="24" customHeight="1">
      <c r="K570" s="267" t="s">
        <v>481</v>
      </c>
      <c r="L570" s="220">
        <f t="shared" ref="L570:T570" si="65">SUM(L552:L569)</f>
        <v>8061730</v>
      </c>
      <c r="M570" s="220">
        <f t="shared" si="65"/>
        <v>10551626</v>
      </c>
      <c r="N570" s="221">
        <f t="shared" si="65"/>
        <v>4297767</v>
      </c>
      <c r="O570" s="221">
        <f t="shared" si="65"/>
        <v>4567116</v>
      </c>
      <c r="P570" s="220">
        <f t="shared" si="65"/>
        <v>4538518</v>
      </c>
      <c r="Q570" s="220">
        <f t="shared" si="65"/>
        <v>4703703</v>
      </c>
      <c r="R570" s="220">
        <f t="shared" si="65"/>
        <v>4874532</v>
      </c>
      <c r="S570" s="220">
        <f t="shared" si="65"/>
        <v>5056820</v>
      </c>
      <c r="T570" s="220">
        <f t="shared" si="65"/>
        <v>5247439</v>
      </c>
      <c r="U570" s="65"/>
      <c r="V570" s="845"/>
      <c r="W570" s="845"/>
      <c r="X570" s="844"/>
      <c r="Y570" s="838"/>
      <c r="Z570" s="838"/>
      <c r="AA570" s="838"/>
      <c r="AB570" s="838"/>
      <c r="AC570" s="838"/>
      <c r="AD570" s="838"/>
      <c r="AE570" s="838"/>
      <c r="AF570" s="838"/>
      <c r="AG570" s="838"/>
      <c r="AH570" s="838"/>
      <c r="AI570" s="838"/>
      <c r="AJ570" s="838"/>
      <c r="AK570" s="838"/>
    </row>
    <row r="571" spans="1:37" ht="15" customHeight="1">
      <c r="A571" s="202"/>
      <c r="B571" s="202"/>
      <c r="C571" s="202"/>
      <c r="D571" s="202"/>
      <c r="E571" s="202"/>
      <c r="F571" s="202"/>
      <c r="G571" s="202"/>
      <c r="H571" s="202"/>
      <c r="I571" s="202"/>
      <c r="J571" s="202"/>
      <c r="K571" s="202"/>
      <c r="L571" s="218"/>
      <c r="M571" s="218"/>
      <c r="N571" s="164"/>
      <c r="O571" s="164"/>
      <c r="P571" s="163"/>
      <c r="Q571" s="163"/>
      <c r="R571" s="163"/>
      <c r="S571" s="163"/>
      <c r="T571" s="163"/>
      <c r="V571" s="845"/>
      <c r="W571" s="845"/>
      <c r="X571" s="844"/>
    </row>
    <row r="572" spans="1:37" ht="24" customHeight="1">
      <c r="A572" s="267" t="s">
        <v>971</v>
      </c>
      <c r="B572" s="202"/>
      <c r="C572" s="202"/>
      <c r="D572" s="202"/>
      <c r="E572" s="202"/>
      <c r="F572" s="202"/>
      <c r="G572" s="202"/>
      <c r="H572" s="202"/>
      <c r="I572" s="202"/>
      <c r="J572" s="202"/>
      <c r="K572" s="202"/>
      <c r="L572" s="218"/>
      <c r="M572" s="218"/>
      <c r="N572" s="164"/>
      <c r="O572" s="164"/>
      <c r="P572" s="163"/>
      <c r="Q572" s="163"/>
      <c r="R572" s="163"/>
      <c r="S572" s="163"/>
      <c r="T572" s="163"/>
    </row>
    <row r="573" spans="1:37" ht="24" customHeight="1">
      <c r="A573" s="263" t="s">
        <v>304</v>
      </c>
      <c r="B573" s="264"/>
      <c r="C573" s="264"/>
      <c r="D573" s="263" t="s">
        <v>841</v>
      </c>
      <c r="E573" s="264"/>
      <c r="F573" s="264"/>
      <c r="G573" s="264"/>
      <c r="H573" s="264"/>
      <c r="I573" s="264"/>
      <c r="J573" s="264"/>
      <c r="K573" s="264"/>
      <c r="L573" s="211">
        <f>ROUND(375508.43-17892.56-13849.37-22560.45+7738.87+14803.78+21328.19,0)</f>
        <v>365077</v>
      </c>
      <c r="M573" s="211">
        <v>375148</v>
      </c>
      <c r="N573" s="158">
        <v>388749</v>
      </c>
      <c r="O573" s="158">
        <v>391000</v>
      </c>
      <c r="P573" s="157">
        <v>414121</v>
      </c>
      <c r="Q573" s="157">
        <v>426545</v>
      </c>
      <c r="R573" s="157">
        <v>439341</v>
      </c>
      <c r="S573" s="157">
        <v>452521</v>
      </c>
      <c r="T573" s="157">
        <v>466097</v>
      </c>
      <c r="V573" s="370"/>
      <c r="W573" s="371"/>
      <c r="X573" s="371"/>
      <c r="Y573" s="371"/>
      <c r="Z573" s="148"/>
    </row>
    <row r="574" spans="1:37" ht="24" customHeight="1">
      <c r="A574" s="263" t="s">
        <v>1051</v>
      </c>
      <c r="B574" s="374"/>
      <c r="C574" s="374"/>
      <c r="D574" s="263" t="s">
        <v>69</v>
      </c>
      <c r="E574" s="374"/>
      <c r="F574" s="374"/>
      <c r="G574" s="374"/>
      <c r="H574" s="374"/>
      <c r="I574" s="374"/>
      <c r="J574" s="374"/>
      <c r="K574" s="374"/>
      <c r="L574" s="211">
        <v>3611</v>
      </c>
      <c r="M574" s="211">
        <v>5530</v>
      </c>
      <c r="N574" s="158">
        <f>5800+24000</f>
        <v>29800</v>
      </c>
      <c r="O574" s="158">
        <v>18000</v>
      </c>
      <c r="P574" s="157">
        <v>15000</v>
      </c>
      <c r="Q574" s="157">
        <v>15000</v>
      </c>
      <c r="R574" s="157">
        <v>15000</v>
      </c>
      <c r="S574" s="157">
        <v>15000</v>
      </c>
      <c r="T574" s="157">
        <v>15000</v>
      </c>
      <c r="V574" s="370"/>
      <c r="W574" s="371"/>
      <c r="X574" s="371"/>
      <c r="Y574" s="371"/>
      <c r="Z574" s="148"/>
    </row>
    <row r="575" spans="1:37" ht="24" customHeight="1">
      <c r="A575" s="263" t="s">
        <v>305</v>
      </c>
      <c r="B575" s="264"/>
      <c r="C575" s="264"/>
      <c r="D575" s="263" t="s">
        <v>14</v>
      </c>
      <c r="E575" s="264"/>
      <c r="F575" s="264"/>
      <c r="G575" s="264"/>
      <c r="H575" s="264"/>
      <c r="I575" s="264"/>
      <c r="J575" s="264"/>
      <c r="K575" s="264"/>
      <c r="L575" s="211">
        <v>7331</v>
      </c>
      <c r="M575" s="211">
        <v>9917</v>
      </c>
      <c r="N575" s="150">
        <v>12000</v>
      </c>
      <c r="O575" s="150">
        <v>12000</v>
      </c>
      <c r="P575" s="149">
        <v>12000</v>
      </c>
      <c r="Q575" s="149">
        <v>12000</v>
      </c>
      <c r="R575" s="149">
        <v>12000</v>
      </c>
      <c r="S575" s="149">
        <v>12000</v>
      </c>
      <c r="T575" s="149">
        <v>12000</v>
      </c>
      <c r="V575" s="370"/>
      <c r="W575" s="371"/>
      <c r="X575" s="371"/>
      <c r="Y575" s="371"/>
    </row>
    <row r="576" spans="1:37" ht="24" customHeight="1">
      <c r="A576" s="263" t="s">
        <v>306</v>
      </c>
      <c r="B576" s="264"/>
      <c r="C576" s="264"/>
      <c r="D576" s="263" t="s">
        <v>8</v>
      </c>
      <c r="E576" s="264"/>
      <c r="F576" s="264"/>
      <c r="G576" s="264"/>
      <c r="H576" s="264"/>
      <c r="I576" s="264"/>
      <c r="J576" s="264"/>
      <c r="K576" s="264"/>
      <c r="L576" s="211">
        <f>ROUND(41198.01-1901.98-1472.19-2398.18+899.26+1615.09+2326.91,0)</f>
        <v>40267</v>
      </c>
      <c r="M576" s="211">
        <v>41132</v>
      </c>
      <c r="N576" s="158">
        <v>43749</v>
      </c>
      <c r="O576" s="158">
        <v>43000</v>
      </c>
      <c r="P576" s="157">
        <v>45526</v>
      </c>
      <c r="Q576" s="149">
        <v>48152</v>
      </c>
      <c r="R576" s="149">
        <v>51002</v>
      </c>
      <c r="S576" s="149">
        <v>54070</v>
      </c>
      <c r="T576" s="149">
        <v>57324</v>
      </c>
      <c r="V576" s="370"/>
      <c r="W576" s="371"/>
      <c r="X576" s="371"/>
      <c r="Y576" s="371"/>
    </row>
    <row r="577" spans="1:27" ht="24" customHeight="1">
      <c r="A577" s="263" t="s">
        <v>307</v>
      </c>
      <c r="B577" s="202"/>
      <c r="C577" s="202"/>
      <c r="D577" s="263" t="s">
        <v>9</v>
      </c>
      <c r="E577" s="202"/>
      <c r="F577" s="202"/>
      <c r="G577" s="202"/>
      <c r="H577" s="202"/>
      <c r="I577" s="202"/>
      <c r="J577" s="202"/>
      <c r="K577" s="202"/>
      <c r="L577" s="211">
        <f>ROUND(28116.52-1307.19-1011.8-1648.21+565.38+1081.53+1558.18,0)</f>
        <v>27354</v>
      </c>
      <c r="M577" s="211">
        <v>28326</v>
      </c>
      <c r="N577" s="158">
        <v>31730</v>
      </c>
      <c r="O577" s="158">
        <v>31000</v>
      </c>
      <c r="P577" s="157">
        <v>32370</v>
      </c>
      <c r="Q577" s="157">
        <v>33341</v>
      </c>
      <c r="R577" s="157">
        <v>34341</v>
      </c>
      <c r="S577" s="157">
        <v>35371</v>
      </c>
      <c r="T577" s="157">
        <v>36432</v>
      </c>
      <c r="V577" s="370"/>
      <c r="W577" s="371"/>
      <c r="X577" s="371"/>
      <c r="Y577" s="371"/>
    </row>
    <row r="578" spans="1:27" ht="24" customHeight="1">
      <c r="A578" s="263" t="s">
        <v>521</v>
      </c>
      <c r="B578" s="202"/>
      <c r="C578" s="202"/>
      <c r="D578" s="263" t="s">
        <v>13</v>
      </c>
      <c r="E578" s="202"/>
      <c r="F578" s="202"/>
      <c r="G578" s="202"/>
      <c r="H578" s="202"/>
      <c r="I578" s="202"/>
      <c r="J578" s="202"/>
      <c r="K578" s="202"/>
      <c r="L578" s="211">
        <v>113806</v>
      </c>
      <c r="M578" s="211">
        <v>127757</v>
      </c>
      <c r="N578" s="155">
        <v>148964</v>
      </c>
      <c r="O578" s="158">
        <f>ROUND((107976.57)+(-583.56*6)+(11129.29*2)+(29.67*4),0)+10000</f>
        <v>136852</v>
      </c>
      <c r="P578" s="157">
        <v>139233</v>
      </c>
      <c r="Q578" s="157">
        <v>150372</v>
      </c>
      <c r="R578" s="157">
        <v>162402</v>
      </c>
      <c r="S578" s="157">
        <v>175394</v>
      </c>
      <c r="T578" s="157">
        <v>189426</v>
      </c>
      <c r="V578" s="370"/>
      <c r="W578" s="371"/>
      <c r="X578" s="370"/>
      <c r="Y578" s="371"/>
      <c r="AA578" s="148"/>
    </row>
    <row r="579" spans="1:27" ht="24" customHeight="1">
      <c r="A579" s="263" t="s">
        <v>522</v>
      </c>
      <c r="B579" s="202"/>
      <c r="C579" s="202"/>
      <c r="D579" s="263" t="s">
        <v>173</v>
      </c>
      <c r="E579" s="202"/>
      <c r="F579" s="202"/>
      <c r="G579" s="202"/>
      <c r="H579" s="202"/>
      <c r="I579" s="202"/>
      <c r="J579" s="202"/>
      <c r="K579" s="202"/>
      <c r="L579" s="211">
        <v>777</v>
      </c>
      <c r="M579" s="211">
        <v>705</v>
      </c>
      <c r="N579" s="155">
        <v>705</v>
      </c>
      <c r="O579" s="155">
        <v>705</v>
      </c>
      <c r="P579" s="154">
        <v>519</v>
      </c>
      <c r="Q579" s="154">
        <v>524</v>
      </c>
      <c r="R579" s="154">
        <v>529</v>
      </c>
      <c r="S579" s="154">
        <v>534</v>
      </c>
      <c r="T579" s="154">
        <v>539</v>
      </c>
      <c r="V579" s="370"/>
      <c r="W579" s="371"/>
      <c r="X579" s="370"/>
      <c r="Y579" s="371"/>
      <c r="AA579" s="148"/>
    </row>
    <row r="580" spans="1:27" ht="24" customHeight="1">
      <c r="A580" s="263" t="s">
        <v>523</v>
      </c>
      <c r="B580" s="202"/>
      <c r="C580" s="202"/>
      <c r="D580" s="263" t="s">
        <v>530</v>
      </c>
      <c r="E580" s="202"/>
      <c r="F580" s="202"/>
      <c r="G580" s="202"/>
      <c r="H580" s="202"/>
      <c r="I580" s="202"/>
      <c r="J580" s="202"/>
      <c r="K580" s="202"/>
      <c r="L580" s="211">
        <v>8712</v>
      </c>
      <c r="M580" s="211">
        <v>9147</v>
      </c>
      <c r="N580" s="155">
        <v>9605</v>
      </c>
      <c r="O580" s="155">
        <v>8808</v>
      </c>
      <c r="P580" s="154">
        <v>8260</v>
      </c>
      <c r="Q580" s="154">
        <v>8673</v>
      </c>
      <c r="R580" s="154">
        <v>9107</v>
      </c>
      <c r="S580" s="154">
        <v>9562</v>
      </c>
      <c r="T580" s="154">
        <v>10040</v>
      </c>
      <c r="V580" s="370"/>
      <c r="W580" s="371"/>
      <c r="X580" s="370"/>
      <c r="Y580" s="371"/>
      <c r="AA580" s="148"/>
    </row>
    <row r="581" spans="1:27" ht="24" customHeight="1">
      <c r="A581" s="263" t="s">
        <v>537</v>
      </c>
      <c r="B581" s="202"/>
      <c r="C581" s="202"/>
      <c r="D581" s="263" t="s">
        <v>532</v>
      </c>
      <c r="E581" s="202"/>
      <c r="F581" s="202"/>
      <c r="G581" s="202"/>
      <c r="H581" s="202"/>
      <c r="I581" s="202"/>
      <c r="J581" s="202"/>
      <c r="K581" s="202"/>
      <c r="L581" s="211">
        <v>1131</v>
      </c>
      <c r="M581" s="211">
        <v>1131</v>
      </c>
      <c r="N581" s="155">
        <v>1165</v>
      </c>
      <c r="O581" s="155">
        <v>1218</v>
      </c>
      <c r="P581" s="154">
        <v>1218</v>
      </c>
      <c r="Q581" s="154">
        <v>1218</v>
      </c>
      <c r="R581" s="154">
        <v>1218</v>
      </c>
      <c r="S581" s="154">
        <v>1255</v>
      </c>
      <c r="T581" s="154">
        <v>1293</v>
      </c>
      <c r="V581" s="370"/>
      <c r="W581" s="371"/>
      <c r="X581" s="370"/>
      <c r="Y581" s="371"/>
      <c r="AA581" s="148"/>
    </row>
    <row r="582" spans="1:27" ht="24" customHeight="1">
      <c r="A582" s="263" t="s">
        <v>504</v>
      </c>
      <c r="B582" s="202"/>
      <c r="C582" s="202"/>
      <c r="D582" s="263" t="s">
        <v>172</v>
      </c>
      <c r="E582" s="202"/>
      <c r="F582" s="202"/>
      <c r="G582" s="202"/>
      <c r="H582" s="202"/>
      <c r="I582" s="202"/>
      <c r="J582" s="202"/>
      <c r="K582" s="202"/>
      <c r="L582" s="211">
        <v>1785</v>
      </c>
      <c r="M582" s="211">
        <v>1148</v>
      </c>
      <c r="N582" s="150">
        <v>2000</v>
      </c>
      <c r="O582" s="150">
        <f>869+313</f>
        <v>1182</v>
      </c>
      <c r="P582" s="149">
        <v>2000</v>
      </c>
      <c r="Q582" s="149">
        <v>2000</v>
      </c>
      <c r="R582" s="149">
        <v>2000</v>
      </c>
      <c r="S582" s="149">
        <v>2000</v>
      </c>
      <c r="T582" s="149">
        <v>2000</v>
      </c>
    </row>
    <row r="583" spans="1:27" ht="24" customHeight="1">
      <c r="A583" s="263" t="s">
        <v>502</v>
      </c>
      <c r="B583" s="202"/>
      <c r="C583" s="202"/>
      <c r="D583" s="263" t="s">
        <v>229</v>
      </c>
      <c r="E583" s="202"/>
      <c r="F583" s="202"/>
      <c r="G583" s="202"/>
      <c r="H583" s="202"/>
      <c r="I583" s="202"/>
      <c r="J583" s="202"/>
      <c r="K583" s="202"/>
      <c r="L583" s="211">
        <v>25115</v>
      </c>
      <c r="M583" s="211">
        <v>25704</v>
      </c>
      <c r="N583" s="150">
        <v>29047</v>
      </c>
      <c r="O583" s="150">
        <f>18924+(1067*3)+480+4131</f>
        <v>26736</v>
      </c>
      <c r="P583" s="149">
        <f>ROUND(O583*1.06,0)</f>
        <v>28340</v>
      </c>
      <c r="Q583" s="149">
        <f>ROUND(P583*1.06,0)</f>
        <v>30040</v>
      </c>
      <c r="R583" s="149">
        <f>ROUND(Q583*1.06,0)</f>
        <v>31842</v>
      </c>
      <c r="S583" s="149">
        <f>ROUND(R583*1.06,0)</f>
        <v>33753</v>
      </c>
      <c r="T583" s="149">
        <f>ROUND(S583*1.06,0)</f>
        <v>35778</v>
      </c>
      <c r="V583" s="370"/>
      <c r="W583" s="371"/>
      <c r="X583" s="664"/>
    </row>
    <row r="584" spans="1:27" ht="24" customHeight="1">
      <c r="A584" s="669" t="s">
        <v>1294</v>
      </c>
      <c r="B584" s="670"/>
      <c r="C584" s="670"/>
      <c r="D584" s="670" t="s">
        <v>1295</v>
      </c>
      <c r="E584" s="670"/>
      <c r="F584" s="670"/>
      <c r="G584" s="670"/>
      <c r="H584" s="670"/>
      <c r="I584" s="670"/>
      <c r="J584" s="670"/>
      <c r="K584" s="670"/>
      <c r="L584" s="211">
        <v>0</v>
      </c>
      <c r="M584" s="211">
        <v>0</v>
      </c>
      <c r="N584" s="156">
        <v>108154</v>
      </c>
      <c r="O584" s="156">
        <v>108154</v>
      </c>
      <c r="P584" s="153">
        <v>111629</v>
      </c>
      <c r="Q584" s="153">
        <f>ROUND(P584*(1+$Y$59),0)</f>
        <v>111629</v>
      </c>
      <c r="R584" s="153">
        <f>ROUND(Q584*(1+$Y$60),0)</f>
        <v>111629</v>
      </c>
      <c r="S584" s="153">
        <f>ROUND(R584*(1+$Y$61),0)</f>
        <v>111629</v>
      </c>
      <c r="T584" s="153">
        <f>ROUND(S584*(1+$Y$62),0)</f>
        <v>111629</v>
      </c>
      <c r="V584" s="370"/>
      <c r="W584" s="371"/>
      <c r="X584" s="664"/>
    </row>
    <row r="585" spans="1:27" ht="24" customHeight="1">
      <c r="A585" s="263" t="s">
        <v>1112</v>
      </c>
      <c r="B585" s="415"/>
      <c r="C585" s="415"/>
      <c r="D585" s="415" t="s">
        <v>1089</v>
      </c>
      <c r="E585" s="415"/>
      <c r="F585" s="415"/>
      <c r="G585" s="415"/>
      <c r="H585" s="415"/>
      <c r="I585" s="415"/>
      <c r="J585" s="415"/>
      <c r="K585" s="415"/>
      <c r="L585" s="211">
        <v>40456</v>
      </c>
      <c r="M585" s="211">
        <v>55732</v>
      </c>
      <c r="N585" s="156">
        <v>0</v>
      </c>
      <c r="O585" s="156">
        <v>0</v>
      </c>
      <c r="P585" s="153">
        <v>0</v>
      </c>
      <c r="Q585" s="153">
        <v>0</v>
      </c>
      <c r="R585" s="153">
        <v>0</v>
      </c>
      <c r="S585" s="153">
        <v>0</v>
      </c>
      <c r="T585" s="153">
        <v>0</v>
      </c>
      <c r="V585" s="148"/>
    </row>
    <row r="586" spans="1:27" ht="24" customHeight="1">
      <c r="A586" s="263" t="s">
        <v>800</v>
      </c>
      <c r="B586" s="202"/>
      <c r="C586" s="202"/>
      <c r="D586" s="202" t="s">
        <v>798</v>
      </c>
      <c r="E586" s="202"/>
      <c r="F586" s="202"/>
      <c r="G586" s="202"/>
      <c r="H586" s="202"/>
      <c r="I586" s="202"/>
      <c r="J586" s="202"/>
      <c r="K586" s="202"/>
      <c r="L586" s="211">
        <v>162468</v>
      </c>
      <c r="M586" s="211">
        <v>171840</v>
      </c>
      <c r="N586" s="150">
        <v>0</v>
      </c>
      <c r="O586" s="150">
        <f t="shared" ref="O586:T586" si="66">O552</f>
        <v>0</v>
      </c>
      <c r="P586" s="149">
        <f t="shared" si="66"/>
        <v>0</v>
      </c>
      <c r="Q586" s="149">
        <f t="shared" si="66"/>
        <v>0</v>
      </c>
      <c r="R586" s="149">
        <f t="shared" si="66"/>
        <v>0</v>
      </c>
      <c r="S586" s="149">
        <f t="shared" si="66"/>
        <v>0</v>
      </c>
      <c r="T586" s="149">
        <f t="shared" si="66"/>
        <v>0</v>
      </c>
      <c r="V586" s="148"/>
    </row>
    <row r="587" spans="1:27" ht="24" customHeight="1">
      <c r="A587" s="263" t="s">
        <v>308</v>
      </c>
      <c r="B587" s="264"/>
      <c r="C587" s="264"/>
      <c r="D587" s="545" t="s">
        <v>91</v>
      </c>
      <c r="E587" s="544"/>
      <c r="F587" s="544"/>
      <c r="G587" s="544"/>
      <c r="H587" s="544"/>
      <c r="I587" s="544"/>
      <c r="J587" s="544"/>
      <c r="K587" s="544"/>
      <c r="L587" s="211">
        <v>3072</v>
      </c>
      <c r="M587" s="211">
        <v>3178</v>
      </c>
      <c r="N587" s="147">
        <v>6500</v>
      </c>
      <c r="O587" s="147">
        <v>6500</v>
      </c>
      <c r="P587" s="146">
        <v>6500</v>
      </c>
      <c r="Q587" s="146">
        <v>6500</v>
      </c>
      <c r="R587" s="146">
        <v>6500</v>
      </c>
      <c r="S587" s="146">
        <v>6500</v>
      </c>
      <c r="T587" s="146">
        <v>6500</v>
      </c>
      <c r="V587" s="148"/>
    </row>
    <row r="588" spans="1:27" ht="24" customHeight="1">
      <c r="A588" s="263" t="s">
        <v>309</v>
      </c>
      <c r="B588" s="202"/>
      <c r="C588" s="202"/>
      <c r="D588" s="263" t="s">
        <v>960</v>
      </c>
      <c r="E588" s="202"/>
      <c r="F588" s="202"/>
      <c r="G588" s="264"/>
      <c r="H588" s="264"/>
      <c r="I588" s="264"/>
      <c r="J588" s="264"/>
      <c r="K588" s="264"/>
      <c r="L588" s="211">
        <v>1193</v>
      </c>
      <c r="M588" s="211">
        <v>2123</v>
      </c>
      <c r="N588" s="150">
        <v>1600</v>
      </c>
      <c r="O588" s="150">
        <v>1600</v>
      </c>
      <c r="P588" s="149">
        <v>2000</v>
      </c>
      <c r="Q588" s="149">
        <v>2000</v>
      </c>
      <c r="R588" s="149">
        <v>2000</v>
      </c>
      <c r="S588" s="149">
        <v>2000</v>
      </c>
      <c r="T588" s="149">
        <v>2000</v>
      </c>
    </row>
    <row r="589" spans="1:27" ht="24" customHeight="1">
      <c r="A589" s="727" t="s">
        <v>1363</v>
      </c>
      <c r="B589" s="726"/>
      <c r="C589" s="726"/>
      <c r="D589" s="1" t="s">
        <v>1358</v>
      </c>
      <c r="E589" s="726"/>
      <c r="F589" s="726"/>
      <c r="G589" s="726"/>
      <c r="H589" s="726"/>
      <c r="I589" s="726"/>
      <c r="J589" s="726"/>
      <c r="K589" s="726"/>
      <c r="L589" s="215">
        <v>0</v>
      </c>
      <c r="M589" s="215">
        <v>0</v>
      </c>
      <c r="N589" s="158">
        <v>0</v>
      </c>
      <c r="O589" s="158">
        <v>0</v>
      </c>
      <c r="P589" s="157">
        <v>2627</v>
      </c>
      <c r="Q589" s="157">
        <v>827</v>
      </c>
      <c r="R589" s="157">
        <v>2257</v>
      </c>
      <c r="S589" s="157">
        <v>486</v>
      </c>
      <c r="T589" s="157">
        <v>3190</v>
      </c>
    </row>
    <row r="590" spans="1:27" ht="24" customHeight="1">
      <c r="A590" s="263" t="s">
        <v>310</v>
      </c>
      <c r="B590" s="202"/>
      <c r="C590" s="202"/>
      <c r="D590" s="263" t="s">
        <v>90</v>
      </c>
      <c r="E590" s="327"/>
      <c r="F590" s="327"/>
      <c r="G590" s="326"/>
      <c r="H590" s="326"/>
      <c r="I590" s="326"/>
      <c r="J590" s="326"/>
      <c r="K590" s="326"/>
      <c r="L590" s="211">
        <v>211</v>
      </c>
      <c r="M590" s="211">
        <v>605</v>
      </c>
      <c r="N590" s="150">
        <v>1000</v>
      </c>
      <c r="O590" s="150">
        <v>0</v>
      </c>
      <c r="P590" s="149">
        <v>500</v>
      </c>
      <c r="Q590" s="149">
        <v>500</v>
      </c>
      <c r="R590" s="149">
        <v>500</v>
      </c>
      <c r="S590" s="149">
        <v>500</v>
      </c>
      <c r="T590" s="149">
        <v>500</v>
      </c>
    </row>
    <row r="591" spans="1:27" ht="24" customHeight="1">
      <c r="A591" s="263" t="s">
        <v>311</v>
      </c>
      <c r="B591" s="202"/>
      <c r="C591" s="202"/>
      <c r="D591" s="263" t="s">
        <v>312</v>
      </c>
      <c r="E591" s="202"/>
      <c r="F591" s="202"/>
      <c r="G591" s="264"/>
      <c r="H591" s="264"/>
      <c r="I591" s="264"/>
      <c r="J591" s="264"/>
      <c r="K591" s="264"/>
      <c r="L591" s="209">
        <v>6842</v>
      </c>
      <c r="M591" s="209">
        <v>7607</v>
      </c>
      <c r="N591" s="147">
        <v>12000</v>
      </c>
      <c r="O591" s="147">
        <v>10000</v>
      </c>
      <c r="P591" s="146">
        <v>10000</v>
      </c>
      <c r="Q591" s="146">
        <v>10000</v>
      </c>
      <c r="R591" s="146">
        <v>10000</v>
      </c>
      <c r="S591" s="146">
        <v>10000</v>
      </c>
      <c r="T591" s="146">
        <v>10000</v>
      </c>
    </row>
    <row r="592" spans="1:27" ht="24" customHeight="1">
      <c r="A592" s="263" t="s">
        <v>313</v>
      </c>
      <c r="B592" s="202"/>
      <c r="C592" s="202"/>
      <c r="D592" s="263" t="s">
        <v>961</v>
      </c>
      <c r="E592" s="202"/>
      <c r="F592" s="202"/>
      <c r="G592" s="264"/>
      <c r="H592" s="264"/>
      <c r="I592" s="264"/>
      <c r="J592" s="264"/>
      <c r="K592" s="264"/>
      <c r="L592" s="211">
        <v>2679</v>
      </c>
      <c r="M592" s="211">
        <v>2405</v>
      </c>
      <c r="N592" s="150">
        <v>3000</v>
      </c>
      <c r="O592" s="150">
        <v>3000</v>
      </c>
      <c r="P592" s="149">
        <v>3250</v>
      </c>
      <c r="Q592" s="149">
        <v>3250</v>
      </c>
      <c r="R592" s="149">
        <v>3250</v>
      </c>
      <c r="S592" s="149">
        <v>3250</v>
      </c>
      <c r="T592" s="149">
        <v>3250</v>
      </c>
    </row>
    <row r="593" spans="1:24" ht="24" customHeight="1">
      <c r="A593" s="263" t="s">
        <v>314</v>
      </c>
      <c r="B593" s="202"/>
      <c r="C593" s="202"/>
      <c r="D593" s="263" t="s">
        <v>224</v>
      </c>
      <c r="E593" s="202"/>
      <c r="F593" s="264"/>
      <c r="G593" s="202"/>
      <c r="H593" s="202"/>
      <c r="I593" s="202"/>
      <c r="J593" s="202"/>
      <c r="K593" s="202"/>
      <c r="L593" s="211">
        <v>24715</v>
      </c>
      <c r="M593" s="211">
        <v>30807</v>
      </c>
      <c r="N593" s="150">
        <v>30000</v>
      </c>
      <c r="O593" s="150">
        <v>30000</v>
      </c>
      <c r="P593" s="149">
        <v>30000</v>
      </c>
      <c r="Q593" s="149">
        <v>30000</v>
      </c>
      <c r="R593" s="149">
        <v>30000</v>
      </c>
      <c r="S593" s="149">
        <v>30000</v>
      </c>
      <c r="T593" s="149">
        <v>30000</v>
      </c>
      <c r="V593" s="152"/>
    </row>
    <row r="594" spans="1:24" ht="24" customHeight="1">
      <c r="A594" s="263" t="s">
        <v>643</v>
      </c>
      <c r="B594" s="202"/>
      <c r="C594" s="202"/>
      <c r="D594" s="263" t="s">
        <v>644</v>
      </c>
      <c r="E594" s="202"/>
      <c r="F594" s="264"/>
      <c r="G594" s="202"/>
      <c r="H594" s="202"/>
      <c r="I594" s="202"/>
      <c r="J594" s="202"/>
      <c r="K594" s="202"/>
      <c r="L594" s="211">
        <v>113208</v>
      </c>
      <c r="M594" s="211">
        <v>143204</v>
      </c>
      <c r="N594" s="150">
        <v>120000</v>
      </c>
      <c r="O594" s="150">
        <v>120000</v>
      </c>
      <c r="P594" s="149">
        <v>145000</v>
      </c>
      <c r="Q594" s="149">
        <v>145000</v>
      </c>
      <c r="R594" s="149">
        <v>145000</v>
      </c>
      <c r="S594" s="149">
        <v>145000</v>
      </c>
      <c r="T594" s="149">
        <v>145000</v>
      </c>
    </row>
    <row r="595" spans="1:24" ht="24" customHeight="1">
      <c r="A595" s="263" t="s">
        <v>630</v>
      </c>
      <c r="B595" s="202"/>
      <c r="C595" s="202"/>
      <c r="D595" s="263" t="s">
        <v>49</v>
      </c>
      <c r="E595" s="202"/>
      <c r="F595" s="264"/>
      <c r="G595" s="202"/>
      <c r="H595" s="202"/>
      <c r="I595" s="202"/>
      <c r="J595" s="202"/>
      <c r="K595" s="202"/>
      <c r="L595" s="211">
        <v>3753</v>
      </c>
      <c r="M595" s="211">
        <v>2058</v>
      </c>
      <c r="N595" s="150">
        <v>5000</v>
      </c>
      <c r="O595" s="150">
        <v>4000</v>
      </c>
      <c r="P595" s="149">
        <v>4000</v>
      </c>
      <c r="Q595" s="149">
        <v>4000</v>
      </c>
      <c r="R595" s="149">
        <v>4000</v>
      </c>
      <c r="S595" s="149">
        <v>4000</v>
      </c>
      <c r="T595" s="149">
        <v>4000</v>
      </c>
    </row>
    <row r="596" spans="1:24" ht="24" customHeight="1">
      <c r="A596" s="263" t="s">
        <v>315</v>
      </c>
      <c r="B596" s="264"/>
      <c r="C596" s="264"/>
      <c r="D596" s="263" t="s">
        <v>89</v>
      </c>
      <c r="E596" s="264"/>
      <c r="F596" s="264"/>
      <c r="G596" s="202"/>
      <c r="H596" s="202"/>
      <c r="I596" s="202"/>
      <c r="J596" s="202"/>
      <c r="K596" s="202"/>
      <c r="L596" s="209">
        <v>18206</v>
      </c>
      <c r="M596" s="209">
        <v>16838</v>
      </c>
      <c r="N596" s="147">
        <v>19000</v>
      </c>
      <c r="O596" s="147">
        <v>19000</v>
      </c>
      <c r="P596" s="146">
        <v>19000</v>
      </c>
      <c r="Q596" s="146">
        <v>19000</v>
      </c>
      <c r="R596" s="146">
        <v>19000</v>
      </c>
      <c r="S596" s="146">
        <v>19000</v>
      </c>
      <c r="T596" s="146">
        <v>19000</v>
      </c>
    </row>
    <row r="597" spans="1:24" ht="24" customHeight="1">
      <c r="A597" s="263" t="s">
        <v>316</v>
      </c>
      <c r="B597" s="202"/>
      <c r="C597" s="202"/>
      <c r="D597" s="263" t="s">
        <v>962</v>
      </c>
      <c r="E597" s="202"/>
      <c r="F597" s="202"/>
      <c r="G597" s="202"/>
      <c r="H597" s="202"/>
      <c r="I597" s="202"/>
      <c r="J597" s="202"/>
      <c r="K597" s="202"/>
      <c r="L597" s="211">
        <v>1080</v>
      </c>
      <c r="M597" s="211">
        <v>1603</v>
      </c>
      <c r="N597" s="150">
        <v>1600</v>
      </c>
      <c r="O597" s="150">
        <v>1600</v>
      </c>
      <c r="P597" s="149">
        <v>1800</v>
      </c>
      <c r="Q597" s="149">
        <v>1800</v>
      </c>
      <c r="R597" s="149">
        <v>1800</v>
      </c>
      <c r="S597" s="149">
        <v>1800</v>
      </c>
      <c r="T597" s="149">
        <v>1800</v>
      </c>
    </row>
    <row r="598" spans="1:24" ht="24" customHeight="1">
      <c r="A598" s="263" t="s">
        <v>317</v>
      </c>
      <c r="B598" s="202"/>
      <c r="C598" s="202"/>
      <c r="D598" s="263" t="s">
        <v>10</v>
      </c>
      <c r="E598" s="470"/>
      <c r="F598" s="470"/>
      <c r="G598" s="469"/>
      <c r="H598" s="469"/>
      <c r="I598" s="469"/>
      <c r="J598" s="469"/>
      <c r="K598" s="469"/>
      <c r="L598" s="209">
        <v>47595</v>
      </c>
      <c r="M598" s="209">
        <v>39025</v>
      </c>
      <c r="N598" s="147">
        <v>45000</v>
      </c>
      <c r="O598" s="147">
        <v>45000</v>
      </c>
      <c r="P598" s="146">
        <v>45000</v>
      </c>
      <c r="Q598" s="146">
        <v>45000</v>
      </c>
      <c r="R598" s="146">
        <v>45000</v>
      </c>
      <c r="S598" s="146">
        <v>45000</v>
      </c>
      <c r="T598" s="146">
        <v>45000</v>
      </c>
    </row>
    <row r="599" spans="1:24" ht="24" customHeight="1">
      <c r="A599" s="263" t="s">
        <v>1121</v>
      </c>
      <c r="B599" s="428"/>
      <c r="C599" s="428"/>
      <c r="D599" s="639" t="s">
        <v>246</v>
      </c>
      <c r="E599" s="637"/>
      <c r="F599" s="637"/>
      <c r="G599" s="636"/>
      <c r="H599" s="636"/>
      <c r="I599" s="636"/>
      <c r="J599" s="636"/>
      <c r="K599" s="636"/>
      <c r="L599" s="209">
        <v>187840</v>
      </c>
      <c r="M599" s="209">
        <v>46960</v>
      </c>
      <c r="N599" s="147">
        <v>200000</v>
      </c>
      <c r="O599" s="147">
        <f>20000+20000</f>
        <v>40000</v>
      </c>
      <c r="P599" s="146">
        <v>15000</v>
      </c>
      <c r="Q599" s="146">
        <v>30000</v>
      </c>
      <c r="R599" s="146">
        <v>15000</v>
      </c>
      <c r="S599" s="146">
        <v>15000</v>
      </c>
      <c r="T599" s="146">
        <v>0</v>
      </c>
      <c r="V599" s="656"/>
      <c r="W599" s="148"/>
      <c r="X599" s="148"/>
    </row>
    <row r="600" spans="1:24" ht="24" customHeight="1">
      <c r="A600" s="263" t="s">
        <v>318</v>
      </c>
      <c r="B600" s="202"/>
      <c r="C600" s="202"/>
      <c r="D600" s="263" t="s">
        <v>127</v>
      </c>
      <c r="E600" s="202"/>
      <c r="F600" s="202"/>
      <c r="G600" s="264"/>
      <c r="H600" s="264"/>
      <c r="I600" s="264"/>
      <c r="J600" s="264"/>
      <c r="K600" s="264"/>
      <c r="L600" s="211">
        <v>0</v>
      </c>
      <c r="M600" s="211">
        <v>0</v>
      </c>
      <c r="N600" s="150">
        <v>2000</v>
      </c>
      <c r="O600" s="150">
        <v>0</v>
      </c>
      <c r="P600" s="149">
        <v>0</v>
      </c>
      <c r="Q600" s="149">
        <v>0</v>
      </c>
      <c r="R600" s="149">
        <v>0</v>
      </c>
      <c r="S600" s="149">
        <v>0</v>
      </c>
      <c r="T600" s="149">
        <v>0</v>
      </c>
    </row>
    <row r="601" spans="1:24" ht="24" customHeight="1">
      <c r="A601" s="263" t="s">
        <v>319</v>
      </c>
      <c r="B601" s="264"/>
      <c r="C601" s="264"/>
      <c r="D601" s="263" t="s">
        <v>17</v>
      </c>
      <c r="E601" s="319"/>
      <c r="F601" s="319"/>
      <c r="G601" s="319"/>
      <c r="H601" s="319"/>
      <c r="I601" s="319"/>
      <c r="J601" s="319"/>
      <c r="K601" s="319"/>
      <c r="L601" s="212">
        <v>239114</v>
      </c>
      <c r="M601" s="212">
        <v>256914</v>
      </c>
      <c r="N601" s="150">
        <v>270300</v>
      </c>
      <c r="O601" s="150">
        <v>270300</v>
      </c>
      <c r="P601" s="149">
        <f>ROUND(O601*1.06,0)</f>
        <v>286518</v>
      </c>
      <c r="Q601" s="149">
        <f>ROUND(P601*1.06,0)</f>
        <v>303709</v>
      </c>
      <c r="R601" s="149">
        <f>ROUND(Q601*1.06,0)</f>
        <v>321932</v>
      </c>
      <c r="S601" s="149">
        <f>ROUND(R601*1.06,0)</f>
        <v>341248</v>
      </c>
      <c r="T601" s="149">
        <f>ROUND(S601*1.06,0)</f>
        <v>361723</v>
      </c>
      <c r="V601" s="151"/>
    </row>
    <row r="602" spans="1:24" ht="24" customHeight="1">
      <c r="A602" s="263" t="s">
        <v>320</v>
      </c>
      <c r="B602" s="202"/>
      <c r="C602" s="202"/>
      <c r="D602" s="263" t="s">
        <v>321</v>
      </c>
      <c r="E602" s="327"/>
      <c r="F602" s="327"/>
      <c r="G602" s="327"/>
      <c r="H602" s="327"/>
      <c r="I602" s="327"/>
      <c r="J602" s="327"/>
      <c r="K602" s="327"/>
      <c r="L602" s="232">
        <v>4300</v>
      </c>
      <c r="M602" s="232">
        <v>7849</v>
      </c>
      <c r="N602" s="184">
        <v>6500</v>
      </c>
      <c r="O602" s="184">
        <v>6500</v>
      </c>
      <c r="P602" s="183">
        <f>ROUND(9000/3,0)</f>
        <v>3000</v>
      </c>
      <c r="Q602" s="183">
        <f>ROUND(9000/3,0)</f>
        <v>3000</v>
      </c>
      <c r="R602" s="183">
        <f>ROUND(9000/3,0)</f>
        <v>3000</v>
      </c>
      <c r="S602" s="183">
        <f>ROUND(9000/3,0)</f>
        <v>3000</v>
      </c>
      <c r="T602" s="183">
        <f>ROUND(9000/3,0)</f>
        <v>3000</v>
      </c>
      <c r="V602" s="148"/>
    </row>
    <row r="603" spans="1:24" ht="24" customHeight="1">
      <c r="A603" s="263" t="s">
        <v>322</v>
      </c>
      <c r="B603" s="264"/>
      <c r="C603" s="264"/>
      <c r="D603" s="263" t="s">
        <v>86</v>
      </c>
      <c r="E603" s="264"/>
      <c r="F603" s="264"/>
      <c r="G603" s="202"/>
      <c r="H603" s="202"/>
      <c r="I603" s="202"/>
      <c r="J603" s="202"/>
      <c r="K603" s="202"/>
      <c r="L603" s="232">
        <v>464</v>
      </c>
      <c r="M603" s="232">
        <v>423</v>
      </c>
      <c r="N603" s="184">
        <v>750</v>
      </c>
      <c r="O603" s="184">
        <v>1000</v>
      </c>
      <c r="P603" s="183">
        <v>1000</v>
      </c>
      <c r="Q603" s="183">
        <v>1000</v>
      </c>
      <c r="R603" s="183">
        <v>1000</v>
      </c>
      <c r="S603" s="183">
        <v>1000</v>
      </c>
      <c r="T603" s="183">
        <v>1000</v>
      </c>
    </row>
    <row r="604" spans="1:24" ht="24" customHeight="1">
      <c r="A604" s="616" t="s">
        <v>1247</v>
      </c>
      <c r="B604" s="617"/>
      <c r="C604" s="617"/>
      <c r="D604" s="704" t="s">
        <v>87</v>
      </c>
      <c r="E604" s="703"/>
      <c r="F604" s="703"/>
      <c r="G604" s="703"/>
      <c r="H604" s="703"/>
      <c r="I604" s="703"/>
      <c r="J604" s="617"/>
      <c r="K604" s="617"/>
      <c r="L604" s="215">
        <v>0</v>
      </c>
      <c r="M604" s="215">
        <v>0</v>
      </c>
      <c r="N604" s="158">
        <v>4167</v>
      </c>
      <c r="O604" s="158">
        <f>ROUND(97.02*12,0)</f>
        <v>1164</v>
      </c>
      <c r="P604" s="157">
        <f>ROUND(O604*1.03,0)</f>
        <v>1199</v>
      </c>
      <c r="Q604" s="157">
        <f>ROUND(P604*1.03,0)</f>
        <v>1235</v>
      </c>
      <c r="R604" s="157">
        <f>ROUND(Q604*1.03,0)</f>
        <v>1272</v>
      </c>
      <c r="S604" s="157">
        <f>ROUND(R604*1.03,0)</f>
        <v>1310</v>
      </c>
      <c r="T604" s="157">
        <f>ROUND(S604*1.03,0)</f>
        <v>1349</v>
      </c>
    </row>
    <row r="605" spans="1:24" ht="24" customHeight="1">
      <c r="A605" s="263" t="s">
        <v>897</v>
      </c>
      <c r="B605" s="264"/>
      <c r="C605" s="264"/>
      <c r="D605" s="263" t="s">
        <v>894</v>
      </c>
      <c r="E605" s="264"/>
      <c r="F605" s="264"/>
      <c r="G605" s="264"/>
      <c r="H605" s="264"/>
      <c r="I605" s="264"/>
      <c r="J605" s="264"/>
      <c r="K605" s="264"/>
      <c r="L605" s="228">
        <v>14551</v>
      </c>
      <c r="M605" s="228">
        <v>8862</v>
      </c>
      <c r="N605" s="185">
        <v>15000</v>
      </c>
      <c r="O605" s="185">
        <v>15000</v>
      </c>
      <c r="P605" s="177">
        <v>12000</v>
      </c>
      <c r="Q605" s="177">
        <v>12000</v>
      </c>
      <c r="R605" s="177">
        <v>12000</v>
      </c>
      <c r="S605" s="177">
        <v>12000</v>
      </c>
      <c r="T605" s="177">
        <v>12000</v>
      </c>
      <c r="V605" s="148"/>
    </row>
    <row r="606" spans="1:24" ht="24" customHeight="1">
      <c r="A606" s="263" t="s">
        <v>988</v>
      </c>
      <c r="B606" s="314"/>
      <c r="C606" s="314"/>
      <c r="D606" s="263" t="s">
        <v>987</v>
      </c>
      <c r="E606" s="326"/>
      <c r="F606" s="326"/>
      <c r="G606" s="326"/>
      <c r="H606" s="326"/>
      <c r="I606" s="326"/>
      <c r="J606" s="326"/>
      <c r="K606" s="326"/>
      <c r="L606" s="228">
        <v>6994</v>
      </c>
      <c r="M606" s="228">
        <v>15096</v>
      </c>
      <c r="N606" s="185">
        <f>4000+10000+5000+6000</f>
        <v>25000</v>
      </c>
      <c r="O606" s="185">
        <v>25000</v>
      </c>
      <c r="P606" s="177">
        <v>25000</v>
      </c>
      <c r="Q606" s="177">
        <v>25000</v>
      </c>
      <c r="R606" s="177">
        <v>25000</v>
      </c>
      <c r="S606" s="177">
        <v>25000</v>
      </c>
      <c r="T606" s="177">
        <v>25000</v>
      </c>
      <c r="V606" s="148"/>
    </row>
    <row r="607" spans="1:24" ht="24" customHeight="1">
      <c r="A607" s="263" t="s">
        <v>627</v>
      </c>
      <c r="B607" s="264"/>
      <c r="C607" s="264"/>
      <c r="D607" s="263" t="s">
        <v>290</v>
      </c>
      <c r="E607" s="413"/>
      <c r="F607" s="413"/>
      <c r="G607" s="413"/>
      <c r="H607" s="413"/>
      <c r="I607" s="413"/>
      <c r="J607" s="413"/>
      <c r="K607" s="413"/>
      <c r="L607" s="228">
        <v>2241</v>
      </c>
      <c r="M607" s="228">
        <v>1415</v>
      </c>
      <c r="N607" s="185">
        <v>2295</v>
      </c>
      <c r="O607" s="185">
        <v>1888</v>
      </c>
      <c r="P607" s="177">
        <v>2000</v>
      </c>
      <c r="Q607" s="177">
        <v>1750</v>
      </c>
      <c r="R607" s="177">
        <v>1750</v>
      </c>
      <c r="S607" s="177">
        <v>1750</v>
      </c>
      <c r="T607" s="177">
        <v>1750</v>
      </c>
      <c r="V607" s="152"/>
    </row>
    <row r="608" spans="1:24" ht="24" customHeight="1">
      <c r="A608" s="263" t="s">
        <v>323</v>
      </c>
      <c r="B608" s="405"/>
      <c r="C608" s="405"/>
      <c r="D608" s="263" t="s">
        <v>18</v>
      </c>
      <c r="E608" s="405"/>
      <c r="F608" s="405"/>
      <c r="G608" s="264"/>
      <c r="H608" s="264"/>
      <c r="I608" s="264"/>
      <c r="J608" s="264"/>
      <c r="K608" s="264"/>
      <c r="L608" s="228">
        <v>6219</v>
      </c>
      <c r="M608" s="228">
        <v>12734</v>
      </c>
      <c r="N608" s="185">
        <v>7500</v>
      </c>
      <c r="O608" s="185">
        <v>7500</v>
      </c>
      <c r="P608" s="177">
        <v>7500</v>
      </c>
      <c r="Q608" s="177">
        <v>7500</v>
      </c>
      <c r="R608" s="177">
        <v>7500</v>
      </c>
      <c r="S608" s="177">
        <v>7500</v>
      </c>
      <c r="T608" s="177">
        <v>7500</v>
      </c>
    </row>
    <row r="609" spans="1:27" ht="24" customHeight="1">
      <c r="A609" s="263" t="s">
        <v>324</v>
      </c>
      <c r="B609" s="264"/>
      <c r="C609" s="264"/>
      <c r="D609" s="780" t="s">
        <v>94</v>
      </c>
      <c r="E609" s="264"/>
      <c r="F609" s="264"/>
      <c r="G609" s="264"/>
      <c r="H609" s="264"/>
      <c r="I609" s="264"/>
      <c r="J609" s="264"/>
      <c r="K609" s="264"/>
      <c r="L609" s="212">
        <v>5194</v>
      </c>
      <c r="M609" s="212">
        <v>4264</v>
      </c>
      <c r="N609" s="147">
        <v>4200</v>
      </c>
      <c r="O609" s="147">
        <v>4500</v>
      </c>
      <c r="P609" s="146">
        <f>ROUND((4*500)+(60*5)+1000+(25*52)+500,0)</f>
        <v>5100</v>
      </c>
      <c r="Q609" s="146">
        <f>ROUND((4*500)+(60*5)+1000+(25*52)+500,0)</f>
        <v>5100</v>
      </c>
      <c r="R609" s="146">
        <f>ROUND((4*500)+(60*5)+1000+(25*52)+500,0)</f>
        <v>5100</v>
      </c>
      <c r="S609" s="146">
        <f>ROUND((4*500)+(60*5)+1000+(25*52)+500,0)</f>
        <v>5100</v>
      </c>
      <c r="T609" s="146">
        <f>ROUND((4*500)+(60*5)+1000+(25*52)+500,0)</f>
        <v>5100</v>
      </c>
      <c r="V609" s="148"/>
    </row>
    <row r="610" spans="1:27" ht="24" customHeight="1">
      <c r="A610" s="263" t="s">
        <v>325</v>
      </c>
      <c r="B610" s="264"/>
      <c r="C610" s="264"/>
      <c r="D610" s="263" t="s">
        <v>12</v>
      </c>
      <c r="E610" s="326"/>
      <c r="F610" s="326"/>
      <c r="G610" s="326"/>
      <c r="H610" s="326"/>
      <c r="I610" s="326"/>
      <c r="J610" s="326"/>
      <c r="K610" s="326"/>
      <c r="L610" s="211">
        <v>5993</v>
      </c>
      <c r="M610" s="211">
        <v>7744</v>
      </c>
      <c r="N610" s="150">
        <v>15000</v>
      </c>
      <c r="O610" s="150">
        <v>7500</v>
      </c>
      <c r="P610" s="149">
        <v>7500</v>
      </c>
      <c r="Q610" s="149">
        <v>7500</v>
      </c>
      <c r="R610" s="149">
        <v>7500</v>
      </c>
      <c r="S610" s="149">
        <v>7500</v>
      </c>
      <c r="T610" s="149">
        <v>7500</v>
      </c>
      <c r="V610" s="148"/>
    </row>
    <row r="611" spans="1:27" ht="24" customHeight="1">
      <c r="A611" s="263" t="s">
        <v>898</v>
      </c>
      <c r="B611" s="264"/>
      <c r="C611" s="264"/>
      <c r="D611" s="263" t="s">
        <v>896</v>
      </c>
      <c r="E611" s="264"/>
      <c r="F611" s="264"/>
      <c r="G611" s="264"/>
      <c r="H611" s="264"/>
      <c r="I611" s="264"/>
      <c r="J611" s="264"/>
      <c r="K611" s="264"/>
      <c r="L611" s="211">
        <v>1082</v>
      </c>
      <c r="M611" s="211">
        <v>699</v>
      </c>
      <c r="N611" s="150">
        <v>5000</v>
      </c>
      <c r="O611" s="150">
        <v>2500</v>
      </c>
      <c r="P611" s="149">
        <v>2500</v>
      </c>
      <c r="Q611" s="149">
        <v>2500</v>
      </c>
      <c r="R611" s="149">
        <v>2500</v>
      </c>
      <c r="S611" s="149">
        <v>2500</v>
      </c>
      <c r="T611" s="149">
        <v>2500</v>
      </c>
      <c r="V611" s="407"/>
      <c r="W611" s="407"/>
      <c r="X611" s="407"/>
      <c r="Z611" s="867"/>
      <c r="AA611" s="867"/>
    </row>
    <row r="612" spans="1:27" ht="24" customHeight="1">
      <c r="A612" s="263" t="s">
        <v>326</v>
      </c>
      <c r="B612" s="264"/>
      <c r="C612" s="264"/>
      <c r="D612" s="263" t="s">
        <v>16</v>
      </c>
      <c r="E612" s="264"/>
      <c r="F612" s="264"/>
      <c r="G612" s="264"/>
      <c r="H612" s="264"/>
      <c r="I612" s="264"/>
      <c r="J612" s="264"/>
      <c r="K612" s="264"/>
      <c r="L612" s="211">
        <v>1144</v>
      </c>
      <c r="M612" s="211">
        <v>4447</v>
      </c>
      <c r="N612" s="150">
        <v>2000</v>
      </c>
      <c r="O612" s="150">
        <v>2000</v>
      </c>
      <c r="P612" s="149">
        <v>4000</v>
      </c>
      <c r="Q612" s="149">
        <v>4000</v>
      </c>
      <c r="R612" s="149">
        <v>4000</v>
      </c>
      <c r="S612" s="149">
        <v>4000</v>
      </c>
      <c r="T612" s="149">
        <v>4000</v>
      </c>
      <c r="V612" s="867"/>
      <c r="W612" s="868"/>
      <c r="X612" s="847"/>
      <c r="Z612" s="867"/>
      <c r="AA612" s="869"/>
    </row>
    <row r="613" spans="1:27" ht="24" customHeight="1">
      <c r="A613" s="263" t="s">
        <v>327</v>
      </c>
      <c r="B613" s="264"/>
      <c r="C613" s="264"/>
      <c r="D613" s="263" t="s">
        <v>233</v>
      </c>
      <c r="E613" s="326"/>
      <c r="F613" s="326"/>
      <c r="G613" s="326"/>
      <c r="H613" s="326"/>
      <c r="I613" s="326"/>
      <c r="J613" s="326"/>
      <c r="K613" s="326"/>
      <c r="L613" s="211">
        <v>641</v>
      </c>
      <c r="M613" s="211">
        <v>850</v>
      </c>
      <c r="N613" s="150">
        <v>2000</v>
      </c>
      <c r="O613" s="150">
        <v>170</v>
      </c>
      <c r="P613" s="149">
        <v>0</v>
      </c>
      <c r="Q613" s="149">
        <v>0</v>
      </c>
      <c r="R613" s="149">
        <v>0</v>
      </c>
      <c r="S613" s="149">
        <v>0</v>
      </c>
      <c r="T613" s="149">
        <v>0</v>
      </c>
    </row>
    <row r="614" spans="1:27" ht="24" customHeight="1">
      <c r="A614" s="263" t="s">
        <v>328</v>
      </c>
      <c r="B614" s="264"/>
      <c r="C614" s="264"/>
      <c r="D614" s="263" t="s">
        <v>329</v>
      </c>
      <c r="E614" s="264"/>
      <c r="F614" s="264"/>
      <c r="G614" s="264"/>
      <c r="H614" s="264"/>
      <c r="I614" s="264"/>
      <c r="J614" s="264"/>
      <c r="K614" s="264"/>
      <c r="L614" s="212">
        <v>151829</v>
      </c>
      <c r="M614" s="212">
        <v>173204</v>
      </c>
      <c r="N614" s="156">
        <v>181913</v>
      </c>
      <c r="O614" s="156">
        <v>175000</v>
      </c>
      <c r="P614" s="153">
        <f>ROUND(O614*1.05,0)</f>
        <v>183750</v>
      </c>
      <c r="Q614" s="153">
        <f>ROUND(P614*1.05,0)</f>
        <v>192938</v>
      </c>
      <c r="R614" s="153">
        <f>ROUND(Q614*1.05,0)</f>
        <v>202585</v>
      </c>
      <c r="S614" s="153">
        <f>ROUND(R614*1.05,0)</f>
        <v>212714</v>
      </c>
      <c r="T614" s="153">
        <f>ROUND(S614*1.05,0)</f>
        <v>223350</v>
      </c>
    </row>
    <row r="615" spans="1:27" ht="24" customHeight="1">
      <c r="A615" s="263" t="s">
        <v>330</v>
      </c>
      <c r="B615" s="264"/>
      <c r="C615" s="264"/>
      <c r="D615" s="263" t="s">
        <v>963</v>
      </c>
      <c r="E615" s="264"/>
      <c r="F615" s="264"/>
      <c r="G615" s="264"/>
      <c r="H615" s="264"/>
      <c r="I615" s="264"/>
      <c r="J615" s="264"/>
      <c r="K615" s="264"/>
      <c r="L615" s="211">
        <v>12970</v>
      </c>
      <c r="M615" s="211">
        <v>19307</v>
      </c>
      <c r="N615" s="150">
        <v>20000</v>
      </c>
      <c r="O615" s="150">
        <v>20000</v>
      </c>
      <c r="P615" s="149">
        <f>20000+7500</f>
        <v>27500</v>
      </c>
      <c r="Q615" s="149">
        <f>20000+7500</f>
        <v>27500</v>
      </c>
      <c r="R615" s="149">
        <f>20000+7500</f>
        <v>27500</v>
      </c>
      <c r="S615" s="149">
        <f>20000+7500</f>
        <v>27500</v>
      </c>
      <c r="T615" s="149">
        <f>20000+7500</f>
        <v>27500</v>
      </c>
    </row>
    <row r="616" spans="1:27" ht="24" customHeight="1">
      <c r="A616" s="263" t="s">
        <v>331</v>
      </c>
      <c r="B616" s="202"/>
      <c r="C616" s="202"/>
      <c r="D616" s="567" t="s">
        <v>966</v>
      </c>
      <c r="E616" s="568"/>
      <c r="F616" s="568"/>
      <c r="G616" s="568"/>
      <c r="H616" s="568"/>
      <c r="I616" s="568"/>
      <c r="J616" s="568"/>
      <c r="K616" s="568"/>
      <c r="L616" s="211">
        <v>72039</v>
      </c>
      <c r="M616" s="211">
        <v>97378</v>
      </c>
      <c r="N616" s="150">
        <v>70000</v>
      </c>
      <c r="O616" s="150">
        <v>100000</v>
      </c>
      <c r="P616" s="149">
        <v>100000</v>
      </c>
      <c r="Q616" s="149">
        <v>100000</v>
      </c>
      <c r="R616" s="149">
        <v>100000</v>
      </c>
      <c r="S616" s="149">
        <v>100000</v>
      </c>
      <c r="T616" s="149">
        <v>100000</v>
      </c>
      <c r="V616" s="148"/>
    </row>
    <row r="617" spans="1:27" ht="24" customHeight="1">
      <c r="A617" s="263" t="s">
        <v>994</v>
      </c>
      <c r="B617" s="318"/>
      <c r="C617" s="318"/>
      <c r="D617" s="715" t="s">
        <v>995</v>
      </c>
      <c r="E617" s="568"/>
      <c r="F617" s="568"/>
      <c r="G617" s="568"/>
      <c r="H617" s="568"/>
      <c r="I617" s="568"/>
      <c r="J617" s="568"/>
      <c r="K617" s="568"/>
      <c r="L617" s="212">
        <v>1272</v>
      </c>
      <c r="M617" s="212">
        <v>3669</v>
      </c>
      <c r="N617" s="156">
        <v>1500</v>
      </c>
      <c r="O617" s="156">
        <v>1500</v>
      </c>
      <c r="P617" s="183">
        <f>ROUND(3600/3,0)</f>
        <v>1200</v>
      </c>
      <c r="Q617" s="183">
        <f>ROUND(3600/3,0)</f>
        <v>1200</v>
      </c>
      <c r="R617" s="183">
        <f>ROUND(3600/3,0)</f>
        <v>1200</v>
      </c>
      <c r="S617" s="183">
        <f>ROUND(3600/3,0)</f>
        <v>1200</v>
      </c>
      <c r="T617" s="183">
        <f>ROUND(3600/3,0)</f>
        <v>1200</v>
      </c>
    </row>
    <row r="618" spans="1:27" ht="24" customHeight="1">
      <c r="A618" s="263" t="s">
        <v>332</v>
      </c>
      <c r="B618" s="264"/>
      <c r="C618" s="264"/>
      <c r="D618" s="567" t="s">
        <v>136</v>
      </c>
      <c r="E618" s="566"/>
      <c r="F618" s="566"/>
      <c r="G618" s="566"/>
      <c r="H618" s="566"/>
      <c r="I618" s="566"/>
      <c r="J618" s="566"/>
      <c r="K618" s="566"/>
      <c r="L618" s="212">
        <v>13938</v>
      </c>
      <c r="M618" s="212">
        <v>14483</v>
      </c>
      <c r="N618" s="156">
        <v>21400</v>
      </c>
      <c r="O618" s="156">
        <v>21400</v>
      </c>
      <c r="P618" s="153">
        <f>ROUND(O618*1.07,0)</f>
        <v>22898</v>
      </c>
      <c r="Q618" s="149">
        <f>ROUND(P618*1.05,0)</f>
        <v>24043</v>
      </c>
      <c r="R618" s="149">
        <f>ROUND(Q618*1.05,0)</f>
        <v>25245</v>
      </c>
      <c r="S618" s="149">
        <f>ROUND(R618*1.05,0)</f>
        <v>26507</v>
      </c>
      <c r="T618" s="149">
        <f>ROUND(S618*1.05,0)</f>
        <v>27832</v>
      </c>
      <c r="V618" s="151"/>
    </row>
    <row r="619" spans="1:27" ht="24" customHeight="1">
      <c r="A619" s="706" t="s">
        <v>1328</v>
      </c>
      <c r="B619" s="705"/>
      <c r="C619" s="705"/>
      <c r="D619" s="1" t="s">
        <v>1269</v>
      </c>
      <c r="E619" s="705"/>
      <c r="F619" s="705"/>
      <c r="G619" s="705"/>
      <c r="H619" s="705"/>
      <c r="I619" s="705"/>
      <c r="J619" s="705"/>
      <c r="K619" s="705"/>
      <c r="L619" s="212">
        <v>0</v>
      </c>
      <c r="M619" s="212">
        <v>0</v>
      </c>
      <c r="N619" s="156">
        <v>0</v>
      </c>
      <c r="O619" s="156">
        <v>0</v>
      </c>
      <c r="P619" s="146">
        <v>200000</v>
      </c>
      <c r="Q619" s="146">
        <v>200000</v>
      </c>
      <c r="R619" s="146">
        <v>200000</v>
      </c>
      <c r="S619" s="153">
        <v>0</v>
      </c>
      <c r="T619" s="153">
        <v>0</v>
      </c>
      <c r="V619" s="148"/>
    </row>
    <row r="620" spans="1:27" ht="24" customHeight="1">
      <c r="A620" s="772" t="s">
        <v>1126</v>
      </c>
      <c r="B620" s="771"/>
      <c r="C620" s="771"/>
      <c r="D620" s="265" t="s">
        <v>1127</v>
      </c>
      <c r="E620" s="771"/>
      <c r="F620" s="771"/>
      <c r="G620" s="771"/>
      <c r="H620" s="771"/>
      <c r="I620" s="771"/>
      <c r="J620" s="771"/>
      <c r="K620" s="771"/>
      <c r="L620" s="212">
        <v>128876</v>
      </c>
      <c r="M620" s="212">
        <v>174197</v>
      </c>
      <c r="N620" s="156">
        <v>203000</v>
      </c>
      <c r="O620" s="156">
        <v>246954</v>
      </c>
      <c r="P620" s="153">
        <f>157500+100000</f>
        <v>257500</v>
      </c>
      <c r="Q620" s="153">
        <v>0</v>
      </c>
      <c r="R620" s="153">
        <v>0</v>
      </c>
      <c r="S620" s="153">
        <v>0</v>
      </c>
      <c r="T620" s="153">
        <v>0</v>
      </c>
      <c r="V620" s="148"/>
      <c r="W620" s="148"/>
      <c r="X620" s="148"/>
    </row>
    <row r="621" spans="1:27" ht="24" customHeight="1">
      <c r="A621" s="765" t="s">
        <v>973</v>
      </c>
      <c r="B621" s="764"/>
      <c r="C621" s="764"/>
      <c r="D621" s="265" t="s">
        <v>970</v>
      </c>
      <c r="E621" s="764"/>
      <c r="F621" s="764"/>
      <c r="G621" s="764"/>
      <c r="H621" s="764"/>
      <c r="I621" s="764"/>
      <c r="J621" s="764"/>
      <c r="K621" s="764"/>
      <c r="L621" s="212">
        <f>238183+21158</f>
        <v>259341</v>
      </c>
      <c r="M621" s="212">
        <v>316911</v>
      </c>
      <c r="N621" s="156">
        <v>250000</v>
      </c>
      <c r="O621" s="156">
        <v>290356</v>
      </c>
      <c r="P621" s="153">
        <v>250000</v>
      </c>
      <c r="Q621" s="153">
        <v>250000</v>
      </c>
      <c r="R621" s="153">
        <v>250000</v>
      </c>
      <c r="S621" s="153">
        <v>250000</v>
      </c>
      <c r="T621" s="153">
        <v>250000</v>
      </c>
      <c r="V621" s="168"/>
    </row>
    <row r="622" spans="1:27" ht="24" customHeight="1">
      <c r="A622" s="836" t="s">
        <v>1424</v>
      </c>
      <c r="B622" s="835"/>
      <c r="C622" s="835"/>
      <c r="D622" s="265" t="s">
        <v>1422</v>
      </c>
      <c r="E622" s="835"/>
      <c r="F622" s="835"/>
      <c r="G622" s="835"/>
      <c r="H622" s="835"/>
      <c r="I622" s="835"/>
      <c r="J622" s="835"/>
      <c r="K622" s="835"/>
      <c r="L622" s="212">
        <v>0</v>
      </c>
      <c r="M622" s="212">
        <v>0</v>
      </c>
      <c r="N622" s="156">
        <v>0</v>
      </c>
      <c r="O622" s="156">
        <v>0</v>
      </c>
      <c r="P622" s="169">
        <f>ROUND((46000)+(46000*0.07),0)</f>
        <v>49220</v>
      </c>
      <c r="Q622" s="153">
        <v>0</v>
      </c>
      <c r="R622" s="153">
        <v>0</v>
      </c>
      <c r="S622" s="153">
        <v>0</v>
      </c>
      <c r="T622" s="153">
        <v>0</v>
      </c>
      <c r="V622" s="168"/>
    </row>
    <row r="623" spans="1:27" ht="24" customHeight="1">
      <c r="A623" s="766" t="s">
        <v>1205</v>
      </c>
      <c r="B623" s="266"/>
      <c r="C623" s="266"/>
      <c r="D623" s="767" t="s">
        <v>845</v>
      </c>
      <c r="E623" s="266"/>
      <c r="F623" s="266"/>
      <c r="G623" s="266"/>
      <c r="H623" s="266"/>
      <c r="I623" s="266"/>
      <c r="J623" s="266"/>
      <c r="K623" s="266"/>
      <c r="L623" s="224">
        <v>0</v>
      </c>
      <c r="M623" s="224">
        <v>0</v>
      </c>
      <c r="N623" s="170">
        <v>10000</v>
      </c>
      <c r="O623" s="170">
        <v>26676</v>
      </c>
      <c r="P623" s="169">
        <v>4212</v>
      </c>
      <c r="Q623" s="169">
        <v>4212</v>
      </c>
      <c r="R623" s="169">
        <v>0</v>
      </c>
      <c r="S623" s="169">
        <v>0</v>
      </c>
      <c r="T623" s="169">
        <v>0</v>
      </c>
      <c r="V623" s="168"/>
    </row>
    <row r="624" spans="1:27" ht="24" customHeight="1">
      <c r="A624" s="263" t="s">
        <v>619</v>
      </c>
      <c r="B624" s="278"/>
      <c r="C624" s="278"/>
      <c r="D624" s="743" t="s">
        <v>270</v>
      </c>
      <c r="E624" s="280"/>
      <c r="F624" s="278"/>
      <c r="G624" s="278"/>
      <c r="H624" s="278"/>
      <c r="I624" s="278"/>
      <c r="J624" s="278"/>
      <c r="K624" s="278"/>
      <c r="L624" s="212">
        <v>0</v>
      </c>
      <c r="M624" s="212">
        <v>3248</v>
      </c>
      <c r="N624" s="156">
        <v>10000</v>
      </c>
      <c r="O624" s="156">
        <v>10000</v>
      </c>
      <c r="P624" s="153">
        <v>5000</v>
      </c>
      <c r="Q624" s="153">
        <f>5000+350000</f>
        <v>355000</v>
      </c>
      <c r="R624" s="153">
        <v>5000</v>
      </c>
      <c r="S624" s="153">
        <v>5000</v>
      </c>
      <c r="T624" s="153">
        <v>5000</v>
      </c>
      <c r="V624" s="151"/>
    </row>
    <row r="625" spans="1:39" ht="24" customHeight="1">
      <c r="A625" s="768" t="s">
        <v>1026</v>
      </c>
      <c r="B625" s="278"/>
      <c r="C625" s="278"/>
      <c r="D625" s="1" t="s">
        <v>1280</v>
      </c>
      <c r="E625" s="280"/>
      <c r="F625" s="278"/>
      <c r="G625" s="278"/>
      <c r="H625" s="278"/>
      <c r="I625" s="278"/>
      <c r="J625" s="278"/>
      <c r="K625" s="278"/>
      <c r="L625" s="212">
        <v>15955</v>
      </c>
      <c r="M625" s="212">
        <v>24195</v>
      </c>
      <c r="N625" s="700">
        <f>ROUND(18000*0.81,0)</f>
        <v>14580</v>
      </c>
      <c r="O625" s="700">
        <v>47935</v>
      </c>
      <c r="P625" s="182">
        <v>533500</v>
      </c>
      <c r="Q625" s="182">
        <v>0</v>
      </c>
      <c r="R625" s="182">
        <v>0</v>
      </c>
      <c r="S625" s="182">
        <v>0</v>
      </c>
      <c r="T625" s="182">
        <v>0</v>
      </c>
      <c r="V625" s="168"/>
    </row>
    <row r="626" spans="1:39" ht="24" customHeight="1">
      <c r="A626" s="263" t="s">
        <v>901</v>
      </c>
      <c r="B626" s="278"/>
      <c r="C626" s="278"/>
      <c r="D626" s="639" t="s">
        <v>271</v>
      </c>
      <c r="E626" s="280"/>
      <c r="F626" s="278"/>
      <c r="G626" s="278"/>
      <c r="H626" s="278"/>
      <c r="I626" s="278"/>
      <c r="J626" s="278"/>
      <c r="K626" s="278"/>
      <c r="L626" s="212">
        <v>0</v>
      </c>
      <c r="M626" s="212">
        <v>65710</v>
      </c>
      <c r="N626" s="156">
        <v>0</v>
      </c>
      <c r="O626" s="156">
        <v>0</v>
      </c>
      <c r="P626" s="153">
        <v>50000</v>
      </c>
      <c r="Q626" s="153">
        <v>0</v>
      </c>
      <c r="R626" s="153">
        <v>50000</v>
      </c>
      <c r="S626" s="153">
        <v>0</v>
      </c>
      <c r="T626" s="153">
        <v>100000</v>
      </c>
      <c r="V626" s="148"/>
    </row>
    <row r="627" spans="1:39" ht="24" customHeight="1">
      <c r="A627" s="666" t="s">
        <v>333</v>
      </c>
      <c r="B627" s="278"/>
      <c r="C627" s="278"/>
      <c r="D627" s="666" t="s">
        <v>268</v>
      </c>
      <c r="E627" s="280"/>
      <c r="F627" s="278"/>
      <c r="G627" s="278"/>
      <c r="H627" s="278"/>
      <c r="I627" s="278"/>
      <c r="J627" s="278"/>
      <c r="K627" s="278"/>
      <c r="L627" s="213">
        <v>197544</v>
      </c>
      <c r="M627" s="213">
        <v>197544</v>
      </c>
      <c r="N627" s="147">
        <v>197544</v>
      </c>
      <c r="O627" s="147">
        <v>197544</v>
      </c>
      <c r="P627" s="146">
        <f>ROUND(16462*12,0)</f>
        <v>197544</v>
      </c>
      <c r="Q627" s="146">
        <f>ROUND(16462*12,0)</f>
        <v>197544</v>
      </c>
      <c r="R627" s="146">
        <f>ROUND(16462*12,0)</f>
        <v>197544</v>
      </c>
      <c r="S627" s="146">
        <f>ROUND(16462*12,0)</f>
        <v>197544</v>
      </c>
      <c r="T627" s="209">
        <f>ROUND(((197544/12)*4),0)</f>
        <v>65848</v>
      </c>
      <c r="V627" s="401"/>
      <c r="W627" s="401"/>
      <c r="X627" s="401"/>
      <c r="Y627" s="401"/>
      <c r="Z627" s="401"/>
      <c r="AA627" s="401"/>
      <c r="AB627" s="401"/>
      <c r="AC627" s="401"/>
      <c r="AD627" s="401"/>
      <c r="AE627" s="401"/>
      <c r="AF627" s="401"/>
      <c r="AG627" s="401"/>
      <c r="AH627" s="401"/>
      <c r="AI627" s="401"/>
    </row>
    <row r="628" spans="1:39" ht="24" customHeight="1">
      <c r="A628" s="765" t="s">
        <v>1291</v>
      </c>
      <c r="B628" s="278"/>
      <c r="C628" s="278"/>
      <c r="D628" s="1" t="s">
        <v>1278</v>
      </c>
      <c r="E628" s="280"/>
      <c r="F628" s="278"/>
      <c r="G628" s="278"/>
      <c r="H628" s="278"/>
      <c r="I628" s="278"/>
      <c r="J628" s="278"/>
      <c r="K628" s="278"/>
      <c r="L628" s="212">
        <v>0</v>
      </c>
      <c r="M628" s="212">
        <v>0</v>
      </c>
      <c r="N628" s="700">
        <v>0</v>
      </c>
      <c r="O628" s="700">
        <v>0</v>
      </c>
      <c r="P628" s="182">
        <v>9000</v>
      </c>
      <c r="Q628" s="182">
        <f>6000+140000+4000</f>
        <v>150000</v>
      </c>
      <c r="R628" s="182">
        <f>4000+5000+6000+110000</f>
        <v>125000</v>
      </c>
      <c r="S628" s="182">
        <f>5000+6000+150000</f>
        <v>161000</v>
      </c>
      <c r="T628" s="182">
        <v>0</v>
      </c>
      <c r="V628" s="840"/>
      <c r="W628" s="840"/>
      <c r="X628" s="840"/>
      <c r="Y628" s="840"/>
      <c r="Z628" s="840"/>
      <c r="AA628" s="840"/>
      <c r="AB628" s="840"/>
      <c r="AC628" s="840"/>
      <c r="AD628" s="840"/>
      <c r="AE628" s="840"/>
      <c r="AF628" s="840"/>
      <c r="AG628" s="840"/>
      <c r="AH628" s="840"/>
      <c r="AI628" s="840"/>
    </row>
    <row r="629" spans="1:39" ht="24" customHeight="1">
      <c r="A629" s="761" t="s">
        <v>1139</v>
      </c>
      <c r="B629" s="266"/>
      <c r="C629" s="266"/>
      <c r="D629" s="1" t="s">
        <v>1136</v>
      </c>
      <c r="E629" s="278"/>
      <c r="F629" s="278"/>
      <c r="G629" s="278"/>
      <c r="H629" s="278"/>
      <c r="I629" s="278"/>
      <c r="J629" s="278"/>
      <c r="K629" s="278"/>
      <c r="L629" s="212">
        <v>468020</v>
      </c>
      <c r="M629" s="212">
        <v>2718097</v>
      </c>
      <c r="N629" s="156">
        <f>46500+76313</f>
        <v>122813</v>
      </c>
      <c r="O629" s="156">
        <v>200779</v>
      </c>
      <c r="P629" s="153">
        <v>0</v>
      </c>
      <c r="Q629" s="153">
        <v>0</v>
      </c>
      <c r="R629" s="153">
        <v>0</v>
      </c>
      <c r="S629" s="153">
        <v>0</v>
      </c>
      <c r="T629" s="153">
        <v>0</v>
      </c>
      <c r="V629" s="168"/>
      <c r="W629" s="458"/>
      <c r="X629" s="458"/>
      <c r="Y629" s="458"/>
      <c r="Z629" s="458"/>
      <c r="AA629" s="458"/>
      <c r="AB629" s="458"/>
      <c r="AC629" s="458"/>
      <c r="AD629" s="458"/>
      <c r="AE629" s="458"/>
      <c r="AF629" s="458"/>
      <c r="AG629" s="458"/>
      <c r="AH629" s="458"/>
      <c r="AI629" s="458"/>
      <c r="AJ629" s="401"/>
    </row>
    <row r="630" spans="1:39" ht="24" customHeight="1">
      <c r="A630" s="269" t="s">
        <v>1176</v>
      </c>
      <c r="B630" s="434"/>
      <c r="C630" s="434"/>
      <c r="D630" s="263"/>
      <c r="E630" s="434"/>
      <c r="F630" s="434"/>
      <c r="G630" s="434"/>
      <c r="H630" s="434"/>
      <c r="I630" s="434"/>
      <c r="J630" s="434"/>
      <c r="K630" s="434"/>
      <c r="L630" s="211"/>
      <c r="M630" s="211"/>
      <c r="N630" s="150"/>
      <c r="O630" s="150"/>
      <c r="P630" s="149"/>
      <c r="Q630" s="149"/>
      <c r="R630" s="149"/>
      <c r="S630" s="149"/>
      <c r="T630" s="149"/>
      <c r="V630" s="840"/>
      <c r="W630" s="840"/>
      <c r="X630" s="840"/>
      <c r="Y630" s="840"/>
      <c r="Z630" s="840"/>
      <c r="AA630" s="840"/>
      <c r="AB630" s="840"/>
      <c r="AC630" s="840"/>
      <c r="AD630" s="840"/>
      <c r="AE630" s="840"/>
      <c r="AF630" s="840"/>
      <c r="AG630" s="840"/>
      <c r="AH630" s="840"/>
      <c r="AI630" s="840"/>
      <c r="AJ630" s="840"/>
    </row>
    <row r="631" spans="1:39" ht="24" customHeight="1">
      <c r="A631" s="263" t="s">
        <v>1137</v>
      </c>
      <c r="B631" s="434"/>
      <c r="C631" s="434"/>
      <c r="D631" s="263" t="s">
        <v>930</v>
      </c>
      <c r="E631" s="434"/>
      <c r="F631" s="434"/>
      <c r="G631" s="434"/>
      <c r="H631" s="434"/>
      <c r="I631" s="434"/>
      <c r="J631" s="434"/>
      <c r="K631" s="434"/>
      <c r="L631" s="211">
        <v>0</v>
      </c>
      <c r="M631" s="211">
        <v>73543</v>
      </c>
      <c r="N631" s="150">
        <v>113987</v>
      </c>
      <c r="O631" s="150">
        <v>113987</v>
      </c>
      <c r="P631" s="149">
        <f>ROUND(160000*0.7354,0)</f>
        <v>117664</v>
      </c>
      <c r="Q631" s="149">
        <f>ROUND(395000*0.7354,0)</f>
        <v>290483</v>
      </c>
      <c r="R631" s="149">
        <f>ROUND(405000*0.7354,0)</f>
        <v>297837</v>
      </c>
      <c r="S631" s="149">
        <f>ROUND(425000*0.7354,0)</f>
        <v>312545</v>
      </c>
      <c r="T631" s="149">
        <f>ROUND(440000*0.7354,0)</f>
        <v>323576</v>
      </c>
      <c r="V631" s="491"/>
      <c r="W631" s="491"/>
      <c r="X631" s="491"/>
      <c r="Y631" s="491"/>
      <c r="Z631" s="491"/>
      <c r="AA631" s="491"/>
      <c r="AB631" s="491"/>
      <c r="AC631" s="491"/>
      <c r="AD631" s="491"/>
      <c r="AE631" s="491"/>
      <c r="AF631" s="491"/>
      <c r="AG631" s="491"/>
      <c r="AH631" s="491"/>
      <c r="AI631" s="491"/>
      <c r="AJ631" s="491"/>
    </row>
    <row r="632" spans="1:39" ht="24" customHeight="1">
      <c r="A632" s="263" t="s">
        <v>1138</v>
      </c>
      <c r="B632" s="434"/>
      <c r="C632" s="434"/>
      <c r="D632" s="263" t="s">
        <v>273</v>
      </c>
      <c r="E632" s="434"/>
      <c r="F632" s="434"/>
      <c r="G632" s="434"/>
      <c r="H632" s="434"/>
      <c r="I632" s="434"/>
      <c r="J632" s="434"/>
      <c r="K632" s="434"/>
      <c r="L632" s="212">
        <v>0</v>
      </c>
      <c r="M632" s="212">
        <v>228066</v>
      </c>
      <c r="N632" s="150">
        <v>161053</v>
      </c>
      <c r="O632" s="150">
        <v>161053</v>
      </c>
      <c r="P632" s="149">
        <f>ROUND((106400*2)*0.7354,0)</f>
        <v>156493</v>
      </c>
      <c r="Q632" s="149">
        <f>ROUND((103200*2)*0.7354,0)</f>
        <v>151787</v>
      </c>
      <c r="R632" s="149">
        <f>ROUND((95300*2)*0.7354,0)</f>
        <v>140167</v>
      </c>
      <c r="S632" s="149">
        <f>ROUND((174400)*0.7354,0)</f>
        <v>128254</v>
      </c>
      <c r="T632" s="149">
        <f>ROUND((157400)*0.7354,0)</f>
        <v>115752</v>
      </c>
      <c r="V632" s="491"/>
      <c r="W632" s="491"/>
      <c r="X632" s="491"/>
      <c r="Y632" s="491"/>
      <c r="Z632" s="491"/>
      <c r="AA632" s="491"/>
      <c r="AB632" s="491"/>
      <c r="AC632" s="491"/>
      <c r="AD632" s="491"/>
      <c r="AE632" s="491"/>
      <c r="AF632" s="491"/>
      <c r="AG632" s="491"/>
      <c r="AH632" s="491"/>
      <c r="AI632" s="491"/>
      <c r="AJ632" s="491"/>
    </row>
    <row r="633" spans="1:39" ht="24" customHeight="1">
      <c r="A633" s="267" t="s">
        <v>334</v>
      </c>
      <c r="B633" s="267"/>
      <c r="C633" s="267"/>
      <c r="D633" s="267"/>
      <c r="E633" s="267"/>
      <c r="F633" s="267"/>
      <c r="G633" s="267"/>
      <c r="H633" s="267"/>
      <c r="I633" s="267"/>
      <c r="J633" s="267"/>
      <c r="K633" s="267"/>
      <c r="L633" s="220"/>
      <c r="M633" s="220"/>
      <c r="N633" s="164"/>
      <c r="O633" s="164"/>
      <c r="P633" s="163"/>
      <c r="Q633" s="163"/>
      <c r="R633" s="163"/>
      <c r="S633" s="163"/>
      <c r="T633" s="163"/>
      <c r="V633" s="840"/>
      <c r="W633" s="840"/>
      <c r="X633" s="840"/>
      <c r="Y633" s="840"/>
      <c r="Z633" s="840"/>
      <c r="AC633" s="837"/>
      <c r="AD633" s="837"/>
      <c r="AE633" s="837"/>
      <c r="AF633" s="837"/>
      <c r="AG633" s="837"/>
      <c r="AH633" s="837"/>
      <c r="AI633" s="837"/>
      <c r="AJ633" s="837"/>
      <c r="AL633" s="197"/>
      <c r="AM633" s="197"/>
    </row>
    <row r="634" spans="1:39" ht="24" customHeight="1">
      <c r="A634" s="263" t="s">
        <v>335</v>
      </c>
      <c r="B634" s="264"/>
      <c r="C634" s="264"/>
      <c r="D634" s="263" t="s">
        <v>930</v>
      </c>
      <c r="E634" s="264"/>
      <c r="F634" s="264"/>
      <c r="G634" s="264"/>
      <c r="H634" s="264"/>
      <c r="I634" s="264"/>
      <c r="J634" s="264"/>
      <c r="K634" s="264"/>
      <c r="L634" s="211">
        <v>15000</v>
      </c>
      <c r="M634" s="211">
        <v>15000</v>
      </c>
      <c r="N634" s="150">
        <v>0</v>
      </c>
      <c r="O634" s="150">
        <v>0</v>
      </c>
      <c r="P634" s="149">
        <v>0</v>
      </c>
      <c r="Q634" s="149">
        <v>0</v>
      </c>
      <c r="R634" s="149">
        <v>0</v>
      </c>
      <c r="S634" s="149">
        <v>0</v>
      </c>
      <c r="T634" s="149">
        <v>0</v>
      </c>
      <c r="V634" s="403"/>
      <c r="W634" s="403"/>
      <c r="X634" s="403"/>
      <c r="Y634" s="403"/>
      <c r="Z634" s="403"/>
      <c r="AA634" s="403"/>
      <c r="AB634" s="403"/>
      <c r="AC634" s="403"/>
      <c r="AD634" s="403"/>
      <c r="AE634" s="403"/>
      <c r="AF634" s="403"/>
      <c r="AG634" s="403"/>
      <c r="AH634" s="403"/>
      <c r="AI634" s="403"/>
      <c r="AJ634" s="403"/>
    </row>
    <row r="635" spans="1:39" ht="24" customHeight="1">
      <c r="A635" s="263" t="s">
        <v>336</v>
      </c>
      <c r="B635" s="264"/>
      <c r="C635" s="264"/>
      <c r="D635" s="263" t="s">
        <v>273</v>
      </c>
      <c r="E635" s="264"/>
      <c r="F635" s="264"/>
      <c r="G635" s="264"/>
      <c r="H635" s="264"/>
      <c r="I635" s="264"/>
      <c r="J635" s="264"/>
      <c r="K635" s="264"/>
      <c r="L635" s="213">
        <v>121793</v>
      </c>
      <c r="M635" s="213">
        <v>121163</v>
      </c>
      <c r="N635" s="150">
        <v>0</v>
      </c>
      <c r="O635" s="150">
        <v>0</v>
      </c>
      <c r="P635" s="149">
        <v>0</v>
      </c>
      <c r="Q635" s="149">
        <v>0</v>
      </c>
      <c r="R635" s="149">
        <v>0</v>
      </c>
      <c r="S635" s="149">
        <v>0</v>
      </c>
      <c r="T635" s="149">
        <v>0</v>
      </c>
      <c r="V635" s="403"/>
      <c r="W635" s="403"/>
      <c r="X635" s="403"/>
      <c r="Y635" s="403"/>
      <c r="Z635" s="403"/>
      <c r="AA635" s="403"/>
      <c r="AB635" s="403"/>
      <c r="AC635" s="403"/>
      <c r="AD635" s="403"/>
      <c r="AE635" s="403"/>
      <c r="AF635" s="403"/>
      <c r="AG635" s="403"/>
      <c r="AH635" s="403"/>
      <c r="AI635" s="403"/>
      <c r="AJ635" s="403"/>
    </row>
    <row r="636" spans="1:39" ht="24" customHeight="1">
      <c r="A636" s="267" t="s">
        <v>1303</v>
      </c>
      <c r="B636" s="267"/>
      <c r="C636" s="267"/>
      <c r="D636" s="267"/>
      <c r="E636" s="267"/>
      <c r="F636" s="267"/>
      <c r="G636" s="267"/>
      <c r="H636" s="267"/>
      <c r="I636" s="267"/>
      <c r="J636" s="267"/>
      <c r="K636" s="267"/>
      <c r="L636" s="220"/>
      <c r="M636" s="220"/>
      <c r="N636" s="164"/>
      <c r="O636" s="164"/>
      <c r="P636" s="163"/>
      <c r="Q636" s="163"/>
      <c r="R636" s="163"/>
      <c r="S636" s="163"/>
      <c r="T636" s="163"/>
      <c r="V636" s="840"/>
      <c r="W636" s="840"/>
      <c r="X636" s="840"/>
      <c r="Y636" s="840"/>
      <c r="Z636" s="840"/>
      <c r="AC636" s="837"/>
      <c r="AD636" s="837"/>
      <c r="AE636" s="837"/>
      <c r="AF636" s="837"/>
      <c r="AG636" s="837"/>
      <c r="AH636" s="837"/>
      <c r="AI636" s="837"/>
      <c r="AJ636" s="837"/>
      <c r="AL636" s="613"/>
      <c r="AM636" s="613"/>
    </row>
    <row r="637" spans="1:39" ht="24" customHeight="1">
      <c r="A637" s="614" t="s">
        <v>1243</v>
      </c>
      <c r="B637" s="612"/>
      <c r="C637" s="612"/>
      <c r="D637" s="614" t="s">
        <v>930</v>
      </c>
      <c r="E637" s="612"/>
      <c r="F637" s="612"/>
      <c r="G637" s="612"/>
      <c r="H637" s="612"/>
      <c r="I637" s="612"/>
      <c r="J637" s="612"/>
      <c r="K637" s="612"/>
      <c r="L637" s="211">
        <v>0</v>
      </c>
      <c r="M637" s="211">
        <v>0</v>
      </c>
      <c r="N637" s="150">
        <v>430000</v>
      </c>
      <c r="O637" s="150">
        <v>430000</v>
      </c>
      <c r="P637" s="149">
        <v>470000</v>
      </c>
      <c r="Q637" s="149">
        <v>1470000</v>
      </c>
      <c r="R637" s="149">
        <v>1475000</v>
      </c>
      <c r="S637" s="149">
        <v>1040000</v>
      </c>
      <c r="T637" s="149">
        <v>915000</v>
      </c>
      <c r="V637" s="403"/>
      <c r="W637" s="403"/>
      <c r="X637" s="403"/>
      <c r="Y637" s="403"/>
      <c r="Z637" s="403"/>
      <c r="AA637" s="403"/>
      <c r="AB637" s="403"/>
      <c r="AC637" s="403"/>
      <c r="AD637" s="403"/>
      <c r="AE637" s="403"/>
      <c r="AF637" s="403"/>
      <c r="AG637" s="403"/>
      <c r="AH637" s="403"/>
      <c r="AI637" s="403"/>
      <c r="AJ637" s="403"/>
    </row>
    <row r="638" spans="1:39" ht="24" customHeight="1">
      <c r="A638" s="614" t="s">
        <v>1244</v>
      </c>
      <c r="B638" s="612"/>
      <c r="C638" s="612"/>
      <c r="D638" s="614" t="s">
        <v>273</v>
      </c>
      <c r="E638" s="612"/>
      <c r="F638" s="612"/>
      <c r="G638" s="612"/>
      <c r="H638" s="612"/>
      <c r="I638" s="612"/>
      <c r="J638" s="612"/>
      <c r="K638" s="612"/>
      <c r="L638" s="213">
        <v>0</v>
      </c>
      <c r="M638" s="213">
        <v>0</v>
      </c>
      <c r="N638" s="150">
        <v>249629</v>
      </c>
      <c r="O638" s="150">
        <v>249629</v>
      </c>
      <c r="P638" s="149">
        <v>195250</v>
      </c>
      <c r="Q638" s="149">
        <v>176450</v>
      </c>
      <c r="R638" s="149">
        <v>117650</v>
      </c>
      <c r="S638" s="149">
        <v>58650</v>
      </c>
      <c r="T638" s="149">
        <v>27450</v>
      </c>
      <c r="V638" s="403"/>
      <c r="W638" s="403"/>
      <c r="X638" s="403"/>
      <c r="Y638" s="403"/>
      <c r="Z638" s="403"/>
      <c r="AA638" s="403"/>
      <c r="AB638" s="403"/>
      <c r="AC638" s="403"/>
      <c r="AD638" s="403"/>
      <c r="AE638" s="403"/>
      <c r="AF638" s="403"/>
      <c r="AG638" s="403"/>
      <c r="AH638" s="403"/>
      <c r="AI638" s="403"/>
      <c r="AJ638" s="403"/>
    </row>
    <row r="639" spans="1:39" ht="24" customHeight="1">
      <c r="A639" s="267" t="s">
        <v>337</v>
      </c>
      <c r="B639" s="267"/>
      <c r="C639" s="267"/>
      <c r="D639" s="267"/>
      <c r="E639" s="267"/>
      <c r="F639" s="267"/>
      <c r="G639" s="267"/>
      <c r="H639" s="267"/>
      <c r="I639" s="267"/>
      <c r="J639" s="267"/>
      <c r="K639" s="267"/>
      <c r="L639" s="220"/>
      <c r="M639" s="220"/>
      <c r="N639" s="164"/>
      <c r="O639" s="164"/>
      <c r="P639" s="163"/>
      <c r="Q639" s="163"/>
      <c r="R639" s="163"/>
      <c r="S639" s="163"/>
      <c r="T639" s="163"/>
      <c r="V639" s="403"/>
      <c r="W639" s="403"/>
      <c r="X639" s="403"/>
      <c r="Y639" s="403"/>
      <c r="Z639" s="403"/>
      <c r="AA639" s="403"/>
      <c r="AB639" s="403"/>
      <c r="AC639" s="403"/>
      <c r="AD639" s="403"/>
      <c r="AE639" s="403"/>
      <c r="AF639" s="403"/>
      <c r="AG639" s="403"/>
      <c r="AH639" s="403"/>
      <c r="AI639" s="403"/>
      <c r="AJ639" s="403"/>
    </row>
    <row r="640" spans="1:39" ht="24" customHeight="1">
      <c r="A640" s="263" t="s">
        <v>338</v>
      </c>
      <c r="B640" s="264"/>
      <c r="C640" s="264"/>
      <c r="D640" s="263" t="s">
        <v>930</v>
      </c>
      <c r="E640" s="264"/>
      <c r="F640" s="264"/>
      <c r="G640" s="264"/>
      <c r="H640" s="264"/>
      <c r="I640" s="264"/>
      <c r="J640" s="264"/>
      <c r="K640" s="264"/>
      <c r="L640" s="211">
        <v>100000</v>
      </c>
      <c r="M640" s="211">
        <v>100000</v>
      </c>
      <c r="N640" s="150">
        <v>100000</v>
      </c>
      <c r="O640" s="150">
        <v>100000</v>
      </c>
      <c r="P640" s="149">
        <v>300000</v>
      </c>
      <c r="Q640" s="149">
        <v>0</v>
      </c>
      <c r="R640" s="149">
        <v>0</v>
      </c>
      <c r="S640" s="149">
        <v>0</v>
      </c>
      <c r="T640" s="149">
        <v>0</v>
      </c>
      <c r="V640" s="403"/>
      <c r="W640" s="403"/>
      <c r="X640" s="403"/>
      <c r="Y640" s="403"/>
      <c r="Z640" s="403"/>
      <c r="AA640" s="403"/>
      <c r="AB640" s="403"/>
      <c r="AC640" s="403"/>
      <c r="AD640" s="403"/>
      <c r="AE640" s="403"/>
      <c r="AF640" s="403"/>
      <c r="AG640" s="403"/>
      <c r="AH640" s="403"/>
      <c r="AI640" s="403"/>
      <c r="AJ640" s="403"/>
    </row>
    <row r="641" spans="1:39" ht="24" customHeight="1">
      <c r="A641" s="263" t="s">
        <v>339</v>
      </c>
      <c r="B641" s="264"/>
      <c r="C641" s="264"/>
      <c r="D641" s="263" t="s">
        <v>986</v>
      </c>
      <c r="E641" s="264"/>
      <c r="F641" s="264"/>
      <c r="G641" s="264"/>
      <c r="H641" s="264"/>
      <c r="I641" s="264"/>
      <c r="J641" s="264"/>
      <c r="K641" s="264"/>
      <c r="L641" s="213">
        <v>25450</v>
      </c>
      <c r="M641" s="213">
        <v>21450</v>
      </c>
      <c r="N641" s="150">
        <v>17300</v>
      </c>
      <c r="O641" s="150">
        <v>17300</v>
      </c>
      <c r="P641" s="149">
        <v>13050</v>
      </c>
      <c r="Q641" s="149">
        <v>0</v>
      </c>
      <c r="R641" s="149">
        <v>0</v>
      </c>
      <c r="S641" s="149">
        <v>0</v>
      </c>
      <c r="T641" s="149">
        <v>0</v>
      </c>
      <c r="V641" s="403"/>
      <c r="W641" s="403"/>
      <c r="X641" s="403"/>
      <c r="Y641" s="403"/>
      <c r="Z641" s="403"/>
      <c r="AA641" s="403"/>
      <c r="AB641" s="403"/>
      <c r="AC641" s="403"/>
      <c r="AD641" s="403"/>
      <c r="AE641" s="403"/>
      <c r="AF641" s="403"/>
      <c r="AG641" s="403"/>
      <c r="AH641" s="403"/>
      <c r="AI641" s="403"/>
      <c r="AJ641" s="403"/>
    </row>
    <row r="642" spans="1:39" ht="24" customHeight="1">
      <c r="A642" s="267" t="s">
        <v>340</v>
      </c>
      <c r="B642" s="267"/>
      <c r="C642" s="267"/>
      <c r="D642" s="267"/>
      <c r="E642" s="267"/>
      <c r="F642" s="267"/>
      <c r="G642" s="267"/>
      <c r="H642" s="267"/>
      <c r="I642" s="267"/>
      <c r="J642" s="267"/>
      <c r="K642" s="267"/>
      <c r="L642" s="220"/>
      <c r="M642" s="220"/>
      <c r="N642" s="164"/>
      <c r="O642" s="164"/>
      <c r="P642" s="163"/>
      <c r="Q642" s="163"/>
      <c r="R642" s="163"/>
      <c r="S642" s="163"/>
      <c r="T642" s="163"/>
      <c r="V642" s="403"/>
      <c r="W642" s="403"/>
      <c r="X642" s="403"/>
      <c r="Y642" s="403"/>
      <c r="Z642" s="403"/>
      <c r="AA642" s="403"/>
      <c r="AB642" s="403"/>
      <c r="AC642" s="403"/>
      <c r="AD642" s="403"/>
      <c r="AE642" s="403"/>
      <c r="AF642" s="403"/>
      <c r="AG642" s="403"/>
      <c r="AH642" s="403"/>
      <c r="AI642" s="403"/>
      <c r="AJ642" s="403"/>
    </row>
    <row r="643" spans="1:39" ht="24" customHeight="1">
      <c r="A643" s="263" t="s">
        <v>341</v>
      </c>
      <c r="B643" s="264"/>
      <c r="C643" s="264"/>
      <c r="D643" s="263" t="s">
        <v>930</v>
      </c>
      <c r="E643" s="264"/>
      <c r="F643" s="264"/>
      <c r="G643" s="264"/>
      <c r="H643" s="264"/>
      <c r="I643" s="264"/>
      <c r="J643" s="264"/>
      <c r="K643" s="264"/>
      <c r="L643" s="211">
        <v>435000</v>
      </c>
      <c r="M643" s="211">
        <v>460000</v>
      </c>
      <c r="N643" s="150">
        <v>0</v>
      </c>
      <c r="O643" s="150">
        <v>0</v>
      </c>
      <c r="P643" s="149">
        <v>0</v>
      </c>
      <c r="Q643" s="149">
        <v>0</v>
      </c>
      <c r="R643" s="149">
        <v>0</v>
      </c>
      <c r="S643" s="149">
        <v>0</v>
      </c>
      <c r="T643" s="149">
        <v>0</v>
      </c>
      <c r="V643" s="403"/>
      <c r="W643" s="403"/>
      <c r="X643" s="403"/>
      <c r="Y643" s="403"/>
      <c r="Z643" s="403"/>
      <c r="AA643" s="403"/>
      <c r="AB643" s="403"/>
      <c r="AC643" s="403"/>
      <c r="AD643" s="403"/>
      <c r="AE643" s="403"/>
      <c r="AF643" s="403"/>
      <c r="AG643" s="403"/>
      <c r="AH643" s="403"/>
      <c r="AI643" s="403"/>
      <c r="AJ643" s="403"/>
    </row>
    <row r="644" spans="1:39" ht="24" customHeight="1">
      <c r="A644" s="263" t="s">
        <v>342</v>
      </c>
      <c r="B644" s="264"/>
      <c r="C644" s="264"/>
      <c r="D644" s="263" t="s">
        <v>986</v>
      </c>
      <c r="E644" s="264"/>
      <c r="F644" s="264"/>
      <c r="G644" s="264"/>
      <c r="H644" s="264"/>
      <c r="I644" s="264"/>
      <c r="J644" s="264"/>
      <c r="K644" s="264"/>
      <c r="L644" s="213">
        <v>172606</v>
      </c>
      <c r="M644" s="213">
        <v>155206</v>
      </c>
      <c r="N644" s="150">
        <v>0</v>
      </c>
      <c r="O644" s="150">
        <v>0</v>
      </c>
      <c r="P644" s="149">
        <v>0</v>
      </c>
      <c r="Q644" s="149">
        <v>0</v>
      </c>
      <c r="R644" s="149">
        <v>0</v>
      </c>
      <c r="S644" s="149">
        <v>0</v>
      </c>
      <c r="T644" s="149">
        <v>0</v>
      </c>
      <c r="V644" s="403"/>
      <c r="W644" s="403"/>
      <c r="X644" s="403"/>
      <c r="Y644" s="403"/>
      <c r="Z644" s="403"/>
      <c r="AA644" s="403"/>
      <c r="AB644" s="403"/>
      <c r="AC644" s="403"/>
      <c r="AD644" s="403"/>
      <c r="AE644" s="403"/>
      <c r="AF644" s="403"/>
      <c r="AG644" s="403"/>
      <c r="AH644" s="403"/>
      <c r="AI644" s="403"/>
      <c r="AJ644" s="403"/>
    </row>
    <row r="645" spans="1:39" ht="24" customHeight="1">
      <c r="A645" s="267" t="s">
        <v>343</v>
      </c>
      <c r="B645" s="267"/>
      <c r="C645" s="267"/>
      <c r="D645" s="267"/>
      <c r="E645" s="267"/>
      <c r="F645" s="267"/>
      <c r="G645" s="267"/>
      <c r="H645" s="267"/>
      <c r="I645" s="267"/>
      <c r="J645" s="267"/>
      <c r="K645" s="267"/>
      <c r="L645" s="220"/>
      <c r="M645" s="220"/>
      <c r="N645" s="164"/>
      <c r="O645" s="164"/>
      <c r="P645" s="163"/>
      <c r="Q645" s="163"/>
      <c r="R645" s="163"/>
      <c r="S645" s="163"/>
      <c r="T645" s="163"/>
      <c r="V645" s="403"/>
      <c r="W645" s="403"/>
      <c r="X645" s="403"/>
      <c r="Y645" s="403"/>
      <c r="Z645" s="403"/>
      <c r="AC645" s="193"/>
      <c r="AD645" s="193"/>
      <c r="AE645" s="193"/>
      <c r="AF645" s="193"/>
      <c r="AG645" s="193"/>
      <c r="AH645" s="193"/>
    </row>
    <row r="646" spans="1:39" ht="24" customHeight="1">
      <c r="A646" s="263" t="s">
        <v>344</v>
      </c>
      <c r="B646" s="264"/>
      <c r="C646" s="264"/>
      <c r="D646" s="263" t="s">
        <v>930</v>
      </c>
      <c r="E646" s="264"/>
      <c r="F646" s="264"/>
      <c r="G646" s="264"/>
      <c r="H646" s="264"/>
      <c r="I646" s="264"/>
      <c r="J646" s="264"/>
      <c r="K646" s="264"/>
      <c r="L646" s="211">
        <v>94544</v>
      </c>
      <c r="M646" s="211">
        <v>96923</v>
      </c>
      <c r="N646" s="150">
        <v>99361</v>
      </c>
      <c r="O646" s="150">
        <v>99361</v>
      </c>
      <c r="P646" s="149">
        <v>101860</v>
      </c>
      <c r="Q646" s="149">
        <v>104423</v>
      </c>
      <c r="R646" s="149">
        <v>107050</v>
      </c>
      <c r="S646" s="149">
        <v>109743</v>
      </c>
      <c r="T646" s="149">
        <v>112503</v>
      </c>
      <c r="V646" s="403"/>
      <c r="W646" s="403"/>
      <c r="X646" s="403"/>
      <c r="Y646" s="403"/>
      <c r="Z646" s="403"/>
      <c r="AA646" s="403"/>
      <c r="AB646" s="403"/>
      <c r="AC646" s="403"/>
      <c r="AD646" s="403"/>
      <c r="AE646" s="403"/>
      <c r="AF646" s="403"/>
      <c r="AG646" s="403"/>
      <c r="AH646" s="403"/>
      <c r="AI646" s="403"/>
      <c r="AJ646" s="403"/>
    </row>
    <row r="647" spans="1:39" ht="24" customHeight="1">
      <c r="A647" s="263" t="s">
        <v>345</v>
      </c>
      <c r="B647" s="264"/>
      <c r="C647" s="264"/>
      <c r="D647" s="263" t="s">
        <v>986</v>
      </c>
      <c r="E647" s="264"/>
      <c r="F647" s="264"/>
      <c r="G647" s="264"/>
      <c r="H647" s="264"/>
      <c r="I647" s="264"/>
      <c r="J647" s="264"/>
      <c r="K647" s="264"/>
      <c r="L647" s="213">
        <v>30486</v>
      </c>
      <c r="M647" s="213">
        <v>28108</v>
      </c>
      <c r="N647" s="150">
        <v>25669</v>
      </c>
      <c r="O647" s="150">
        <v>25669</v>
      </c>
      <c r="P647" s="149">
        <v>23170</v>
      </c>
      <c r="Q647" s="149">
        <v>20607</v>
      </c>
      <c r="R647" s="149">
        <v>17981</v>
      </c>
      <c r="S647" s="149">
        <v>15288</v>
      </c>
      <c r="T647" s="149">
        <v>12527</v>
      </c>
      <c r="V647" s="403"/>
      <c r="W647" s="403"/>
      <c r="X647" s="403"/>
      <c r="Y647" s="403"/>
      <c r="Z647" s="403"/>
      <c r="AA647" s="403"/>
      <c r="AB647" s="403"/>
      <c r="AC647" s="403"/>
      <c r="AD647" s="403"/>
      <c r="AE647" s="403"/>
      <c r="AF647" s="403"/>
      <c r="AG647" s="403"/>
      <c r="AH647" s="403"/>
      <c r="AI647" s="403"/>
      <c r="AJ647" s="403"/>
    </row>
    <row r="648" spans="1:39" ht="24" customHeight="1">
      <c r="A648" s="267" t="s">
        <v>1161</v>
      </c>
      <c r="B648" s="267"/>
      <c r="C648" s="267"/>
      <c r="D648" s="267"/>
      <c r="E648" s="267"/>
      <c r="F648" s="267"/>
      <c r="G648" s="267"/>
      <c r="H648" s="267"/>
      <c r="I648" s="267"/>
      <c r="J648" s="267"/>
      <c r="K648" s="267"/>
      <c r="L648" s="220"/>
      <c r="M648" s="220"/>
      <c r="N648" s="164"/>
      <c r="O648" s="164"/>
      <c r="P648" s="163"/>
      <c r="Q648" s="163"/>
      <c r="R648" s="163"/>
      <c r="S648" s="163"/>
      <c r="T648" s="163"/>
      <c r="V648" s="840"/>
      <c r="W648" s="840"/>
      <c r="X648" s="840"/>
      <c r="Y648" s="840"/>
      <c r="Z648" s="840"/>
      <c r="AC648" s="837"/>
      <c r="AD648" s="837"/>
      <c r="AE648" s="837"/>
      <c r="AF648" s="837"/>
      <c r="AG648" s="837"/>
      <c r="AH648" s="837"/>
      <c r="AI648" s="837"/>
      <c r="AJ648" s="837"/>
      <c r="AL648" s="398"/>
      <c r="AM648" s="398"/>
    </row>
    <row r="649" spans="1:39" ht="24" customHeight="1">
      <c r="A649" s="263" t="s">
        <v>1101</v>
      </c>
      <c r="B649" s="397"/>
      <c r="C649" s="397"/>
      <c r="D649" s="263" t="s">
        <v>930</v>
      </c>
      <c r="E649" s="397"/>
      <c r="F649" s="397"/>
      <c r="G649" s="397"/>
      <c r="H649" s="397"/>
      <c r="I649" s="397"/>
      <c r="J649" s="397"/>
      <c r="K649" s="397"/>
      <c r="L649" s="211">
        <v>120000</v>
      </c>
      <c r="M649" s="211">
        <v>120000</v>
      </c>
      <c r="N649" s="150">
        <v>120000</v>
      </c>
      <c r="O649" s="150">
        <v>120000</v>
      </c>
      <c r="P649" s="149">
        <v>130000</v>
      </c>
      <c r="Q649" s="149">
        <v>125000</v>
      </c>
      <c r="R649" s="149">
        <v>130000</v>
      </c>
      <c r="S649" s="149">
        <v>135000</v>
      </c>
      <c r="T649" s="149">
        <v>135000</v>
      </c>
      <c r="V649" s="403"/>
      <c r="W649" s="403"/>
      <c r="X649" s="403"/>
      <c r="Y649" s="403"/>
      <c r="Z649" s="403"/>
      <c r="AA649" s="403"/>
      <c r="AB649" s="403"/>
      <c r="AC649" s="403"/>
      <c r="AD649" s="403"/>
      <c r="AE649" s="403"/>
      <c r="AF649" s="403"/>
      <c r="AG649" s="403"/>
      <c r="AH649" s="403"/>
      <c r="AI649" s="403"/>
      <c r="AJ649" s="403"/>
    </row>
    <row r="650" spans="1:39" ht="24" customHeight="1">
      <c r="A650" s="263" t="s">
        <v>1102</v>
      </c>
      <c r="B650" s="397"/>
      <c r="C650" s="397"/>
      <c r="D650" s="263" t="s">
        <v>273</v>
      </c>
      <c r="E650" s="397"/>
      <c r="F650" s="397"/>
      <c r="G650" s="397"/>
      <c r="H650" s="397"/>
      <c r="I650" s="397"/>
      <c r="J650" s="397"/>
      <c r="K650" s="397"/>
      <c r="L650" s="213">
        <v>32550</v>
      </c>
      <c r="M650" s="213">
        <v>30150</v>
      </c>
      <c r="N650" s="150">
        <v>27750</v>
      </c>
      <c r="O650" s="150">
        <v>27750</v>
      </c>
      <c r="P650" s="149">
        <v>25350</v>
      </c>
      <c r="Q650" s="149">
        <v>22750</v>
      </c>
      <c r="R650" s="149">
        <v>20250</v>
      </c>
      <c r="S650" s="149">
        <v>16350</v>
      </c>
      <c r="T650" s="149">
        <v>12300</v>
      </c>
      <c r="V650" s="403"/>
      <c r="W650" s="403"/>
      <c r="X650" s="403"/>
      <c r="Y650" s="403"/>
      <c r="Z650" s="403"/>
      <c r="AA650" s="403"/>
      <c r="AB650" s="403"/>
      <c r="AC650" s="403"/>
      <c r="AD650" s="403"/>
      <c r="AE650" s="403"/>
      <c r="AF650" s="403"/>
      <c r="AG650" s="403"/>
      <c r="AH650" s="403"/>
      <c r="AI650" s="403"/>
      <c r="AJ650" s="403"/>
    </row>
    <row r="651" spans="1:39" ht="6.95" customHeight="1">
      <c r="A651" s="793"/>
      <c r="B651" s="792"/>
      <c r="C651" s="792"/>
      <c r="D651" s="793"/>
      <c r="E651" s="792"/>
      <c r="F651" s="792"/>
      <c r="G651" s="792"/>
      <c r="H651" s="792"/>
      <c r="I651" s="792"/>
      <c r="J651" s="792"/>
      <c r="K651" s="792"/>
      <c r="L651" s="212"/>
      <c r="M651" s="212"/>
      <c r="N651" s="156"/>
      <c r="O651" s="156"/>
      <c r="P651" s="153"/>
      <c r="Q651" s="153"/>
      <c r="R651" s="153"/>
      <c r="S651" s="153"/>
      <c r="T651" s="153"/>
      <c r="V651" s="403"/>
      <c r="W651" s="403"/>
      <c r="X651" s="403"/>
      <c r="Y651" s="403"/>
      <c r="Z651" s="403"/>
      <c r="AA651" s="403"/>
      <c r="AB651" s="403"/>
      <c r="AC651" s="403"/>
      <c r="AD651" s="403"/>
      <c r="AE651" s="403"/>
      <c r="AF651" s="403"/>
      <c r="AG651" s="403"/>
      <c r="AH651" s="403"/>
      <c r="AI651" s="403"/>
      <c r="AJ651" s="403"/>
    </row>
    <row r="652" spans="1:39" ht="24" customHeight="1">
      <c r="A652" s="644" t="s">
        <v>1262</v>
      </c>
      <c r="B652" s="643"/>
      <c r="C652" s="643"/>
      <c r="D652" s="644" t="s">
        <v>1146</v>
      </c>
      <c r="E652" s="643"/>
      <c r="F652" s="643"/>
      <c r="G652" s="643"/>
      <c r="H652" s="643"/>
      <c r="I652" s="643"/>
      <c r="J652" s="643"/>
      <c r="K652" s="643"/>
      <c r="L652" s="212">
        <f t="shared" ref="L652:T652" si="67">L382</f>
        <v>0</v>
      </c>
      <c r="M652" s="212">
        <f t="shared" si="67"/>
        <v>0</v>
      </c>
      <c r="N652" s="214">
        <f>N382</f>
        <v>1098924</v>
      </c>
      <c r="O652" s="214">
        <f>O382</f>
        <v>1015982</v>
      </c>
      <c r="P652" s="212">
        <f t="shared" si="67"/>
        <v>0</v>
      </c>
      <c r="Q652" s="212">
        <f t="shared" si="67"/>
        <v>0</v>
      </c>
      <c r="R652" s="212">
        <f t="shared" si="67"/>
        <v>0</v>
      </c>
      <c r="S652" s="212">
        <f t="shared" si="67"/>
        <v>0</v>
      </c>
      <c r="T652" s="212">
        <f t="shared" si="67"/>
        <v>0</v>
      </c>
      <c r="V652" s="403"/>
      <c r="W652" s="403"/>
      <c r="X652" s="403"/>
      <c r="Y652" s="403"/>
      <c r="Z652" s="403"/>
      <c r="AA652" s="403"/>
      <c r="AB652" s="403"/>
      <c r="AC652" s="403"/>
      <c r="AD652" s="403"/>
      <c r="AE652" s="403"/>
      <c r="AF652" s="403"/>
      <c r="AG652" s="403"/>
      <c r="AH652" s="403"/>
      <c r="AI652" s="403"/>
      <c r="AJ652" s="403"/>
    </row>
    <row r="653" spans="1:39" ht="24" customHeight="1">
      <c r="A653" s="263" t="s">
        <v>1180</v>
      </c>
      <c r="B653" s="487"/>
      <c r="C653" s="487"/>
      <c r="D653" s="263" t="s">
        <v>1091</v>
      </c>
      <c r="E653" s="487"/>
      <c r="F653" s="487"/>
      <c r="G653" s="487"/>
      <c r="H653" s="487"/>
      <c r="I653" s="487"/>
      <c r="J653" s="487"/>
      <c r="K653" s="487"/>
      <c r="L653" s="217">
        <v>0</v>
      </c>
      <c r="M653" s="217">
        <v>6193291</v>
      </c>
      <c r="N653" s="162">
        <v>0</v>
      </c>
      <c r="O653" s="162">
        <v>0</v>
      </c>
      <c r="P653" s="161">
        <v>0</v>
      </c>
      <c r="Q653" s="161">
        <v>0</v>
      </c>
      <c r="R653" s="161">
        <v>0</v>
      </c>
      <c r="S653" s="161">
        <v>0</v>
      </c>
      <c r="T653" s="161">
        <v>0</v>
      </c>
      <c r="V653" s="403"/>
      <c r="W653" s="403"/>
      <c r="X653" s="403"/>
      <c r="Y653" s="403"/>
      <c r="Z653" s="403"/>
      <c r="AA653" s="403"/>
      <c r="AB653" s="403"/>
      <c r="AC653" s="403"/>
      <c r="AD653" s="403"/>
      <c r="AE653" s="403"/>
      <c r="AF653" s="403"/>
      <c r="AG653" s="403"/>
      <c r="AH653" s="403"/>
      <c r="AI653" s="403"/>
      <c r="AJ653" s="403"/>
    </row>
    <row r="654" spans="1:39" ht="15" customHeight="1">
      <c r="A654" s="202"/>
      <c r="B654" s="202"/>
      <c r="C654" s="202"/>
      <c r="D654" s="202"/>
      <c r="E654" s="202"/>
      <c r="F654" s="202"/>
      <c r="G654" s="202"/>
      <c r="H654" s="202"/>
      <c r="I654" s="202"/>
      <c r="J654" s="202"/>
      <c r="K654" s="202"/>
      <c r="L654" s="218"/>
      <c r="M654" s="218"/>
      <c r="N654" s="164"/>
      <c r="O654" s="164"/>
      <c r="P654" s="163"/>
      <c r="Q654" s="163"/>
      <c r="R654" s="163"/>
      <c r="S654" s="163"/>
      <c r="T654" s="163"/>
      <c r="V654" s="193"/>
      <c r="W654" s="193"/>
      <c r="X654" s="193"/>
      <c r="Y654" s="193"/>
      <c r="Z654" s="193"/>
      <c r="AA654" s="193"/>
      <c r="AB654" s="193"/>
      <c r="AC654" s="193"/>
      <c r="AD654" s="193"/>
      <c r="AE654" s="193"/>
      <c r="AF654" s="193"/>
      <c r="AG654" s="193"/>
      <c r="AH654" s="193"/>
      <c r="AI654" s="193"/>
      <c r="AJ654" s="193"/>
    </row>
    <row r="655" spans="1:39" s="202" customFormat="1" ht="24" customHeight="1">
      <c r="K655" s="267" t="s">
        <v>486</v>
      </c>
      <c r="L655" s="220">
        <f>SUM(L573:L654)</f>
        <v>3965434</v>
      </c>
      <c r="M655" s="220">
        <f t="shared" ref="M655:T655" si="68">SUM(M573:M654)</f>
        <v>12921770</v>
      </c>
      <c r="N655" s="221">
        <f t="shared" si="68"/>
        <v>5158503</v>
      </c>
      <c r="O655" s="221">
        <f>SUM(O573:O654)</f>
        <v>5103252</v>
      </c>
      <c r="P655" s="220">
        <f t="shared" si="68"/>
        <v>4876371</v>
      </c>
      <c r="Q655" s="220">
        <f t="shared" si="68"/>
        <v>5375602</v>
      </c>
      <c r="R655" s="220">
        <f t="shared" si="68"/>
        <v>5037281</v>
      </c>
      <c r="S655" s="220">
        <f t="shared" si="68"/>
        <v>4394828</v>
      </c>
      <c r="T655" s="220">
        <f t="shared" si="68"/>
        <v>4095058</v>
      </c>
      <c r="U655" s="65"/>
      <c r="V655" s="845"/>
      <c r="W655" s="845"/>
      <c r="X655" s="844"/>
      <c r="Y655" s="838"/>
      <c r="Z655" s="838"/>
      <c r="AA655" s="838"/>
      <c r="AB655" s="838"/>
      <c r="AC655" s="838"/>
      <c r="AD655" s="838"/>
      <c r="AE655" s="838"/>
      <c r="AF655" s="838"/>
      <c r="AG655" s="838"/>
      <c r="AH655" s="838"/>
      <c r="AI655" s="838"/>
      <c r="AJ655" s="838"/>
      <c r="AK655" s="838"/>
    </row>
    <row r="656" spans="1:39" s="202" customFormat="1" ht="15" customHeight="1">
      <c r="L656" s="218"/>
      <c r="M656" s="218"/>
      <c r="N656" s="219"/>
      <c r="O656" s="219"/>
      <c r="P656" s="218"/>
      <c r="Q656" s="218"/>
      <c r="R656" s="218"/>
      <c r="S656" s="218"/>
      <c r="T656" s="218"/>
      <c r="U656" s="65"/>
      <c r="V656" s="845"/>
      <c r="W656" s="845"/>
      <c r="X656" s="844"/>
      <c r="Y656" s="838"/>
      <c r="Z656" s="838"/>
      <c r="AA656" s="838"/>
      <c r="AB656" s="838"/>
      <c r="AC656" s="838"/>
      <c r="AD656" s="838"/>
      <c r="AE656" s="838"/>
      <c r="AF656" s="838"/>
      <c r="AG656" s="838"/>
      <c r="AH656" s="838"/>
      <c r="AI656" s="838"/>
      <c r="AJ656" s="838"/>
      <c r="AK656" s="838"/>
    </row>
    <row r="657" spans="1:37" s="202" customFormat="1" ht="24" customHeight="1">
      <c r="K657" s="267" t="s">
        <v>485</v>
      </c>
      <c r="L657" s="237">
        <f t="shared" ref="L657:T657" si="69">L570-L655</f>
        <v>4096296</v>
      </c>
      <c r="M657" s="237">
        <f t="shared" si="69"/>
        <v>-2370144</v>
      </c>
      <c r="N657" s="238">
        <f t="shared" si="69"/>
        <v>-860736</v>
      </c>
      <c r="O657" s="238">
        <f t="shared" si="69"/>
        <v>-536136</v>
      </c>
      <c r="P657" s="237">
        <f t="shared" si="69"/>
        <v>-337853</v>
      </c>
      <c r="Q657" s="237">
        <f t="shared" si="69"/>
        <v>-671899</v>
      </c>
      <c r="R657" s="237">
        <f t="shared" si="69"/>
        <v>-162749</v>
      </c>
      <c r="S657" s="237">
        <f t="shared" si="69"/>
        <v>661992</v>
      </c>
      <c r="T657" s="237">
        <f t="shared" si="69"/>
        <v>1152381</v>
      </c>
      <c r="U657" s="65"/>
      <c r="V657" s="838"/>
      <c r="W657" s="838"/>
      <c r="X657" s="838"/>
      <c r="Y657" s="838"/>
      <c r="Z657" s="838"/>
      <c r="AA657" s="838"/>
      <c r="AB657" s="838"/>
      <c r="AC657" s="838"/>
      <c r="AD657" s="838"/>
      <c r="AE657" s="838"/>
      <c r="AF657" s="838"/>
      <c r="AG657" s="838"/>
      <c r="AH657" s="838"/>
      <c r="AI657" s="838"/>
      <c r="AJ657" s="838"/>
      <c r="AK657" s="838"/>
    </row>
    <row r="658" spans="1:37" s="202" customFormat="1" ht="15" customHeight="1">
      <c r="L658" s="237"/>
      <c r="M658" s="237"/>
      <c r="N658" s="238"/>
      <c r="O658" s="238"/>
      <c r="P658" s="237"/>
      <c r="Q658" s="237"/>
      <c r="R658" s="237"/>
      <c r="S658" s="237"/>
      <c r="T658" s="237"/>
      <c r="U658" s="65"/>
      <c r="V658" s="838"/>
      <c r="W658" s="838"/>
      <c r="X658" s="838"/>
      <c r="Y658" s="838"/>
      <c r="Z658" s="838"/>
      <c r="AA658" s="838"/>
      <c r="AB658" s="838"/>
      <c r="AC658" s="838"/>
      <c r="AD658" s="838"/>
      <c r="AE658" s="838"/>
      <c r="AF658" s="838"/>
      <c r="AG658" s="838"/>
      <c r="AH658" s="838"/>
      <c r="AI658" s="838"/>
      <c r="AJ658" s="838"/>
      <c r="AK658" s="838"/>
    </row>
    <row r="659" spans="1:37" s="202" customFormat="1" ht="24" customHeight="1">
      <c r="J659" s="281" t="s">
        <v>492</v>
      </c>
      <c r="L659" s="237">
        <v>5196289</v>
      </c>
      <c r="M659" s="237">
        <v>2826144</v>
      </c>
      <c r="N659" s="238">
        <v>2285570</v>
      </c>
      <c r="O659" s="238">
        <f>M659+O657</f>
        <v>2290008</v>
      </c>
      <c r="P659" s="237">
        <f>O659+P657</f>
        <v>1952155</v>
      </c>
      <c r="Q659" s="237">
        <f>P659+Q657</f>
        <v>1280256</v>
      </c>
      <c r="R659" s="237">
        <f>Q659+R657</f>
        <v>1117507</v>
      </c>
      <c r="S659" s="237">
        <f>R659+S657</f>
        <v>1779499</v>
      </c>
      <c r="T659" s="237">
        <f>S659+T657</f>
        <v>2931880</v>
      </c>
      <c r="U659" s="65"/>
      <c r="V659" s="838"/>
      <c r="W659" s="838"/>
      <c r="X659" s="838"/>
      <c r="Y659" s="838"/>
      <c r="Z659" s="838"/>
      <c r="AA659" s="838"/>
      <c r="AB659" s="838"/>
      <c r="AC659" s="838"/>
      <c r="AD659" s="838"/>
      <c r="AE659" s="838"/>
      <c r="AF659" s="838"/>
      <c r="AG659" s="838"/>
      <c r="AH659" s="838"/>
      <c r="AI659" s="838"/>
      <c r="AJ659" s="838"/>
      <c r="AK659" s="838"/>
    </row>
    <row r="660" spans="1:37" s="276" customFormat="1" ht="24" customHeight="1">
      <c r="L660" s="239">
        <f t="shared" ref="L660:T660" si="70">L659/L655</f>
        <v>1.3103960373568189</v>
      </c>
      <c r="M660" s="239">
        <f t="shared" si="70"/>
        <v>0.21871183282166454</v>
      </c>
      <c r="N660" s="240">
        <f t="shared" si="70"/>
        <v>0.44306846385472687</v>
      </c>
      <c r="O660" s="240">
        <f t="shared" si="70"/>
        <v>0.44873504189093544</v>
      </c>
      <c r="P660" s="239">
        <f t="shared" si="70"/>
        <v>0.40032946631829286</v>
      </c>
      <c r="Q660" s="239">
        <f t="shared" si="70"/>
        <v>0.23816048881595028</v>
      </c>
      <c r="R660" s="239">
        <f t="shared" si="70"/>
        <v>0.2218472624417816</v>
      </c>
      <c r="S660" s="239">
        <f t="shared" si="70"/>
        <v>0.40490754131902318</v>
      </c>
      <c r="T660" s="239">
        <f t="shared" si="70"/>
        <v>0.71595567144592331</v>
      </c>
      <c r="U660" s="801"/>
    </row>
    <row r="661" spans="1:37" s="273" customFormat="1" ht="15" customHeight="1">
      <c r="A661" s="444"/>
      <c r="B661" s="444"/>
      <c r="C661" s="444"/>
      <c r="D661" s="444"/>
      <c r="E661" s="444"/>
      <c r="F661" s="444"/>
      <c r="G661" s="444"/>
      <c r="H661" s="444"/>
      <c r="I661" s="444"/>
      <c r="J661" s="444"/>
      <c r="K661" s="272"/>
      <c r="L661" s="355"/>
      <c r="M661" s="355"/>
      <c r="N661" s="360"/>
      <c r="O661" s="360"/>
      <c r="P661" s="361"/>
      <c r="Q661" s="361"/>
      <c r="R661" s="361"/>
      <c r="S661" s="361"/>
      <c r="T661" s="361"/>
      <c r="U661" s="459"/>
      <c r="V661" s="200"/>
      <c r="W661" s="200"/>
      <c r="X661" s="200"/>
      <c r="Y661" s="200"/>
      <c r="Z661" s="200"/>
      <c r="AA661" s="200"/>
    </row>
    <row r="662" spans="1:37" ht="24" customHeight="1">
      <c r="A662" s="274" t="s">
        <v>501</v>
      </c>
      <c r="B662" s="202"/>
      <c r="C662" s="202"/>
      <c r="D662" s="202"/>
      <c r="E662" s="202"/>
      <c r="F662" s="202"/>
      <c r="G662" s="202"/>
      <c r="H662" s="202"/>
      <c r="I662" s="202"/>
      <c r="J662" s="202"/>
      <c r="K662" s="202"/>
      <c r="L662" s="261"/>
      <c r="M662" s="261"/>
      <c r="N662" s="352"/>
      <c r="O662" s="352"/>
      <c r="P662" s="353"/>
      <c r="Q662" s="353"/>
      <c r="R662" s="353"/>
      <c r="S662" s="353"/>
      <c r="T662" s="353"/>
    </row>
    <row r="663" spans="1:37" ht="15" customHeight="1">
      <c r="A663" s="202"/>
      <c r="B663" s="202"/>
      <c r="C663" s="202"/>
      <c r="D663" s="202"/>
      <c r="E663" s="202"/>
      <c r="F663" s="202"/>
      <c r="G663" s="202"/>
      <c r="H663" s="202"/>
      <c r="I663" s="202"/>
      <c r="J663" s="202"/>
      <c r="K663" s="202"/>
      <c r="L663" s="261"/>
      <c r="M663" s="261"/>
      <c r="N663" s="352"/>
      <c r="O663" s="352"/>
      <c r="P663" s="353"/>
      <c r="Q663" s="353"/>
      <c r="R663" s="353"/>
      <c r="S663" s="353"/>
      <c r="T663" s="353"/>
    </row>
    <row r="664" spans="1:37" ht="24" customHeight="1">
      <c r="A664" s="263" t="s">
        <v>801</v>
      </c>
      <c r="B664" s="264"/>
      <c r="C664" s="264"/>
      <c r="D664" s="750" t="s">
        <v>825</v>
      </c>
      <c r="E664" s="748"/>
      <c r="F664" s="748"/>
      <c r="G664" s="748"/>
      <c r="H664" s="748"/>
      <c r="I664" s="748"/>
      <c r="J664" s="748"/>
      <c r="K664" s="748"/>
      <c r="L664" s="212">
        <v>76600</v>
      </c>
      <c r="M664" s="212">
        <v>104700</v>
      </c>
      <c r="N664" s="170">
        <v>0</v>
      </c>
      <c r="O664" s="170">
        <v>0</v>
      </c>
      <c r="P664" s="169">
        <v>0</v>
      </c>
      <c r="Q664" s="169">
        <v>0</v>
      </c>
      <c r="R664" s="169">
        <v>0</v>
      </c>
      <c r="S664" s="169">
        <v>0</v>
      </c>
      <c r="T664" s="169">
        <v>0</v>
      </c>
      <c r="V664" s="401"/>
      <c r="W664" s="401"/>
      <c r="X664" s="401"/>
      <c r="Y664" s="401"/>
      <c r="Z664" s="401"/>
      <c r="AA664" s="401"/>
      <c r="AE664" s="518"/>
    </row>
    <row r="665" spans="1:37" ht="24" customHeight="1">
      <c r="A665" s="578" t="s">
        <v>1212</v>
      </c>
      <c r="B665" s="636"/>
      <c r="C665" s="636"/>
      <c r="D665" s="578" t="s">
        <v>1213</v>
      </c>
      <c r="E665" s="576"/>
      <c r="F665" s="576"/>
      <c r="G665" s="576"/>
      <c r="H665" s="576"/>
      <c r="I665" s="576"/>
      <c r="J665" s="576"/>
      <c r="K665" s="576"/>
      <c r="L665" s="212">
        <v>750</v>
      </c>
      <c r="M665" s="212">
        <v>692</v>
      </c>
      <c r="N665" s="170">
        <v>0</v>
      </c>
      <c r="O665" s="170">
        <v>0</v>
      </c>
      <c r="P665" s="169">
        <v>0</v>
      </c>
      <c r="Q665" s="169">
        <v>0</v>
      </c>
      <c r="R665" s="169">
        <v>0</v>
      </c>
      <c r="S665" s="169">
        <v>0</v>
      </c>
      <c r="T665" s="169">
        <v>0</v>
      </c>
      <c r="V665" s="371"/>
      <c r="W665" s="862"/>
      <c r="X665" s="862"/>
      <c r="Y665" s="862"/>
      <c r="Z665" s="862"/>
      <c r="AA665" s="862"/>
      <c r="AE665" s="518"/>
    </row>
    <row r="666" spans="1:37" ht="24" customHeight="1">
      <c r="A666" s="263" t="s">
        <v>347</v>
      </c>
      <c r="B666" s="637"/>
      <c r="C666" s="637"/>
      <c r="D666" s="724" t="s">
        <v>348</v>
      </c>
      <c r="E666" s="637"/>
      <c r="F666" s="637"/>
      <c r="G666" s="636"/>
      <c r="H666" s="636"/>
      <c r="I666" s="636"/>
      <c r="J666" s="636"/>
      <c r="K666" s="636"/>
      <c r="L666" s="212">
        <v>821802</v>
      </c>
      <c r="M666" s="212">
        <v>868488</v>
      </c>
      <c r="N666" s="156">
        <v>882526</v>
      </c>
      <c r="O666" s="156">
        <v>900000</v>
      </c>
      <c r="P666" s="153">
        <f>ROUND(((7421*6)*20.87),0)</f>
        <v>929258</v>
      </c>
      <c r="Q666" s="153">
        <f>ROUND(P666*1.03,0)</f>
        <v>957136</v>
      </c>
      <c r="R666" s="153">
        <f>ROUND(Q666*1.03,0)</f>
        <v>985850</v>
      </c>
      <c r="S666" s="153">
        <f>ROUND(R666*1.03,0)</f>
        <v>1015426</v>
      </c>
      <c r="T666" s="153">
        <f>ROUND(S666*1.03,0)</f>
        <v>1045889</v>
      </c>
      <c r="V666" s="863"/>
      <c r="W666" s="870"/>
      <c r="X666" s="870"/>
      <c r="Y666" s="870"/>
      <c r="Z666" s="870"/>
      <c r="AA666" s="870"/>
      <c r="AE666" s="518"/>
    </row>
    <row r="667" spans="1:37" ht="24" customHeight="1">
      <c r="A667" s="263" t="s">
        <v>938</v>
      </c>
      <c r="B667" s="636"/>
      <c r="C667" s="636"/>
      <c r="D667" s="639" t="s">
        <v>940</v>
      </c>
      <c r="E667" s="636"/>
      <c r="F667" s="636"/>
      <c r="G667" s="636"/>
      <c r="H667" s="636"/>
      <c r="I667" s="636"/>
      <c r="J667" s="636"/>
      <c r="K667" s="636"/>
      <c r="L667" s="212">
        <v>345416</v>
      </c>
      <c r="M667" s="212">
        <v>354171</v>
      </c>
      <c r="N667" s="210">
        <v>345000</v>
      </c>
      <c r="O667" s="210">
        <v>360000</v>
      </c>
      <c r="P667" s="209">
        <v>360000</v>
      </c>
      <c r="Q667" s="209">
        <v>360000</v>
      </c>
      <c r="R667" s="209">
        <v>360000</v>
      </c>
      <c r="S667" s="209">
        <v>360000</v>
      </c>
      <c r="T667" s="209">
        <v>360000</v>
      </c>
      <c r="V667" s="152"/>
      <c r="W667" s="433"/>
      <c r="X667" s="433"/>
      <c r="Y667" s="433"/>
      <c r="Z667" s="433"/>
      <c r="AA667" s="433"/>
      <c r="AE667" s="518"/>
    </row>
    <row r="668" spans="1:37" ht="24" customHeight="1">
      <c r="A668" s="263" t="s">
        <v>349</v>
      </c>
      <c r="B668" s="636"/>
      <c r="C668" s="636"/>
      <c r="D668" s="639" t="s">
        <v>350</v>
      </c>
      <c r="E668" s="636"/>
      <c r="F668" s="636"/>
      <c r="G668" s="636"/>
      <c r="H668" s="636"/>
      <c r="I668" s="636"/>
      <c r="J668" s="636"/>
      <c r="K668" s="636"/>
      <c r="L668" s="212">
        <v>15200</v>
      </c>
      <c r="M668" s="212">
        <v>23100</v>
      </c>
      <c r="N668" s="156">
        <v>15000</v>
      </c>
      <c r="O668" s="156">
        <v>98000</v>
      </c>
      <c r="P668" s="169">
        <f>ROUND(((120*500)*0.4)+((120*200)*0.6),0)</f>
        <v>38400</v>
      </c>
      <c r="Q668" s="169">
        <f>ROUND(((110*500)*0.4)+((110*200)*0.6),0)</f>
        <v>35200</v>
      </c>
      <c r="R668" s="169">
        <f>ROUND(((110*500)*0.4)+((110*200)*0.6),0)</f>
        <v>35200</v>
      </c>
      <c r="S668" s="169">
        <f>ROUND(((110*500)*0.4)+((110*200)*0.6),0)</f>
        <v>35200</v>
      </c>
      <c r="T668" s="169">
        <f>ROUND(((110*500)*0.4)+((110*200)*0.6),0)</f>
        <v>35200</v>
      </c>
      <c r="V668" s="152"/>
      <c r="W668" s="344"/>
      <c r="X668" s="371"/>
      <c r="Y668" s="371"/>
      <c r="Z668" s="371"/>
      <c r="AA668" s="371"/>
      <c r="AE668" s="518"/>
    </row>
    <row r="669" spans="1:37" ht="24" customHeight="1">
      <c r="A669" s="263" t="s">
        <v>351</v>
      </c>
      <c r="B669" s="264"/>
      <c r="C669" s="264"/>
      <c r="D669" s="639" t="s">
        <v>352</v>
      </c>
      <c r="E669" s="636"/>
      <c r="F669" s="636"/>
      <c r="G669" s="636"/>
      <c r="H669" s="636"/>
      <c r="I669" s="636"/>
      <c r="J669" s="636"/>
      <c r="K669" s="636"/>
      <c r="L669" s="209">
        <v>114750</v>
      </c>
      <c r="M669" s="209">
        <v>25909</v>
      </c>
      <c r="N669" s="156">
        <v>10000</v>
      </c>
      <c r="O669" s="156">
        <v>172000</v>
      </c>
      <c r="P669" s="169">
        <f>ROUND(120*1800,0)</f>
        <v>216000</v>
      </c>
      <c r="Q669" s="169">
        <f>ROUND(110*1800,0)</f>
        <v>198000</v>
      </c>
      <c r="R669" s="169">
        <f>ROUND(110*1800,0)</f>
        <v>198000</v>
      </c>
      <c r="S669" s="169">
        <f>ROUND(110*1800,0)</f>
        <v>198000</v>
      </c>
      <c r="T669" s="169">
        <f>ROUND(110*1800,0)</f>
        <v>198000</v>
      </c>
      <c r="V669" s="152"/>
      <c r="W669" s="728"/>
      <c r="X669" s="728"/>
      <c r="Y669" s="728"/>
      <c r="Z669" s="728"/>
      <c r="AA669" s="728"/>
      <c r="AE669" s="518"/>
    </row>
    <row r="670" spans="1:37" ht="24" customHeight="1">
      <c r="A670" s="263" t="s">
        <v>939</v>
      </c>
      <c r="B670" s="264"/>
      <c r="C670" s="264"/>
      <c r="D670" s="639" t="s">
        <v>891</v>
      </c>
      <c r="E670" s="636"/>
      <c r="F670" s="636"/>
      <c r="G670" s="636"/>
      <c r="H670" s="636"/>
      <c r="I670" s="636"/>
      <c r="J670" s="636"/>
      <c r="K670" s="636"/>
      <c r="L670" s="212">
        <v>13740</v>
      </c>
      <c r="M670" s="212">
        <v>13746</v>
      </c>
      <c r="N670" s="170">
        <v>13500</v>
      </c>
      <c r="O670" s="170">
        <v>15000</v>
      </c>
      <c r="P670" s="169">
        <v>15000</v>
      </c>
      <c r="Q670" s="169">
        <v>15000</v>
      </c>
      <c r="R670" s="169">
        <v>15000</v>
      </c>
      <c r="S670" s="169">
        <v>15000</v>
      </c>
      <c r="T670" s="169">
        <v>15000</v>
      </c>
      <c r="V670" s="371"/>
      <c r="W670" s="729"/>
      <c r="X670" s="729"/>
      <c r="Y670" s="729"/>
      <c r="Z670" s="729"/>
      <c r="AA670" s="729"/>
      <c r="AE670" s="518"/>
    </row>
    <row r="671" spans="1:37" ht="24" customHeight="1">
      <c r="A671" s="263" t="s">
        <v>353</v>
      </c>
      <c r="B671" s="264"/>
      <c r="C671" s="264"/>
      <c r="D671" s="639" t="s">
        <v>354</v>
      </c>
      <c r="E671" s="636"/>
      <c r="F671" s="636"/>
      <c r="G671" s="636"/>
      <c r="H671" s="636"/>
      <c r="I671" s="636"/>
      <c r="J671" s="636"/>
      <c r="K671" s="636"/>
      <c r="L671" s="212">
        <v>1548</v>
      </c>
      <c r="M671" s="212">
        <v>1477</v>
      </c>
      <c r="N671" s="156">
        <v>0</v>
      </c>
      <c r="O671" s="156">
        <v>1883</v>
      </c>
      <c r="P671" s="153">
        <v>0</v>
      </c>
      <c r="Q671" s="153">
        <v>0</v>
      </c>
      <c r="R671" s="153">
        <v>0</v>
      </c>
      <c r="S671" s="153">
        <v>0</v>
      </c>
      <c r="T671" s="153">
        <v>0</v>
      </c>
      <c r="V671" s="371"/>
      <c r="W671" s="729"/>
      <c r="X671" s="729"/>
      <c r="Y671" s="729"/>
      <c r="Z671" s="729"/>
      <c r="AA671" s="729"/>
      <c r="AE671" s="518"/>
    </row>
    <row r="672" spans="1:37" ht="24" customHeight="1">
      <c r="A672" s="263" t="s">
        <v>355</v>
      </c>
      <c r="B672" s="264"/>
      <c r="C672" s="264"/>
      <c r="D672" s="907" t="s">
        <v>6</v>
      </c>
      <c r="E672" s="907"/>
      <c r="F672" s="907"/>
      <c r="G672" s="907"/>
      <c r="H672" s="907"/>
      <c r="I672" s="907"/>
      <c r="J672" s="907"/>
      <c r="K672" s="907"/>
      <c r="L672" s="211">
        <v>1193</v>
      </c>
      <c r="M672" s="211">
        <v>3899</v>
      </c>
      <c r="N672" s="150">
        <v>1250</v>
      </c>
      <c r="O672" s="150">
        <v>14500</v>
      </c>
      <c r="P672" s="149">
        <v>1250</v>
      </c>
      <c r="Q672" s="149">
        <v>1250</v>
      </c>
      <c r="R672" s="149">
        <v>1250</v>
      </c>
      <c r="S672" s="149">
        <v>1250</v>
      </c>
      <c r="T672" s="149">
        <v>0</v>
      </c>
      <c r="V672" s="152"/>
      <c r="W672" s="729"/>
      <c r="X672" s="729"/>
      <c r="Y672" s="729"/>
      <c r="Z672" s="729"/>
      <c r="AA672" s="729"/>
      <c r="AE672" s="518"/>
    </row>
    <row r="673" spans="1:37" ht="24" customHeight="1">
      <c r="A673" s="263" t="s">
        <v>356</v>
      </c>
      <c r="B673" s="264"/>
      <c r="C673" s="264"/>
      <c r="D673" s="907" t="s">
        <v>61</v>
      </c>
      <c r="E673" s="907"/>
      <c r="F673" s="907"/>
      <c r="G673" s="907"/>
      <c r="H673" s="907"/>
      <c r="I673" s="907"/>
      <c r="J673" s="907"/>
      <c r="K673" s="907"/>
      <c r="L673" s="211">
        <v>1264</v>
      </c>
      <c r="M673" s="211">
        <f>8050+99</f>
        <v>8149</v>
      </c>
      <c r="N673" s="150">
        <v>0</v>
      </c>
      <c r="O673" s="150">
        <v>0</v>
      </c>
      <c r="P673" s="149">
        <v>0</v>
      </c>
      <c r="Q673" s="149">
        <v>0</v>
      </c>
      <c r="R673" s="149">
        <v>0</v>
      </c>
      <c r="S673" s="149">
        <v>0</v>
      </c>
      <c r="T673" s="149">
        <v>0</v>
      </c>
      <c r="AE673" s="518"/>
    </row>
    <row r="674" spans="1:37" ht="24" customHeight="1">
      <c r="A674" s="263" t="s">
        <v>357</v>
      </c>
      <c r="B674" s="264"/>
      <c r="C674" s="264"/>
      <c r="D674" s="263" t="s">
        <v>255</v>
      </c>
      <c r="E674" s="264"/>
      <c r="F674" s="264"/>
      <c r="G674" s="264"/>
      <c r="H674" s="264"/>
      <c r="I674" s="264"/>
      <c r="J674" s="264"/>
      <c r="K674" s="264"/>
      <c r="L674" s="226">
        <v>1134654</v>
      </c>
      <c r="M674" s="226">
        <v>1134052</v>
      </c>
      <c r="N674" s="174">
        <v>1137166</v>
      </c>
      <c r="O674" s="174">
        <f>O733+O734</f>
        <v>1137166</v>
      </c>
      <c r="P674" s="173">
        <f>774556+47500+11100+262+19729+3436</f>
        <v>856583</v>
      </c>
      <c r="Q674" s="173">
        <f>578707-57000+69300-535-50+15805+2861</f>
        <v>609088</v>
      </c>
      <c r="R674" s="173">
        <f>585061+9500-5700-1027-78-3951+2944</f>
        <v>586749</v>
      </c>
      <c r="S674" s="173">
        <f>604765+256250+102251-32951-1576+60500+144+288-576+5384</f>
        <v>994479</v>
      </c>
      <c r="T674" s="173">
        <f>538995+596969</f>
        <v>1135964</v>
      </c>
      <c r="AE674" s="518"/>
    </row>
    <row r="675" spans="1:37" ht="15" customHeight="1">
      <c r="A675" s="263"/>
      <c r="B675" s="264"/>
      <c r="C675" s="264"/>
      <c r="D675" s="202"/>
      <c r="E675" s="264"/>
      <c r="F675" s="264"/>
      <c r="G675" s="264"/>
      <c r="H675" s="264"/>
      <c r="I675" s="264"/>
      <c r="J675" s="264"/>
      <c r="K675" s="264"/>
      <c r="L675" s="217"/>
      <c r="M675" s="217"/>
      <c r="N675" s="162"/>
      <c r="O675" s="162"/>
      <c r="P675" s="161"/>
      <c r="Q675" s="161"/>
      <c r="R675" s="161"/>
      <c r="S675" s="161"/>
      <c r="T675" s="161"/>
      <c r="AE675" s="518"/>
    </row>
    <row r="676" spans="1:37" s="202" customFormat="1" ht="24" customHeight="1">
      <c r="K676" s="267" t="s">
        <v>481</v>
      </c>
      <c r="L676" s="220">
        <f t="shared" ref="L676:T676" si="71">SUM(L664:L675)</f>
        <v>2526917</v>
      </c>
      <c r="M676" s="220">
        <f t="shared" si="71"/>
        <v>2538383</v>
      </c>
      <c r="N676" s="221">
        <f t="shared" si="71"/>
        <v>2404442</v>
      </c>
      <c r="O676" s="221">
        <f t="shared" si="71"/>
        <v>2698549</v>
      </c>
      <c r="P676" s="220">
        <f t="shared" si="71"/>
        <v>2416491</v>
      </c>
      <c r="Q676" s="220">
        <f t="shared" si="71"/>
        <v>2175674</v>
      </c>
      <c r="R676" s="220">
        <f t="shared" si="71"/>
        <v>2182049</v>
      </c>
      <c r="S676" s="220">
        <f t="shared" si="71"/>
        <v>2619355</v>
      </c>
      <c r="T676" s="220">
        <f t="shared" si="71"/>
        <v>2790053</v>
      </c>
      <c r="U676" s="65"/>
      <c r="V676" s="845"/>
      <c r="W676" s="845"/>
      <c r="X676" s="844"/>
      <c r="Y676" s="838"/>
      <c r="Z676" s="838"/>
      <c r="AA676" s="838"/>
      <c r="AB676" s="838"/>
      <c r="AC676" s="200"/>
      <c r="AD676" s="200"/>
      <c r="AE676" s="518"/>
      <c r="AF676" s="838"/>
      <c r="AG676" s="838"/>
      <c r="AH676" s="838"/>
      <c r="AI676" s="838"/>
      <c r="AJ676" s="838"/>
      <c r="AK676" s="838"/>
    </row>
    <row r="677" spans="1:37" ht="15" customHeight="1">
      <c r="A677" s="202"/>
      <c r="B677" s="202"/>
      <c r="C677" s="202"/>
      <c r="D677" s="202"/>
      <c r="E677" s="202"/>
      <c r="F677" s="202"/>
      <c r="G677" s="202"/>
      <c r="H677" s="202"/>
      <c r="I677" s="202"/>
      <c r="J677" s="202"/>
      <c r="K677" s="202"/>
      <c r="L677" s="220"/>
      <c r="M677" s="220"/>
      <c r="N677" s="167"/>
      <c r="O677" s="167"/>
      <c r="P677" s="166"/>
      <c r="Q677" s="166"/>
      <c r="R677" s="166"/>
      <c r="S677" s="166"/>
      <c r="T677" s="166"/>
      <c r="V677" s="845"/>
      <c r="W677" s="845"/>
      <c r="X677" s="844"/>
      <c r="AE677" s="518"/>
    </row>
    <row r="678" spans="1:37" ht="24" customHeight="1">
      <c r="A678" s="267" t="s">
        <v>972</v>
      </c>
      <c r="B678" s="202"/>
      <c r="C678" s="202"/>
      <c r="D678" s="202"/>
      <c r="E678" s="202"/>
      <c r="F678" s="202"/>
      <c r="G678" s="202"/>
      <c r="H678" s="202"/>
      <c r="I678" s="202"/>
      <c r="J678" s="202"/>
      <c r="K678" s="202"/>
      <c r="L678" s="220"/>
      <c r="M678" s="220"/>
      <c r="N678" s="167"/>
      <c r="O678" s="167"/>
      <c r="P678" s="166"/>
      <c r="Q678" s="166"/>
      <c r="R678" s="166"/>
      <c r="S678" s="166"/>
      <c r="T678" s="166"/>
      <c r="AE678" s="518"/>
    </row>
    <row r="679" spans="1:37" ht="24" customHeight="1">
      <c r="A679" s="263" t="s">
        <v>358</v>
      </c>
      <c r="B679" s="264"/>
      <c r="C679" s="264"/>
      <c r="D679" s="263" t="s">
        <v>841</v>
      </c>
      <c r="E679" s="264"/>
      <c r="F679" s="264"/>
      <c r="G679" s="264"/>
      <c r="H679" s="264"/>
      <c r="I679" s="264"/>
      <c r="J679" s="264"/>
      <c r="K679" s="264"/>
      <c r="L679" s="211">
        <v>205240</v>
      </c>
      <c r="M679" s="211">
        <v>212553</v>
      </c>
      <c r="N679" s="158">
        <v>221555</v>
      </c>
      <c r="O679" s="158">
        <v>221555</v>
      </c>
      <c r="P679" s="157">
        <v>233507</v>
      </c>
      <c r="Q679" s="157">
        <v>240512</v>
      </c>
      <c r="R679" s="157">
        <v>247727</v>
      </c>
      <c r="S679" s="157">
        <v>255159</v>
      </c>
      <c r="T679" s="157">
        <v>262814</v>
      </c>
      <c r="V679" s="370"/>
      <c r="W679" s="371"/>
      <c r="X679" s="371"/>
      <c r="Y679" s="371"/>
      <c r="Z679" s="148"/>
      <c r="AE679" s="518"/>
    </row>
    <row r="680" spans="1:37" ht="24" customHeight="1">
      <c r="A680" s="263" t="s">
        <v>359</v>
      </c>
      <c r="B680" s="264"/>
      <c r="C680" s="264"/>
      <c r="D680" s="263" t="s">
        <v>14</v>
      </c>
      <c r="E680" s="264"/>
      <c r="F680" s="264"/>
      <c r="G680" s="264"/>
      <c r="H680" s="264"/>
      <c r="I680" s="264"/>
      <c r="J680" s="264"/>
      <c r="K680" s="264"/>
      <c r="L680" s="211">
        <v>131</v>
      </c>
      <c r="M680" s="211">
        <v>21</v>
      </c>
      <c r="N680" s="150">
        <v>2000</v>
      </c>
      <c r="O680" s="150">
        <v>750</v>
      </c>
      <c r="P680" s="149">
        <v>1000</v>
      </c>
      <c r="Q680" s="149">
        <v>1000</v>
      </c>
      <c r="R680" s="149">
        <v>1000</v>
      </c>
      <c r="S680" s="149">
        <v>1000</v>
      </c>
      <c r="T680" s="149">
        <v>1000</v>
      </c>
      <c r="V680" s="370"/>
      <c r="W680" s="371"/>
      <c r="X680" s="371"/>
      <c r="Y680" s="371"/>
      <c r="AE680" s="518"/>
    </row>
    <row r="681" spans="1:37" ht="24" customHeight="1">
      <c r="A681" s="263" t="s">
        <v>360</v>
      </c>
      <c r="B681" s="264"/>
      <c r="C681" s="264"/>
      <c r="D681" s="263" t="s">
        <v>8</v>
      </c>
      <c r="E681" s="264"/>
      <c r="F681" s="264"/>
      <c r="G681" s="264"/>
      <c r="H681" s="264"/>
      <c r="I681" s="264"/>
      <c r="J681" s="264"/>
      <c r="K681" s="264"/>
      <c r="L681" s="211">
        <v>22403</v>
      </c>
      <c r="M681" s="211">
        <v>22899</v>
      </c>
      <c r="N681" s="158">
        <v>24405</v>
      </c>
      <c r="O681" s="158">
        <v>24405</v>
      </c>
      <c r="P681" s="157">
        <v>25054</v>
      </c>
      <c r="Q681" s="149">
        <v>26408</v>
      </c>
      <c r="R681" s="149">
        <v>27200</v>
      </c>
      <c r="S681" s="149">
        <v>28016</v>
      </c>
      <c r="T681" s="149">
        <v>28857</v>
      </c>
      <c r="V681" s="370"/>
      <c r="W681" s="371"/>
      <c r="X681" s="371"/>
      <c r="Y681" s="371"/>
      <c r="Z681" s="148"/>
      <c r="AE681" s="518"/>
    </row>
    <row r="682" spans="1:37" ht="24" customHeight="1">
      <c r="A682" s="263" t="s">
        <v>361</v>
      </c>
      <c r="B682" s="202"/>
      <c r="C682" s="202"/>
      <c r="D682" s="263" t="s">
        <v>9</v>
      </c>
      <c r="E682" s="202"/>
      <c r="F682" s="202"/>
      <c r="G682" s="202"/>
      <c r="H682" s="202"/>
      <c r="I682" s="202"/>
      <c r="J682" s="202"/>
      <c r="K682" s="202"/>
      <c r="L682" s="211">
        <v>15474</v>
      </c>
      <c r="M682" s="211">
        <v>15904</v>
      </c>
      <c r="N682" s="158">
        <v>16613</v>
      </c>
      <c r="O682" s="158">
        <v>17100</v>
      </c>
      <c r="P682" s="157">
        <v>17311</v>
      </c>
      <c r="Q682" s="157">
        <v>17830</v>
      </c>
      <c r="R682" s="157">
        <v>18365</v>
      </c>
      <c r="S682" s="157">
        <v>18916</v>
      </c>
      <c r="T682" s="157">
        <v>19483</v>
      </c>
      <c r="V682" s="370"/>
      <c r="W682" s="371"/>
      <c r="X682" s="371"/>
      <c r="Y682" s="371"/>
      <c r="AE682" s="518"/>
    </row>
    <row r="683" spans="1:37" ht="24" customHeight="1">
      <c r="A683" s="263" t="s">
        <v>524</v>
      </c>
      <c r="B683" s="202"/>
      <c r="C683" s="202"/>
      <c r="D683" s="263" t="s">
        <v>13</v>
      </c>
      <c r="E683" s="202"/>
      <c r="F683" s="202"/>
      <c r="G683" s="202"/>
      <c r="H683" s="202"/>
      <c r="I683" s="202"/>
      <c r="J683" s="202"/>
      <c r="K683" s="202"/>
      <c r="L683" s="211">
        <v>48364</v>
      </c>
      <c r="M683" s="211">
        <v>48457</v>
      </c>
      <c r="N683" s="155">
        <v>54530</v>
      </c>
      <c r="O683" s="155">
        <v>54530</v>
      </c>
      <c r="P683" s="157">
        <v>51285</v>
      </c>
      <c r="Q683" s="157">
        <v>55388</v>
      </c>
      <c r="R683" s="157">
        <v>59819</v>
      </c>
      <c r="S683" s="157">
        <v>64605</v>
      </c>
      <c r="T683" s="157">
        <v>69773</v>
      </c>
      <c r="V683" s="370"/>
      <c r="W683" s="371"/>
      <c r="X683" s="370"/>
      <c r="Y683" s="371"/>
      <c r="AA683" s="148"/>
      <c r="AE683" s="518"/>
    </row>
    <row r="684" spans="1:37" ht="24" customHeight="1">
      <c r="A684" s="263" t="s">
        <v>525</v>
      </c>
      <c r="B684" s="202"/>
      <c r="C684" s="202"/>
      <c r="D684" s="263" t="s">
        <v>173</v>
      </c>
      <c r="E684" s="202"/>
      <c r="F684" s="202"/>
      <c r="G684" s="202"/>
      <c r="H684" s="202"/>
      <c r="I684" s="202"/>
      <c r="J684" s="202"/>
      <c r="K684" s="202"/>
      <c r="L684" s="211">
        <v>409</v>
      </c>
      <c r="M684" s="211">
        <v>371</v>
      </c>
      <c r="N684" s="155">
        <v>371</v>
      </c>
      <c r="O684" s="155">
        <v>371</v>
      </c>
      <c r="P684" s="154">
        <v>273</v>
      </c>
      <c r="Q684" s="154">
        <v>276</v>
      </c>
      <c r="R684" s="154">
        <v>279</v>
      </c>
      <c r="S684" s="154">
        <v>282</v>
      </c>
      <c r="T684" s="154">
        <v>285</v>
      </c>
      <c r="V684" s="370"/>
      <c r="W684" s="371"/>
      <c r="X684" s="370"/>
      <c r="Y684" s="371"/>
      <c r="AA684" s="148"/>
      <c r="AE684" s="518"/>
    </row>
    <row r="685" spans="1:37" ht="24" customHeight="1">
      <c r="A685" s="263" t="s">
        <v>526</v>
      </c>
      <c r="B685" s="202"/>
      <c r="C685" s="202"/>
      <c r="D685" s="263" t="s">
        <v>530</v>
      </c>
      <c r="E685" s="202"/>
      <c r="F685" s="202"/>
      <c r="G685" s="202"/>
      <c r="H685" s="202"/>
      <c r="I685" s="202"/>
      <c r="J685" s="202"/>
      <c r="K685" s="202"/>
      <c r="L685" s="211">
        <v>4159</v>
      </c>
      <c r="M685" s="211">
        <v>4367</v>
      </c>
      <c r="N685" s="155">
        <v>4585</v>
      </c>
      <c r="O685" s="155">
        <v>4240</v>
      </c>
      <c r="P685" s="154">
        <v>3901</v>
      </c>
      <c r="Q685" s="154">
        <v>4096</v>
      </c>
      <c r="R685" s="154">
        <v>4301</v>
      </c>
      <c r="S685" s="154">
        <v>4516</v>
      </c>
      <c r="T685" s="154">
        <v>4742</v>
      </c>
      <c r="V685" s="370"/>
      <c r="W685" s="371"/>
      <c r="X685" s="370"/>
      <c r="Y685" s="371"/>
      <c r="AA685" s="148"/>
      <c r="AE685" s="518"/>
    </row>
    <row r="686" spans="1:37" ht="24" customHeight="1">
      <c r="A686" s="263" t="s">
        <v>538</v>
      </c>
      <c r="B686" s="202"/>
      <c r="C686" s="202"/>
      <c r="D686" s="263" t="s">
        <v>532</v>
      </c>
      <c r="E686" s="202"/>
      <c r="F686" s="202"/>
      <c r="G686" s="202"/>
      <c r="H686" s="202"/>
      <c r="I686" s="202"/>
      <c r="J686" s="202"/>
      <c r="K686" s="202"/>
      <c r="L686" s="211">
        <v>552</v>
      </c>
      <c r="M686" s="211">
        <v>552</v>
      </c>
      <c r="N686" s="155">
        <v>568</v>
      </c>
      <c r="O686" s="155">
        <v>594</v>
      </c>
      <c r="P686" s="154">
        <v>594</v>
      </c>
      <c r="Q686" s="154">
        <v>594</v>
      </c>
      <c r="R686" s="154">
        <v>594</v>
      </c>
      <c r="S686" s="154">
        <v>612</v>
      </c>
      <c r="T686" s="154">
        <v>630</v>
      </c>
      <c r="V686" s="370"/>
      <c r="W686" s="371"/>
      <c r="X686" s="370"/>
      <c r="Y686" s="371"/>
      <c r="AA686" s="148"/>
      <c r="AE686" s="518"/>
    </row>
    <row r="687" spans="1:37" ht="24" customHeight="1">
      <c r="A687" s="263" t="s">
        <v>505</v>
      </c>
      <c r="B687" s="202"/>
      <c r="C687" s="202"/>
      <c r="D687" s="263" t="s">
        <v>172</v>
      </c>
      <c r="E687" s="202"/>
      <c r="F687" s="202"/>
      <c r="G687" s="202"/>
      <c r="H687" s="202"/>
      <c r="I687" s="202"/>
      <c r="J687" s="202"/>
      <c r="K687" s="202"/>
      <c r="L687" s="211">
        <v>941</v>
      </c>
      <c r="M687" s="211">
        <v>478</v>
      </c>
      <c r="N687" s="150">
        <v>1000</v>
      </c>
      <c r="O687" s="150">
        <f>457+165</f>
        <v>622</v>
      </c>
      <c r="P687" s="149">
        <v>1000</v>
      </c>
      <c r="Q687" s="149">
        <v>1000</v>
      </c>
      <c r="R687" s="149">
        <v>1000</v>
      </c>
      <c r="S687" s="149">
        <v>1000</v>
      </c>
      <c r="T687" s="149">
        <v>1000</v>
      </c>
      <c r="AE687" s="518"/>
    </row>
    <row r="688" spans="1:37" ht="24" customHeight="1">
      <c r="A688" s="263" t="s">
        <v>503</v>
      </c>
      <c r="B688" s="202"/>
      <c r="C688" s="202"/>
      <c r="D688" s="263" t="s">
        <v>229</v>
      </c>
      <c r="E688" s="202"/>
      <c r="F688" s="202"/>
      <c r="G688" s="202"/>
      <c r="H688" s="202"/>
      <c r="I688" s="202"/>
      <c r="J688" s="202"/>
      <c r="K688" s="202"/>
      <c r="L688" s="211">
        <v>12258</v>
      </c>
      <c r="M688" s="211">
        <v>12946</v>
      </c>
      <c r="N688" s="150">
        <v>13775</v>
      </c>
      <c r="O688" s="150">
        <f>9527+(537*3)+242+2077</f>
        <v>13457</v>
      </c>
      <c r="P688" s="149">
        <f>ROUND(O688*1.06,0)</f>
        <v>14264</v>
      </c>
      <c r="Q688" s="149">
        <f>ROUND(P688*1.06,0)</f>
        <v>15120</v>
      </c>
      <c r="R688" s="149">
        <f>ROUND(Q688*1.06,0)</f>
        <v>16027</v>
      </c>
      <c r="S688" s="149">
        <f>ROUND(R688*1.06,0)</f>
        <v>16989</v>
      </c>
      <c r="T688" s="149">
        <f>ROUND(S688*1.06,0)</f>
        <v>18008</v>
      </c>
      <c r="V688" s="370"/>
      <c r="W688" s="371"/>
      <c r="X688" s="664"/>
      <c r="AE688" s="518"/>
    </row>
    <row r="689" spans="1:31" ht="24" customHeight="1">
      <c r="A689" s="669" t="s">
        <v>1296</v>
      </c>
      <c r="B689" s="670"/>
      <c r="C689" s="670"/>
      <c r="D689" s="670" t="s">
        <v>1295</v>
      </c>
      <c r="E689" s="670"/>
      <c r="F689" s="670"/>
      <c r="G689" s="670"/>
      <c r="H689" s="670"/>
      <c r="I689" s="670"/>
      <c r="J689" s="670"/>
      <c r="K689" s="670"/>
      <c r="L689" s="211">
        <v>0</v>
      </c>
      <c r="M689" s="211">
        <v>0</v>
      </c>
      <c r="N689" s="156">
        <v>38925</v>
      </c>
      <c r="O689" s="156">
        <v>38925</v>
      </c>
      <c r="P689" s="153">
        <v>40176</v>
      </c>
      <c r="Q689" s="153">
        <f>ROUND(P689*(1+$Y$59),0)</f>
        <v>40176</v>
      </c>
      <c r="R689" s="153">
        <f>ROUND(Q689*(1+$Y$60),0)</f>
        <v>40176</v>
      </c>
      <c r="S689" s="153">
        <f>ROUND(R689*(1+$Y$61),0)</f>
        <v>40176</v>
      </c>
      <c r="T689" s="153">
        <f>ROUND(S689*(1+$Y$62),0)</f>
        <v>40176</v>
      </c>
      <c r="V689" s="370"/>
      <c r="W689" s="371"/>
      <c r="X689" s="664"/>
      <c r="AE689" s="518"/>
    </row>
    <row r="690" spans="1:31" ht="24" customHeight="1">
      <c r="A690" s="263" t="s">
        <v>802</v>
      </c>
      <c r="B690" s="202"/>
      <c r="C690" s="202"/>
      <c r="D690" s="202" t="s">
        <v>798</v>
      </c>
      <c r="E690" s="202"/>
      <c r="F690" s="202"/>
      <c r="G690" s="202"/>
      <c r="H690" s="202"/>
      <c r="I690" s="202"/>
      <c r="J690" s="202"/>
      <c r="K690" s="202"/>
      <c r="L690" s="211">
        <v>76600</v>
      </c>
      <c r="M690" s="211">
        <v>104700</v>
      </c>
      <c r="N690" s="150">
        <f t="shared" ref="N690:T690" si="72">N664</f>
        <v>0</v>
      </c>
      <c r="O690" s="150">
        <f t="shared" si="72"/>
        <v>0</v>
      </c>
      <c r="P690" s="149">
        <f t="shared" si="72"/>
        <v>0</v>
      </c>
      <c r="Q690" s="149">
        <f t="shared" si="72"/>
        <v>0</v>
      </c>
      <c r="R690" s="149">
        <f t="shared" si="72"/>
        <v>0</v>
      </c>
      <c r="S690" s="149">
        <f t="shared" si="72"/>
        <v>0</v>
      </c>
      <c r="T690" s="149">
        <f t="shared" si="72"/>
        <v>0</v>
      </c>
      <c r="V690" s="148"/>
      <c r="AE690" s="518"/>
    </row>
    <row r="691" spans="1:31" ht="24" customHeight="1">
      <c r="A691" s="578" t="s">
        <v>1214</v>
      </c>
      <c r="B691" s="577"/>
      <c r="C691" s="577"/>
      <c r="D691" s="577" t="s">
        <v>1215</v>
      </c>
      <c r="E691" s="577"/>
      <c r="F691" s="577"/>
      <c r="G691" s="577"/>
      <c r="H691" s="577"/>
      <c r="I691" s="577"/>
      <c r="J691" s="577"/>
      <c r="K691" s="577"/>
      <c r="L691" s="211">
        <v>750</v>
      </c>
      <c r="M691" s="211">
        <v>692</v>
      </c>
      <c r="N691" s="156">
        <v>0</v>
      </c>
      <c r="O691" s="156">
        <v>0</v>
      </c>
      <c r="P691" s="153">
        <v>0</v>
      </c>
      <c r="Q691" s="153">
        <v>0</v>
      </c>
      <c r="R691" s="153">
        <v>0</v>
      </c>
      <c r="S691" s="153">
        <v>0</v>
      </c>
      <c r="T691" s="153">
        <v>0</v>
      </c>
      <c r="V691" s="148"/>
      <c r="AE691" s="518"/>
    </row>
    <row r="692" spans="1:31" ht="24" customHeight="1">
      <c r="A692" s="263" t="s">
        <v>362</v>
      </c>
      <c r="B692" s="264"/>
      <c r="C692" s="264"/>
      <c r="D692" s="545" t="s">
        <v>91</v>
      </c>
      <c r="E692" s="544"/>
      <c r="F692" s="544"/>
      <c r="G692" s="544"/>
      <c r="H692" s="544"/>
      <c r="I692" s="544"/>
      <c r="J692" s="544"/>
      <c r="K692" s="544"/>
      <c r="L692" s="211">
        <v>1515</v>
      </c>
      <c r="M692" s="211">
        <v>1703</v>
      </c>
      <c r="N692" s="147">
        <v>3300</v>
      </c>
      <c r="O692" s="147">
        <v>3300</v>
      </c>
      <c r="P692" s="146">
        <v>2500</v>
      </c>
      <c r="Q692" s="146">
        <v>2500</v>
      </c>
      <c r="R692" s="146">
        <v>2500</v>
      </c>
      <c r="S692" s="146">
        <v>2500</v>
      </c>
      <c r="T692" s="146">
        <v>2500</v>
      </c>
      <c r="AE692" s="518"/>
    </row>
    <row r="693" spans="1:31" ht="24" customHeight="1">
      <c r="A693" s="263" t="s">
        <v>363</v>
      </c>
      <c r="B693" s="202"/>
      <c r="C693" s="202"/>
      <c r="D693" s="263" t="s">
        <v>960</v>
      </c>
      <c r="E693" s="202"/>
      <c r="F693" s="202"/>
      <c r="G693" s="264"/>
      <c r="H693" s="264"/>
      <c r="I693" s="264"/>
      <c r="J693" s="264"/>
      <c r="K693" s="264"/>
      <c r="L693" s="211">
        <v>1232</v>
      </c>
      <c r="M693" s="211">
        <v>2681</v>
      </c>
      <c r="N693" s="150">
        <v>2000</v>
      </c>
      <c r="O693" s="150">
        <v>2000</v>
      </c>
      <c r="P693" s="149">
        <v>2000</v>
      </c>
      <c r="Q693" s="149">
        <v>2000</v>
      </c>
      <c r="R693" s="149">
        <v>2000</v>
      </c>
      <c r="S693" s="149">
        <v>2000</v>
      </c>
      <c r="T693" s="149">
        <v>2000</v>
      </c>
      <c r="AE693" s="518"/>
    </row>
    <row r="694" spans="1:31" ht="24" customHeight="1">
      <c r="A694" s="727" t="s">
        <v>1364</v>
      </c>
      <c r="B694" s="726"/>
      <c r="C694" s="726"/>
      <c r="D694" s="1" t="s">
        <v>1358</v>
      </c>
      <c r="E694" s="726"/>
      <c r="F694" s="726"/>
      <c r="G694" s="726"/>
      <c r="H694" s="726"/>
      <c r="I694" s="726"/>
      <c r="J694" s="726"/>
      <c r="K694" s="726"/>
      <c r="L694" s="215">
        <v>0</v>
      </c>
      <c r="M694" s="215">
        <v>0</v>
      </c>
      <c r="N694" s="158">
        <v>0</v>
      </c>
      <c r="O694" s="158">
        <v>0</v>
      </c>
      <c r="P694" s="157">
        <v>263</v>
      </c>
      <c r="Q694" s="157">
        <v>0</v>
      </c>
      <c r="R694" s="157">
        <v>2257</v>
      </c>
      <c r="S694" s="157">
        <v>1944</v>
      </c>
      <c r="T694" s="157">
        <v>319</v>
      </c>
      <c r="AE694" s="518"/>
    </row>
    <row r="695" spans="1:31" ht="24" customHeight="1">
      <c r="A695" s="263" t="s">
        <v>618</v>
      </c>
      <c r="B695" s="202"/>
      <c r="C695" s="202"/>
      <c r="D695" s="263" t="s">
        <v>961</v>
      </c>
      <c r="E695" s="202"/>
      <c r="F695" s="202"/>
      <c r="G695" s="264"/>
      <c r="H695" s="264"/>
      <c r="I695" s="264"/>
      <c r="J695" s="264"/>
      <c r="K695" s="264"/>
      <c r="L695" s="211">
        <v>1265</v>
      </c>
      <c r="M695" s="211">
        <v>1133</v>
      </c>
      <c r="N695" s="150">
        <v>1500</v>
      </c>
      <c r="O695" s="150">
        <v>1500</v>
      </c>
      <c r="P695" s="149">
        <v>1500</v>
      </c>
      <c r="Q695" s="149">
        <v>1500</v>
      </c>
      <c r="R695" s="149">
        <v>1500</v>
      </c>
      <c r="S695" s="149">
        <v>1500</v>
      </c>
      <c r="T695" s="149">
        <v>1500</v>
      </c>
      <c r="AE695" s="518"/>
    </row>
    <row r="696" spans="1:31" ht="24" customHeight="1">
      <c r="A696" s="263" t="s">
        <v>364</v>
      </c>
      <c r="B696" s="202"/>
      <c r="C696" s="202"/>
      <c r="D696" s="263" t="s">
        <v>224</v>
      </c>
      <c r="E696" s="202"/>
      <c r="F696" s="264"/>
      <c r="G696" s="202"/>
      <c r="H696" s="202"/>
      <c r="I696" s="202"/>
      <c r="J696" s="202"/>
      <c r="K696" s="202"/>
      <c r="L696" s="211">
        <v>2398</v>
      </c>
      <c r="M696" s="211">
        <v>2411</v>
      </c>
      <c r="N696" s="150">
        <v>2500</v>
      </c>
      <c r="O696" s="150">
        <v>8800</v>
      </c>
      <c r="P696" s="149">
        <v>9000</v>
      </c>
      <c r="Q696" s="149">
        <v>9000</v>
      </c>
      <c r="R696" s="149">
        <v>9000</v>
      </c>
      <c r="S696" s="149">
        <v>9000</v>
      </c>
      <c r="T696" s="149">
        <v>9000</v>
      </c>
      <c r="V696" s="152"/>
      <c r="AE696" s="518"/>
    </row>
    <row r="697" spans="1:31" ht="24" customHeight="1">
      <c r="A697" s="263" t="s">
        <v>645</v>
      </c>
      <c r="B697" s="202"/>
      <c r="C697" s="202"/>
      <c r="D697" s="263" t="s">
        <v>646</v>
      </c>
      <c r="E697" s="327"/>
      <c r="F697" s="326"/>
      <c r="G697" s="327"/>
      <c r="H697" s="327"/>
      <c r="I697" s="327"/>
      <c r="J697" s="327"/>
      <c r="K697" s="327"/>
      <c r="L697" s="211">
        <v>5898</v>
      </c>
      <c r="M697" s="211">
        <v>648</v>
      </c>
      <c r="N697" s="150">
        <v>30000</v>
      </c>
      <c r="O697" s="150">
        <f>10000+20000</f>
        <v>30000</v>
      </c>
      <c r="P697" s="149">
        <v>10000</v>
      </c>
      <c r="Q697" s="149">
        <v>10000</v>
      </c>
      <c r="R697" s="149">
        <v>10000</v>
      </c>
      <c r="S697" s="149">
        <v>10000</v>
      </c>
      <c r="T697" s="149">
        <v>10000</v>
      </c>
      <c r="V697" s="151"/>
      <c r="AE697" s="518"/>
    </row>
    <row r="698" spans="1:31" ht="24" customHeight="1">
      <c r="A698" s="263" t="s">
        <v>365</v>
      </c>
      <c r="B698" s="202"/>
      <c r="C698" s="202"/>
      <c r="D698" s="263" t="s">
        <v>10</v>
      </c>
      <c r="E698" s="455"/>
      <c r="F698" s="455"/>
      <c r="G698" s="454"/>
      <c r="H698" s="454"/>
      <c r="I698" s="454"/>
      <c r="J698" s="454"/>
      <c r="K698" s="454"/>
      <c r="L698" s="211">
        <v>8615</v>
      </c>
      <c r="M698" s="211">
        <v>14772</v>
      </c>
      <c r="N698" s="147">
        <v>16000</v>
      </c>
      <c r="O698" s="147">
        <v>18000</v>
      </c>
      <c r="P698" s="146">
        <v>18000</v>
      </c>
      <c r="Q698" s="146">
        <v>18000</v>
      </c>
      <c r="R698" s="146">
        <v>18000</v>
      </c>
      <c r="S698" s="146">
        <v>18000</v>
      </c>
      <c r="T698" s="146">
        <v>18000</v>
      </c>
      <c r="AE698" s="518"/>
    </row>
    <row r="699" spans="1:31" ht="24" customHeight="1">
      <c r="A699" s="263" t="s">
        <v>366</v>
      </c>
      <c r="B699" s="264"/>
      <c r="C699" s="264"/>
      <c r="D699" s="263" t="s">
        <v>17</v>
      </c>
      <c r="E699" s="319"/>
      <c r="F699" s="319"/>
      <c r="G699" s="319"/>
      <c r="H699" s="319"/>
      <c r="I699" s="319"/>
      <c r="J699" s="319"/>
      <c r="K699" s="319"/>
      <c r="L699" s="212">
        <v>19100</v>
      </c>
      <c r="M699" s="212">
        <v>17660</v>
      </c>
      <c r="N699" s="150">
        <v>22260</v>
      </c>
      <c r="O699" s="150">
        <v>20000</v>
      </c>
      <c r="P699" s="149">
        <f>ROUND(O699*1.06,0)</f>
        <v>21200</v>
      </c>
      <c r="Q699" s="149">
        <f>ROUND(P699*1.06,0)</f>
        <v>22472</v>
      </c>
      <c r="R699" s="149">
        <f>ROUND(Q699*1.06,0)</f>
        <v>23820</v>
      </c>
      <c r="S699" s="149">
        <f>ROUND(R699*1.06,0)</f>
        <v>25249</v>
      </c>
      <c r="T699" s="149">
        <f>ROUND(S699*1.06,0)</f>
        <v>26764</v>
      </c>
      <c r="V699" s="151"/>
      <c r="AE699" s="518"/>
    </row>
    <row r="700" spans="1:31" ht="24" customHeight="1">
      <c r="A700" s="715" t="s">
        <v>1349</v>
      </c>
      <c r="B700" s="714"/>
      <c r="C700" s="714"/>
      <c r="D700" s="715" t="s">
        <v>321</v>
      </c>
      <c r="E700" s="714"/>
      <c r="F700" s="714"/>
      <c r="G700" s="714"/>
      <c r="H700" s="714"/>
      <c r="I700" s="714"/>
      <c r="J700" s="714"/>
      <c r="K700" s="714"/>
      <c r="L700" s="232">
        <v>0</v>
      </c>
      <c r="M700" s="232">
        <v>0</v>
      </c>
      <c r="N700" s="184">
        <v>0</v>
      </c>
      <c r="O700" s="184">
        <v>0</v>
      </c>
      <c r="P700" s="183">
        <f>ROUND(9000/3,0)</f>
        <v>3000</v>
      </c>
      <c r="Q700" s="183">
        <f>ROUND(9000/3,0)</f>
        <v>3000</v>
      </c>
      <c r="R700" s="183">
        <f>ROUND(9000/3,0)</f>
        <v>3000</v>
      </c>
      <c r="S700" s="183">
        <f>ROUND(9000/3,0)</f>
        <v>3000</v>
      </c>
      <c r="T700" s="183">
        <f>ROUND(9000/3,0)</f>
        <v>3000</v>
      </c>
      <c r="V700" s="151"/>
      <c r="AE700" s="518"/>
    </row>
    <row r="701" spans="1:31" ht="24" customHeight="1">
      <c r="A701" s="263" t="s">
        <v>367</v>
      </c>
      <c r="B701" s="264"/>
      <c r="C701" s="264"/>
      <c r="D701" s="263" t="s">
        <v>86</v>
      </c>
      <c r="E701" s="264"/>
      <c r="F701" s="264"/>
      <c r="G701" s="202"/>
      <c r="H701" s="202"/>
      <c r="I701" s="202"/>
      <c r="J701" s="202"/>
      <c r="K701" s="202"/>
      <c r="L701" s="232">
        <v>766</v>
      </c>
      <c r="M701" s="232">
        <v>423</v>
      </c>
      <c r="N701" s="184">
        <v>1000</v>
      </c>
      <c r="O701" s="184">
        <v>1000</v>
      </c>
      <c r="P701" s="183">
        <v>1000</v>
      </c>
      <c r="Q701" s="183">
        <v>1000</v>
      </c>
      <c r="R701" s="183">
        <v>1000</v>
      </c>
      <c r="S701" s="183">
        <v>1000</v>
      </c>
      <c r="T701" s="183">
        <v>1000</v>
      </c>
      <c r="AE701" s="518"/>
    </row>
    <row r="702" spans="1:31" ht="24" customHeight="1">
      <c r="A702" s="616" t="s">
        <v>1248</v>
      </c>
      <c r="B702" s="617"/>
      <c r="C702" s="617"/>
      <c r="D702" s="704" t="s">
        <v>87</v>
      </c>
      <c r="E702" s="703"/>
      <c r="F702" s="703"/>
      <c r="G702" s="703"/>
      <c r="H702" s="703"/>
      <c r="I702" s="703"/>
      <c r="J702" s="617"/>
      <c r="K702" s="617"/>
      <c r="L702" s="215">
        <v>0</v>
      </c>
      <c r="M702" s="215">
        <v>0</v>
      </c>
      <c r="N702" s="158">
        <v>4167</v>
      </c>
      <c r="O702" s="158">
        <f>ROUND(60.79*12,0)</f>
        <v>729</v>
      </c>
      <c r="P702" s="157">
        <f>ROUND(O702*1.03,0)</f>
        <v>751</v>
      </c>
      <c r="Q702" s="157">
        <f>ROUND(P702*1.03,0)</f>
        <v>774</v>
      </c>
      <c r="R702" s="157">
        <f>ROUND(Q702*1.03,0)</f>
        <v>797</v>
      </c>
      <c r="S702" s="157">
        <f>ROUND(R702*1.03,0)</f>
        <v>821</v>
      </c>
      <c r="T702" s="157">
        <f>ROUND(S702*1.03,0)</f>
        <v>846</v>
      </c>
      <c r="AE702" s="518"/>
    </row>
    <row r="703" spans="1:31" ht="24" customHeight="1">
      <c r="A703" s="263" t="s">
        <v>899</v>
      </c>
      <c r="B703" s="264"/>
      <c r="C703" s="264"/>
      <c r="D703" s="263" t="s">
        <v>894</v>
      </c>
      <c r="E703" s="264"/>
      <c r="F703" s="264"/>
      <c r="G703" s="264"/>
      <c r="H703" s="264"/>
      <c r="I703" s="264"/>
      <c r="J703" s="264"/>
      <c r="K703" s="264"/>
      <c r="L703" s="228">
        <v>5437</v>
      </c>
      <c r="M703" s="228">
        <v>8549</v>
      </c>
      <c r="N703" s="185">
        <v>10000</v>
      </c>
      <c r="O703" s="185">
        <v>10000</v>
      </c>
      <c r="P703" s="177">
        <v>10000</v>
      </c>
      <c r="Q703" s="177">
        <v>10000</v>
      </c>
      <c r="R703" s="177">
        <v>10000</v>
      </c>
      <c r="S703" s="177">
        <v>10000</v>
      </c>
      <c r="T703" s="177">
        <v>10000</v>
      </c>
      <c r="V703" s="148"/>
      <c r="AE703" s="518"/>
    </row>
    <row r="704" spans="1:31" ht="24" customHeight="1">
      <c r="A704" s="263" t="s">
        <v>989</v>
      </c>
      <c r="B704" s="314"/>
      <c r="C704" s="314"/>
      <c r="D704" s="263" t="s">
        <v>987</v>
      </c>
      <c r="E704" s="430"/>
      <c r="F704" s="430"/>
      <c r="G704" s="430"/>
      <c r="H704" s="430"/>
      <c r="I704" s="430"/>
      <c r="J704" s="430"/>
      <c r="K704" s="430"/>
      <c r="L704" s="228">
        <v>51366</v>
      </c>
      <c r="M704" s="228">
        <v>11924</v>
      </c>
      <c r="N704" s="185">
        <v>16000</v>
      </c>
      <c r="O704" s="185">
        <v>16000</v>
      </c>
      <c r="P704" s="177">
        <v>16000</v>
      </c>
      <c r="Q704" s="177">
        <v>16000</v>
      </c>
      <c r="R704" s="177">
        <v>16000</v>
      </c>
      <c r="S704" s="177">
        <v>16000</v>
      </c>
      <c r="T704" s="177">
        <v>16000</v>
      </c>
      <c r="V704" s="148"/>
      <c r="AE704" s="518"/>
    </row>
    <row r="705" spans="1:31" ht="24" customHeight="1">
      <c r="A705" s="263" t="s">
        <v>629</v>
      </c>
      <c r="B705" s="264"/>
      <c r="C705" s="264"/>
      <c r="D705" s="263" t="s">
        <v>290</v>
      </c>
      <c r="E705" s="413"/>
      <c r="F705" s="413"/>
      <c r="G705" s="413"/>
      <c r="H705" s="413"/>
      <c r="I705" s="413"/>
      <c r="J705" s="413"/>
      <c r="K705" s="413"/>
      <c r="L705" s="228">
        <v>1277</v>
      </c>
      <c r="M705" s="228">
        <v>1542</v>
      </c>
      <c r="N705" s="185">
        <v>2980</v>
      </c>
      <c r="O705" s="185">
        <v>1277</v>
      </c>
      <c r="P705" s="177">
        <v>1500</v>
      </c>
      <c r="Q705" s="177">
        <v>750</v>
      </c>
      <c r="R705" s="177">
        <v>750</v>
      </c>
      <c r="S705" s="177">
        <v>750</v>
      </c>
      <c r="T705" s="177">
        <v>750</v>
      </c>
      <c r="AE705" s="518"/>
    </row>
    <row r="706" spans="1:31" ht="24" customHeight="1">
      <c r="A706" s="263" t="s">
        <v>628</v>
      </c>
      <c r="B706" s="264"/>
      <c r="C706" s="264"/>
      <c r="D706" s="263" t="s">
        <v>18</v>
      </c>
      <c r="E706" s="264"/>
      <c r="F706" s="264"/>
      <c r="G706" s="264"/>
      <c r="H706" s="264"/>
      <c r="I706" s="264"/>
      <c r="J706" s="264"/>
      <c r="K706" s="264"/>
      <c r="L706" s="211">
        <v>1497</v>
      </c>
      <c r="M706" s="211">
        <v>1993</v>
      </c>
      <c r="N706" s="150">
        <v>2250</v>
      </c>
      <c r="O706" s="150">
        <v>2250</v>
      </c>
      <c r="P706" s="149">
        <v>2250</v>
      </c>
      <c r="Q706" s="149">
        <v>2250</v>
      </c>
      <c r="R706" s="149">
        <v>2250</v>
      </c>
      <c r="S706" s="149">
        <v>2250</v>
      </c>
      <c r="T706" s="149">
        <v>2250</v>
      </c>
      <c r="AE706" s="518"/>
    </row>
    <row r="707" spans="1:31" ht="24" customHeight="1">
      <c r="A707" s="263" t="s">
        <v>368</v>
      </c>
      <c r="B707" s="264"/>
      <c r="C707" s="264"/>
      <c r="D707" s="780" t="s">
        <v>94</v>
      </c>
      <c r="E707" s="264"/>
      <c r="F707" s="264"/>
      <c r="G707" s="264"/>
      <c r="H707" s="264"/>
      <c r="I707" s="264"/>
      <c r="J707" s="264"/>
      <c r="K707" s="264"/>
      <c r="L707" s="211">
        <v>3441</v>
      </c>
      <c r="M707" s="211">
        <v>2791</v>
      </c>
      <c r="N707" s="147">
        <v>3308</v>
      </c>
      <c r="O707" s="147">
        <v>3308</v>
      </c>
      <c r="P707" s="146">
        <f>ROUND((2*500)+(60*3)+1000+(25*52)+500,0)</f>
        <v>3980</v>
      </c>
      <c r="Q707" s="146">
        <f>ROUND((2*500)+(60*3)+1000+(25*52)+500,0)</f>
        <v>3980</v>
      </c>
      <c r="R707" s="146">
        <f>ROUND((2*500)+(60*3)+1000+(25*52)+500,0)</f>
        <v>3980</v>
      </c>
      <c r="S707" s="146">
        <f>ROUND((2*500)+(60*3)+1000+(25*52)+500,0)</f>
        <v>3980</v>
      </c>
      <c r="T707" s="146">
        <f>ROUND((2*500)+(60*3)+1000+(25*52)+500,0)</f>
        <v>3980</v>
      </c>
      <c r="V707" s="148"/>
      <c r="AE707" s="518"/>
    </row>
    <row r="708" spans="1:31" ht="24" customHeight="1">
      <c r="A708" s="263" t="s">
        <v>369</v>
      </c>
      <c r="B708" s="264"/>
      <c r="C708" s="264"/>
      <c r="D708" s="263" t="s">
        <v>11</v>
      </c>
      <c r="E708" s="314"/>
      <c r="F708" s="314"/>
      <c r="G708" s="314"/>
      <c r="H708" s="314"/>
      <c r="I708" s="314"/>
      <c r="J708" s="314"/>
      <c r="K708" s="314"/>
      <c r="L708" s="211">
        <v>569</v>
      </c>
      <c r="M708" s="211">
        <v>465</v>
      </c>
      <c r="N708" s="150">
        <v>1000</v>
      </c>
      <c r="O708" s="150">
        <v>1000</v>
      </c>
      <c r="P708" s="149">
        <v>1000</v>
      </c>
      <c r="Q708" s="149">
        <v>1000</v>
      </c>
      <c r="R708" s="149">
        <v>1000</v>
      </c>
      <c r="S708" s="149">
        <v>1000</v>
      </c>
      <c r="T708" s="149">
        <v>1000</v>
      </c>
      <c r="AE708" s="518"/>
    </row>
    <row r="709" spans="1:31" ht="24" customHeight="1">
      <c r="A709" s="263" t="s">
        <v>370</v>
      </c>
      <c r="B709" s="264"/>
      <c r="C709" s="264"/>
      <c r="D709" s="263" t="s">
        <v>371</v>
      </c>
      <c r="E709" s="326"/>
      <c r="F709" s="326"/>
      <c r="G709" s="326"/>
      <c r="H709" s="326"/>
      <c r="I709" s="326"/>
      <c r="J709" s="326"/>
      <c r="K709" s="326"/>
      <c r="L709" s="212">
        <v>5584</v>
      </c>
      <c r="M709" s="212">
        <v>3604</v>
      </c>
      <c r="N709" s="147">
        <v>8000</v>
      </c>
      <c r="O709" s="147">
        <v>8000</v>
      </c>
      <c r="P709" s="146">
        <v>8000</v>
      </c>
      <c r="Q709" s="146">
        <v>8000</v>
      </c>
      <c r="R709" s="146">
        <v>8000</v>
      </c>
      <c r="S709" s="146">
        <v>8000</v>
      </c>
      <c r="T709" s="146">
        <v>8000</v>
      </c>
      <c r="V709" s="151"/>
      <c r="AE709" s="518"/>
    </row>
    <row r="710" spans="1:31" ht="24" customHeight="1">
      <c r="A710" s="263" t="s">
        <v>372</v>
      </c>
      <c r="B710" s="264"/>
      <c r="C710" s="264"/>
      <c r="D710" s="263" t="s">
        <v>12</v>
      </c>
      <c r="E710" s="314"/>
      <c r="F710" s="314"/>
      <c r="G710" s="314"/>
      <c r="H710" s="314"/>
      <c r="I710" s="314"/>
      <c r="J710" s="314"/>
      <c r="K710" s="264"/>
      <c r="L710" s="211">
        <v>6621</v>
      </c>
      <c r="M710" s="211">
        <v>5868</v>
      </c>
      <c r="N710" s="150">
        <v>5500</v>
      </c>
      <c r="O710" s="150">
        <v>5500</v>
      </c>
      <c r="P710" s="149">
        <f>6000+500</f>
        <v>6500</v>
      </c>
      <c r="Q710" s="149">
        <v>6000</v>
      </c>
      <c r="R710" s="149">
        <v>6000</v>
      </c>
      <c r="S710" s="149">
        <v>6000</v>
      </c>
      <c r="T710" s="149">
        <v>6000</v>
      </c>
      <c r="AE710" s="518"/>
    </row>
    <row r="711" spans="1:31" ht="24" customHeight="1">
      <c r="A711" s="263" t="s">
        <v>900</v>
      </c>
      <c r="B711" s="264"/>
      <c r="C711" s="264"/>
      <c r="D711" s="263" t="s">
        <v>896</v>
      </c>
      <c r="E711" s="264"/>
      <c r="F711" s="264"/>
      <c r="G711" s="264"/>
      <c r="H711" s="264"/>
      <c r="I711" s="264"/>
      <c r="J711" s="264"/>
      <c r="K711" s="264"/>
      <c r="L711" s="211">
        <v>2697</v>
      </c>
      <c r="M711" s="211">
        <v>3590</v>
      </c>
      <c r="N711" s="150">
        <v>2000</v>
      </c>
      <c r="O711" s="150">
        <v>2000</v>
      </c>
      <c r="P711" s="149">
        <v>2000</v>
      </c>
      <c r="Q711" s="149">
        <v>2000</v>
      </c>
      <c r="R711" s="149">
        <v>2000</v>
      </c>
      <c r="S711" s="149">
        <v>2000</v>
      </c>
      <c r="T711" s="149">
        <v>2000</v>
      </c>
      <c r="U711" s="309"/>
      <c r="V711" s="407"/>
      <c r="W711" s="407"/>
      <c r="X711" s="407"/>
      <c r="Z711" s="867"/>
      <c r="AA711" s="867"/>
      <c r="AE711" s="518"/>
    </row>
    <row r="712" spans="1:31" ht="24" customHeight="1">
      <c r="A712" s="263" t="s">
        <v>373</v>
      </c>
      <c r="B712" s="264"/>
      <c r="C712" s="264"/>
      <c r="D712" s="263" t="s">
        <v>16</v>
      </c>
      <c r="E712" s="264"/>
      <c r="F712" s="264"/>
      <c r="G712" s="264"/>
      <c r="H712" s="264"/>
      <c r="I712" s="264"/>
      <c r="J712" s="264"/>
      <c r="K712" s="264"/>
      <c r="L712" s="211">
        <v>1848</v>
      </c>
      <c r="M712" s="211">
        <v>3658</v>
      </c>
      <c r="N712" s="150">
        <v>2500</v>
      </c>
      <c r="O712" s="150">
        <v>1000</v>
      </c>
      <c r="P712" s="149">
        <v>2000</v>
      </c>
      <c r="Q712" s="149">
        <v>2000</v>
      </c>
      <c r="R712" s="149">
        <v>2000</v>
      </c>
      <c r="S712" s="149">
        <v>2000</v>
      </c>
      <c r="T712" s="149">
        <v>2000</v>
      </c>
      <c r="U712" s="309"/>
      <c r="V712" s="867"/>
      <c r="W712" s="403"/>
      <c r="X712" s="847"/>
      <c r="Z712" s="867"/>
      <c r="AA712" s="869"/>
      <c r="AE712" s="518"/>
    </row>
    <row r="713" spans="1:31" ht="24" customHeight="1">
      <c r="A713" s="263" t="s">
        <v>374</v>
      </c>
      <c r="B713" s="264"/>
      <c r="C713" s="264"/>
      <c r="D713" s="263" t="s">
        <v>233</v>
      </c>
      <c r="E713" s="264"/>
      <c r="F713" s="264"/>
      <c r="G713" s="280"/>
      <c r="H713" s="280"/>
      <c r="I713" s="280"/>
      <c r="J713" s="280"/>
      <c r="K713" s="280"/>
      <c r="L713" s="211">
        <v>0</v>
      </c>
      <c r="M713" s="211">
        <v>1270</v>
      </c>
      <c r="N713" s="150">
        <v>1200</v>
      </c>
      <c r="O713" s="150">
        <v>0</v>
      </c>
      <c r="P713" s="149">
        <v>0</v>
      </c>
      <c r="Q713" s="149">
        <v>0</v>
      </c>
      <c r="R713" s="149">
        <v>0</v>
      </c>
      <c r="S713" s="149">
        <v>0</v>
      </c>
      <c r="T713" s="149">
        <v>0</v>
      </c>
      <c r="V713" s="867"/>
      <c r="W713" s="403"/>
      <c r="X713" s="847"/>
      <c r="AE713" s="518"/>
    </row>
    <row r="714" spans="1:31" ht="24" customHeight="1">
      <c r="A714" s="263" t="s">
        <v>375</v>
      </c>
      <c r="B714" s="264"/>
      <c r="C714" s="264"/>
      <c r="D714" s="263" t="s">
        <v>963</v>
      </c>
      <c r="E714" s="326"/>
      <c r="F714" s="326"/>
      <c r="G714" s="326"/>
      <c r="H714" s="326"/>
      <c r="I714" s="326"/>
      <c r="J714" s="326"/>
      <c r="K714" s="326"/>
      <c r="L714" s="209">
        <v>4290</v>
      </c>
      <c r="M714" s="209">
        <v>3708</v>
      </c>
      <c r="N714" s="147">
        <v>10000</v>
      </c>
      <c r="O714" s="147">
        <v>5000</v>
      </c>
      <c r="P714" s="146">
        <v>5000</v>
      </c>
      <c r="Q714" s="146">
        <v>5000</v>
      </c>
      <c r="R714" s="146">
        <v>5000</v>
      </c>
      <c r="S714" s="146">
        <v>5000</v>
      </c>
      <c r="T714" s="146">
        <v>5000</v>
      </c>
      <c r="AE714" s="518"/>
    </row>
    <row r="715" spans="1:31" ht="24" customHeight="1">
      <c r="A715" s="715" t="s">
        <v>1351</v>
      </c>
      <c r="B715" s="714"/>
      <c r="C715" s="714"/>
      <c r="D715" s="715" t="s">
        <v>995</v>
      </c>
      <c r="E715" s="714"/>
      <c r="F715" s="714"/>
      <c r="G715" s="714"/>
      <c r="H715" s="714"/>
      <c r="I715" s="714"/>
      <c r="J715" s="714"/>
      <c r="K715" s="714"/>
      <c r="L715" s="212">
        <v>0</v>
      </c>
      <c r="M715" s="212">
        <v>0</v>
      </c>
      <c r="N715" s="156">
        <v>0</v>
      </c>
      <c r="O715" s="156">
        <v>0</v>
      </c>
      <c r="P715" s="183">
        <f>ROUND(3600/3,0)</f>
        <v>1200</v>
      </c>
      <c r="Q715" s="183">
        <f>ROUND(3600/3,0)</f>
        <v>1200</v>
      </c>
      <c r="R715" s="183">
        <f>ROUND(3600/3,0)</f>
        <v>1200</v>
      </c>
      <c r="S715" s="183">
        <f>ROUND(3600/3,0)</f>
        <v>1200</v>
      </c>
      <c r="T715" s="183">
        <f>ROUND(3600/3,0)</f>
        <v>1200</v>
      </c>
      <c r="AE715" s="518"/>
    </row>
    <row r="716" spans="1:31" ht="24" customHeight="1">
      <c r="A716" s="263" t="s">
        <v>376</v>
      </c>
      <c r="B716" s="264"/>
      <c r="C716" s="264"/>
      <c r="D716" s="777" t="s">
        <v>136</v>
      </c>
      <c r="E716" s="541"/>
      <c r="F716" s="541"/>
      <c r="G716" s="541"/>
      <c r="H716" s="541"/>
      <c r="I716" s="541"/>
      <c r="J716" s="541"/>
      <c r="K716" s="541"/>
      <c r="L716" s="212">
        <v>13874</v>
      </c>
      <c r="M716" s="212">
        <v>13958</v>
      </c>
      <c r="N716" s="156">
        <v>21400</v>
      </c>
      <c r="O716" s="156">
        <v>20000</v>
      </c>
      <c r="P716" s="153">
        <f>ROUND(O716*1.07,0)</f>
        <v>21400</v>
      </c>
      <c r="Q716" s="149">
        <f>ROUND(P716*1.05,0)</f>
        <v>22470</v>
      </c>
      <c r="R716" s="149">
        <f>ROUND(Q716*1.05,0)</f>
        <v>23594</v>
      </c>
      <c r="S716" s="149">
        <f>ROUND(R716*1.05,0)</f>
        <v>24774</v>
      </c>
      <c r="T716" s="149">
        <f>ROUND(S716*1.05,0)</f>
        <v>26013</v>
      </c>
      <c r="V716" s="151"/>
      <c r="AE716" s="518"/>
    </row>
    <row r="717" spans="1:31" ht="24" customHeight="1">
      <c r="A717" s="815" t="s">
        <v>1402</v>
      </c>
      <c r="B717" s="814"/>
      <c r="C717" s="814"/>
      <c r="D717" s="816" t="s">
        <v>1403</v>
      </c>
      <c r="E717" s="814"/>
      <c r="F717" s="814"/>
      <c r="G717" s="814"/>
      <c r="H717" s="814"/>
      <c r="I717" s="814"/>
      <c r="J717" s="814"/>
      <c r="K717" s="814"/>
      <c r="L717" s="212">
        <v>0</v>
      </c>
      <c r="M717" s="212">
        <v>0</v>
      </c>
      <c r="N717" s="156">
        <v>0</v>
      </c>
      <c r="O717" s="156">
        <v>0</v>
      </c>
      <c r="P717" s="153">
        <v>0</v>
      </c>
      <c r="Q717" s="153">
        <v>0</v>
      </c>
      <c r="R717" s="153">
        <v>0</v>
      </c>
      <c r="S717" s="153">
        <v>205000</v>
      </c>
      <c r="T717" s="153">
        <v>0</v>
      </c>
      <c r="V717" s="151"/>
      <c r="AE717" s="518"/>
    </row>
    <row r="718" spans="1:31" ht="24" customHeight="1">
      <c r="A718" s="754" t="s">
        <v>974</v>
      </c>
      <c r="B718" s="753"/>
      <c r="C718" s="753"/>
      <c r="D718" s="265" t="s">
        <v>970</v>
      </c>
      <c r="E718" s="753"/>
      <c r="F718" s="753"/>
      <c r="G718" s="753"/>
      <c r="H718" s="753"/>
      <c r="I718" s="753"/>
      <c r="J718" s="753"/>
      <c r="K718" s="753"/>
      <c r="L718" s="212">
        <v>225494</v>
      </c>
      <c r="M718" s="212">
        <v>162427</v>
      </c>
      <c r="N718" s="156">
        <v>200000</v>
      </c>
      <c r="O718" s="156">
        <v>154447</v>
      </c>
      <c r="P718" s="153">
        <v>200000</v>
      </c>
      <c r="Q718" s="153">
        <v>200000</v>
      </c>
      <c r="R718" s="153">
        <v>200000</v>
      </c>
      <c r="S718" s="153">
        <v>200000</v>
      </c>
      <c r="T718" s="153">
        <v>200000</v>
      </c>
      <c r="V718" s="168"/>
      <c r="AE718" s="518"/>
    </row>
    <row r="719" spans="1:31" ht="24" customHeight="1">
      <c r="A719" s="836" t="s">
        <v>1425</v>
      </c>
      <c r="B719" s="835"/>
      <c r="C719" s="835"/>
      <c r="D719" s="265" t="s">
        <v>1422</v>
      </c>
      <c r="E719" s="835"/>
      <c r="F719" s="835"/>
      <c r="G719" s="835"/>
      <c r="H719" s="835"/>
      <c r="I719" s="835"/>
      <c r="J719" s="835"/>
      <c r="K719" s="835"/>
      <c r="L719" s="212">
        <v>0</v>
      </c>
      <c r="M719" s="212">
        <v>0</v>
      </c>
      <c r="N719" s="156">
        <v>0</v>
      </c>
      <c r="O719" s="156">
        <v>0</v>
      </c>
      <c r="P719" s="169">
        <f>ROUND((45000)+(45000*0.07),0)</f>
        <v>48150</v>
      </c>
      <c r="Q719" s="153">
        <v>0</v>
      </c>
      <c r="R719" s="153">
        <v>0</v>
      </c>
      <c r="S719" s="153">
        <v>0</v>
      </c>
      <c r="T719" s="153">
        <v>0</v>
      </c>
      <c r="V719" s="168"/>
      <c r="AE719" s="518"/>
    </row>
    <row r="720" spans="1:31" ht="24" customHeight="1">
      <c r="A720" s="766" t="s">
        <v>1206</v>
      </c>
      <c r="B720" s="266"/>
      <c r="C720" s="266"/>
      <c r="D720" s="767" t="s">
        <v>845</v>
      </c>
      <c r="E720" s="266"/>
      <c r="F720" s="266"/>
      <c r="G720" s="266"/>
      <c r="H720" s="266"/>
      <c r="I720" s="266"/>
      <c r="J720" s="266"/>
      <c r="K720" s="266"/>
      <c r="L720" s="224">
        <v>0</v>
      </c>
      <c r="M720" s="224">
        <v>0</v>
      </c>
      <c r="N720" s="170">
        <v>10000</v>
      </c>
      <c r="O720" s="170">
        <v>1096</v>
      </c>
      <c r="P720" s="169">
        <v>17002</v>
      </c>
      <c r="Q720" s="169">
        <v>17002</v>
      </c>
      <c r="R720" s="169">
        <v>0</v>
      </c>
      <c r="S720" s="169">
        <v>0</v>
      </c>
      <c r="T720" s="169">
        <v>0</v>
      </c>
      <c r="V720" s="168"/>
      <c r="AE720" s="518"/>
    </row>
    <row r="721" spans="1:31" ht="24" customHeight="1">
      <c r="A721" s="734" t="s">
        <v>1317</v>
      </c>
      <c r="B721" s="266"/>
      <c r="C721" s="266"/>
      <c r="D721" s="735" t="s">
        <v>270</v>
      </c>
      <c r="E721" s="266"/>
      <c r="F721" s="266"/>
      <c r="G721" s="266"/>
      <c r="H721" s="266"/>
      <c r="I721" s="266"/>
      <c r="J721" s="266"/>
      <c r="K721" s="266"/>
      <c r="L721" s="224">
        <v>0</v>
      </c>
      <c r="M721" s="224">
        <v>1014</v>
      </c>
      <c r="N721" s="170">
        <v>0</v>
      </c>
      <c r="O721" s="170">
        <v>0</v>
      </c>
      <c r="P721" s="169">
        <v>0</v>
      </c>
      <c r="Q721" s="169">
        <v>0</v>
      </c>
      <c r="R721" s="169">
        <v>0</v>
      </c>
      <c r="S721" s="169">
        <v>0</v>
      </c>
      <c r="T721" s="169">
        <v>0</v>
      </c>
      <c r="V721" s="148"/>
      <c r="AE721" s="518"/>
    </row>
    <row r="722" spans="1:31" ht="24" customHeight="1">
      <c r="A722" s="768" t="s">
        <v>1272</v>
      </c>
      <c r="B722" s="278"/>
      <c r="C722" s="278"/>
      <c r="D722" s="1" t="s">
        <v>1279</v>
      </c>
      <c r="E722" s="280"/>
      <c r="F722" s="278"/>
      <c r="G722" s="278"/>
      <c r="H722" s="278"/>
      <c r="I722" s="278"/>
      <c r="J722" s="278"/>
      <c r="K722" s="278"/>
      <c r="L722" s="212">
        <v>0</v>
      </c>
      <c r="M722" s="212">
        <v>5675</v>
      </c>
      <c r="N722" s="700">
        <v>3420</v>
      </c>
      <c r="O722" s="700">
        <v>4207</v>
      </c>
      <c r="P722" s="182">
        <v>189000</v>
      </c>
      <c r="Q722" s="182">
        <v>0</v>
      </c>
      <c r="R722" s="182">
        <v>0</v>
      </c>
      <c r="S722" s="169">
        <v>0</v>
      </c>
      <c r="T722" s="169">
        <v>0</v>
      </c>
      <c r="V722" s="168"/>
      <c r="AE722" s="518"/>
    </row>
    <row r="723" spans="1:31" ht="24" customHeight="1">
      <c r="A723" s="819" t="s">
        <v>1408</v>
      </c>
      <c r="B723" s="278"/>
      <c r="C723" s="278"/>
      <c r="D723" s="1" t="s">
        <v>271</v>
      </c>
      <c r="E723" s="280"/>
      <c r="F723" s="278"/>
      <c r="G723" s="278"/>
      <c r="H723" s="278"/>
      <c r="I723" s="278"/>
      <c r="J723" s="278"/>
      <c r="K723" s="278"/>
      <c r="L723" s="212">
        <v>0</v>
      </c>
      <c r="M723" s="212">
        <v>0</v>
      </c>
      <c r="N723" s="700">
        <v>0</v>
      </c>
      <c r="O723" s="700">
        <v>0</v>
      </c>
      <c r="P723" s="182">
        <v>0</v>
      </c>
      <c r="Q723" s="153">
        <v>50000</v>
      </c>
      <c r="R723" s="182">
        <v>0</v>
      </c>
      <c r="S723" s="153">
        <v>50000</v>
      </c>
      <c r="T723" s="169">
        <v>0</v>
      </c>
      <c r="V723" s="168"/>
      <c r="AE723" s="518"/>
    </row>
    <row r="724" spans="1:31" ht="24" customHeight="1">
      <c r="A724" s="666" t="s">
        <v>377</v>
      </c>
      <c r="B724" s="667"/>
      <c r="C724" s="667"/>
      <c r="D724" s="666" t="s">
        <v>268</v>
      </c>
      <c r="E724" s="667"/>
      <c r="F724" s="667"/>
      <c r="G724" s="667"/>
      <c r="H724" s="667"/>
      <c r="I724" s="667"/>
      <c r="J724" s="667"/>
      <c r="K724" s="667"/>
      <c r="L724" s="211">
        <v>59015</v>
      </c>
      <c r="M724" s="211">
        <v>59015</v>
      </c>
      <c r="N724" s="150">
        <v>59015</v>
      </c>
      <c r="O724" s="150">
        <v>59015</v>
      </c>
      <c r="P724" s="149">
        <f>ROUND((4917.93*12),0)</f>
        <v>59015</v>
      </c>
      <c r="Q724" s="149">
        <f>ROUND((4917.93*12),0)</f>
        <v>59015</v>
      </c>
      <c r="R724" s="149">
        <f>ROUND((4917.93*12),0)</f>
        <v>59015</v>
      </c>
      <c r="S724" s="149">
        <f>ROUND((4917.93*12),0)</f>
        <v>59015</v>
      </c>
      <c r="T724" s="209">
        <f>ROUND(((59015/12)*4),0)</f>
        <v>19672</v>
      </c>
      <c r="V724" s="148"/>
      <c r="AE724" s="518"/>
    </row>
    <row r="725" spans="1:31" ht="24" customHeight="1">
      <c r="A725" s="747" t="s">
        <v>378</v>
      </c>
      <c r="B725" s="746"/>
      <c r="C725" s="746"/>
      <c r="D725" s="747" t="s">
        <v>379</v>
      </c>
      <c r="E725" s="746"/>
      <c r="F725" s="746"/>
      <c r="G725" s="746"/>
      <c r="H725" s="746"/>
      <c r="I725" s="746"/>
      <c r="J725" s="746"/>
      <c r="K725" s="746"/>
      <c r="L725" s="211">
        <v>32890</v>
      </c>
      <c r="M725" s="211">
        <v>33872</v>
      </c>
      <c r="N725" s="150">
        <v>34888</v>
      </c>
      <c r="O725" s="150">
        <v>34888</v>
      </c>
      <c r="P725" s="149">
        <f>ROUND((20.87*6)*287,0)</f>
        <v>35938</v>
      </c>
      <c r="Q725" s="149">
        <v>30076</v>
      </c>
      <c r="R725" s="149">
        <v>0</v>
      </c>
      <c r="S725" s="149">
        <v>0</v>
      </c>
      <c r="T725" s="149">
        <v>0</v>
      </c>
      <c r="V725" s="407"/>
      <c r="W725" s="407"/>
      <c r="X725" s="407"/>
      <c r="Y725" s="407"/>
      <c r="Z725" s="407"/>
      <c r="AA725" s="407"/>
      <c r="AB725" s="407"/>
      <c r="AE725" s="518"/>
    </row>
    <row r="726" spans="1:31" ht="24" customHeight="1">
      <c r="A726" s="267" t="s">
        <v>380</v>
      </c>
      <c r="B726" s="267"/>
      <c r="C726" s="267"/>
      <c r="D726" s="267"/>
      <c r="E726" s="267"/>
      <c r="F726" s="267"/>
      <c r="G726" s="267"/>
      <c r="H726" s="267"/>
      <c r="I726" s="267"/>
      <c r="J726" s="267"/>
      <c r="K726" s="267"/>
      <c r="L726" s="220"/>
      <c r="M726" s="220"/>
      <c r="N726" s="164"/>
      <c r="O726" s="164"/>
      <c r="P726" s="163"/>
      <c r="Q726" s="163"/>
      <c r="R726" s="163"/>
      <c r="S726" s="163"/>
      <c r="T726" s="163"/>
      <c r="V726" s="585"/>
      <c r="W726" s="585"/>
      <c r="X726" s="585"/>
      <c r="Y726" s="585"/>
      <c r="Z726" s="585"/>
      <c r="AE726" s="518"/>
    </row>
    <row r="727" spans="1:31" ht="24" customHeight="1">
      <c r="A727" s="263" t="s">
        <v>381</v>
      </c>
      <c r="B727" s="264"/>
      <c r="C727" s="264"/>
      <c r="D727" s="263" t="s">
        <v>930</v>
      </c>
      <c r="E727" s="264"/>
      <c r="F727" s="264"/>
      <c r="G727" s="264"/>
      <c r="H727" s="264"/>
      <c r="I727" s="264"/>
      <c r="J727" s="264"/>
      <c r="K727" s="264"/>
      <c r="L727" s="211">
        <v>395000</v>
      </c>
      <c r="M727" s="211">
        <v>410000</v>
      </c>
      <c r="N727" s="150">
        <v>435000</v>
      </c>
      <c r="O727" s="150">
        <v>435000</v>
      </c>
      <c r="P727" s="149">
        <v>455000</v>
      </c>
      <c r="Q727" s="149">
        <v>0</v>
      </c>
      <c r="R727" s="149">
        <v>0</v>
      </c>
      <c r="S727" s="149">
        <v>0</v>
      </c>
      <c r="T727" s="149">
        <v>0</v>
      </c>
      <c r="V727" s="403"/>
      <c r="W727" s="403"/>
      <c r="X727" s="403"/>
      <c r="Y727" s="403"/>
      <c r="Z727" s="403"/>
      <c r="AE727" s="518"/>
    </row>
    <row r="728" spans="1:31" ht="24" customHeight="1">
      <c r="A728" s="263" t="s">
        <v>382</v>
      </c>
      <c r="B728" s="264"/>
      <c r="C728" s="264"/>
      <c r="D728" s="263" t="s">
        <v>986</v>
      </c>
      <c r="E728" s="264"/>
      <c r="F728" s="264"/>
      <c r="G728" s="264"/>
      <c r="H728" s="264"/>
      <c r="I728" s="264"/>
      <c r="J728" s="264"/>
      <c r="K728" s="264"/>
      <c r="L728" s="213">
        <v>65825</v>
      </c>
      <c r="M728" s="213">
        <v>52000</v>
      </c>
      <c r="N728" s="150">
        <v>35600</v>
      </c>
      <c r="O728" s="150">
        <v>35600</v>
      </c>
      <c r="P728" s="149">
        <v>18200</v>
      </c>
      <c r="Q728" s="149">
        <v>0</v>
      </c>
      <c r="R728" s="149">
        <v>0</v>
      </c>
      <c r="S728" s="149">
        <v>0</v>
      </c>
      <c r="T728" s="149">
        <v>0</v>
      </c>
      <c r="V728" s="403"/>
      <c r="W728" s="403"/>
      <c r="X728" s="403"/>
      <c r="Y728" s="403"/>
      <c r="Z728" s="403"/>
      <c r="AE728" s="518"/>
    </row>
    <row r="729" spans="1:31" ht="24" customHeight="1">
      <c r="A729" s="267" t="s">
        <v>983</v>
      </c>
      <c r="B729" s="267"/>
      <c r="C729" s="267"/>
      <c r="D729" s="267"/>
      <c r="E729" s="267"/>
      <c r="F729" s="267"/>
      <c r="G729" s="267"/>
      <c r="H729" s="267"/>
      <c r="I729" s="267"/>
      <c r="J729" s="267"/>
      <c r="K729" s="267"/>
      <c r="L729" s="220"/>
      <c r="M729" s="220"/>
      <c r="N729" s="164"/>
      <c r="O729" s="164"/>
      <c r="P729" s="163"/>
      <c r="Q729" s="163"/>
      <c r="R729" s="163"/>
      <c r="S729" s="163"/>
      <c r="T729" s="163"/>
      <c r="V729" s="403"/>
      <c r="W729" s="403"/>
      <c r="X729" s="403"/>
      <c r="Y729" s="403"/>
      <c r="Z729" s="403"/>
      <c r="AE729" s="518"/>
    </row>
    <row r="730" spans="1:31" ht="24" customHeight="1">
      <c r="A730" s="263" t="s">
        <v>383</v>
      </c>
      <c r="B730" s="264"/>
      <c r="C730" s="264"/>
      <c r="D730" s="263" t="s">
        <v>930</v>
      </c>
      <c r="E730" s="264"/>
      <c r="F730" s="264"/>
      <c r="G730" s="264"/>
      <c r="H730" s="264"/>
      <c r="I730" s="264"/>
      <c r="J730" s="264"/>
      <c r="K730" s="264"/>
      <c r="L730" s="211">
        <v>110000</v>
      </c>
      <c r="M730" s="211">
        <v>115000</v>
      </c>
      <c r="N730" s="150">
        <v>120000</v>
      </c>
      <c r="O730" s="150">
        <v>120000</v>
      </c>
      <c r="P730" s="149">
        <v>130000</v>
      </c>
      <c r="Q730" s="149">
        <v>135000</v>
      </c>
      <c r="R730" s="149">
        <v>140000</v>
      </c>
      <c r="S730" s="149">
        <v>150000</v>
      </c>
      <c r="T730" s="149">
        <v>155000</v>
      </c>
      <c r="V730" s="403"/>
      <c r="W730" s="403"/>
      <c r="X730" s="403"/>
      <c r="Y730" s="403"/>
      <c r="Z730" s="403"/>
      <c r="AE730" s="518"/>
    </row>
    <row r="731" spans="1:31" ht="24" customHeight="1">
      <c r="A731" s="263" t="s">
        <v>384</v>
      </c>
      <c r="B731" s="264"/>
      <c r="C731" s="264"/>
      <c r="D731" s="263" t="s">
        <v>986</v>
      </c>
      <c r="E731" s="264"/>
      <c r="F731" s="264"/>
      <c r="G731" s="264"/>
      <c r="H731" s="264"/>
      <c r="I731" s="264"/>
      <c r="J731" s="264"/>
      <c r="K731" s="264"/>
      <c r="L731" s="213">
        <v>52870</v>
      </c>
      <c r="M731" s="213">
        <v>47755</v>
      </c>
      <c r="N731" s="150">
        <v>42293</v>
      </c>
      <c r="O731" s="150">
        <v>42293</v>
      </c>
      <c r="P731" s="149">
        <v>36233</v>
      </c>
      <c r="Q731" s="149">
        <v>29668</v>
      </c>
      <c r="R731" s="149">
        <v>22850</v>
      </c>
      <c r="S731" s="149">
        <v>15710</v>
      </c>
      <c r="T731" s="149">
        <v>8060</v>
      </c>
      <c r="V731" s="403"/>
      <c r="W731" s="403"/>
      <c r="X731" s="403"/>
      <c r="Y731" s="403"/>
      <c r="Z731" s="403"/>
      <c r="AE731" s="518"/>
    </row>
    <row r="732" spans="1:31" ht="24" customHeight="1">
      <c r="A732" s="267" t="s">
        <v>385</v>
      </c>
      <c r="B732" s="267"/>
      <c r="C732" s="267"/>
      <c r="D732" s="267"/>
      <c r="E732" s="267"/>
      <c r="F732" s="267"/>
      <c r="G732" s="267"/>
      <c r="H732" s="267"/>
      <c r="I732" s="267"/>
      <c r="J732" s="267"/>
      <c r="K732" s="267"/>
      <c r="L732" s="220"/>
      <c r="M732" s="220"/>
      <c r="N732" s="164"/>
      <c r="O732" s="164"/>
      <c r="P732" s="163"/>
      <c r="Q732" s="163"/>
      <c r="R732" s="163"/>
      <c r="S732" s="163"/>
      <c r="T732" s="163"/>
      <c r="V732" s="403"/>
      <c r="W732" s="403"/>
      <c r="X732" s="403"/>
      <c r="Y732" s="403"/>
      <c r="Z732" s="403"/>
      <c r="AE732" s="518"/>
    </row>
    <row r="733" spans="1:31" ht="24" customHeight="1">
      <c r="A733" s="263" t="s">
        <v>807</v>
      </c>
      <c r="B733" s="264"/>
      <c r="C733" s="264"/>
      <c r="D733" s="263" t="s">
        <v>930</v>
      </c>
      <c r="E733" s="264"/>
      <c r="F733" s="264"/>
      <c r="G733" s="264"/>
      <c r="H733" s="264"/>
      <c r="I733" s="264"/>
      <c r="J733" s="264"/>
      <c r="K733" s="264"/>
      <c r="L733" s="211">
        <v>715000</v>
      </c>
      <c r="M733" s="211">
        <v>745000</v>
      </c>
      <c r="N733" s="150">
        <v>780000</v>
      </c>
      <c r="O733" s="150">
        <v>780000</v>
      </c>
      <c r="P733" s="149">
        <v>810000</v>
      </c>
      <c r="Q733" s="149">
        <v>845000</v>
      </c>
      <c r="R733" s="149">
        <v>885000</v>
      </c>
      <c r="S733" s="149">
        <v>920000</v>
      </c>
      <c r="T733" s="149">
        <v>960000</v>
      </c>
      <c r="V733" s="403"/>
      <c r="W733" s="403"/>
      <c r="X733" s="403"/>
      <c r="Y733" s="403"/>
      <c r="Z733" s="403"/>
      <c r="AE733" s="518"/>
    </row>
    <row r="734" spans="1:31" ht="24" customHeight="1">
      <c r="A734" s="263" t="s">
        <v>808</v>
      </c>
      <c r="B734" s="264"/>
      <c r="C734" s="264"/>
      <c r="D734" s="263" t="s">
        <v>986</v>
      </c>
      <c r="E734" s="264"/>
      <c r="F734" s="264"/>
      <c r="G734" s="264"/>
      <c r="H734" s="264"/>
      <c r="I734" s="264"/>
      <c r="J734" s="264"/>
      <c r="K734" s="264"/>
      <c r="L734" s="213">
        <v>419654</v>
      </c>
      <c r="M734" s="213">
        <v>389052</v>
      </c>
      <c r="N734" s="155">
        <v>357166</v>
      </c>
      <c r="O734" s="155">
        <v>357166</v>
      </c>
      <c r="P734" s="154">
        <v>323782</v>
      </c>
      <c r="Q734" s="154">
        <v>289114</v>
      </c>
      <c r="R734" s="154">
        <v>252948</v>
      </c>
      <c r="S734" s="154">
        <v>215070</v>
      </c>
      <c r="T734" s="154">
        <v>175964</v>
      </c>
      <c r="V734" s="403"/>
      <c r="W734" s="403"/>
      <c r="X734" s="403"/>
      <c r="Y734" s="403"/>
      <c r="Z734" s="403"/>
      <c r="AE734" s="518"/>
    </row>
    <row r="735" spans="1:31" ht="24" customHeight="1">
      <c r="A735" s="267" t="s">
        <v>386</v>
      </c>
      <c r="B735" s="267"/>
      <c r="C735" s="267"/>
      <c r="D735" s="267"/>
      <c r="E735" s="267"/>
      <c r="F735" s="267"/>
      <c r="G735" s="267"/>
      <c r="H735" s="267"/>
      <c r="I735" s="267"/>
      <c r="J735" s="267"/>
      <c r="K735" s="267"/>
      <c r="L735" s="220"/>
      <c r="M735" s="220"/>
      <c r="N735" s="164"/>
      <c r="O735" s="164"/>
      <c r="P735" s="163"/>
      <c r="Q735" s="163"/>
      <c r="R735" s="163"/>
      <c r="S735" s="163"/>
      <c r="T735" s="163"/>
      <c r="V735" s="403"/>
      <c r="W735" s="403"/>
      <c r="X735" s="403"/>
      <c r="Y735" s="403"/>
      <c r="Z735" s="403"/>
      <c r="AE735" s="518"/>
    </row>
    <row r="736" spans="1:31" ht="24" customHeight="1">
      <c r="A736" s="263" t="s">
        <v>387</v>
      </c>
      <c r="B736" s="264"/>
      <c r="C736" s="264"/>
      <c r="D736" s="263" t="s">
        <v>930</v>
      </c>
      <c r="E736" s="264"/>
      <c r="F736" s="264"/>
      <c r="G736" s="264"/>
      <c r="H736" s="264"/>
      <c r="I736" s="264"/>
      <c r="J736" s="264"/>
      <c r="K736" s="264"/>
      <c r="L736" s="211">
        <v>95821</v>
      </c>
      <c r="M736" s="211">
        <v>98353</v>
      </c>
      <c r="N736" s="150">
        <v>100952</v>
      </c>
      <c r="O736" s="150">
        <v>100952</v>
      </c>
      <c r="P736" s="149">
        <v>103619</v>
      </c>
      <c r="Q736" s="149">
        <v>52832</v>
      </c>
      <c r="R736" s="149">
        <v>0</v>
      </c>
      <c r="S736" s="149">
        <v>0</v>
      </c>
      <c r="T736" s="149">
        <v>0</v>
      </c>
      <c r="V736" s="403"/>
      <c r="W736" s="403"/>
      <c r="X736" s="403"/>
      <c r="Y736" s="403"/>
      <c r="Z736" s="403"/>
      <c r="AE736" s="518"/>
    </row>
    <row r="737" spans="1:37" ht="24" customHeight="1">
      <c r="A737" s="263" t="s">
        <v>388</v>
      </c>
      <c r="B737" s="264"/>
      <c r="C737" s="264"/>
      <c r="D737" s="263" t="s">
        <v>986</v>
      </c>
      <c r="E737" s="264"/>
      <c r="F737" s="264"/>
      <c r="G737" s="264"/>
      <c r="H737" s="264"/>
      <c r="I737" s="264"/>
      <c r="J737" s="264"/>
      <c r="K737" s="264"/>
      <c r="L737" s="213">
        <v>11229</v>
      </c>
      <c r="M737" s="213">
        <v>8697</v>
      </c>
      <c r="N737" s="150">
        <v>6099</v>
      </c>
      <c r="O737" s="150">
        <v>6099</v>
      </c>
      <c r="P737" s="149">
        <v>3431</v>
      </c>
      <c r="Q737" s="149">
        <v>693</v>
      </c>
      <c r="R737" s="149">
        <v>0</v>
      </c>
      <c r="S737" s="149">
        <v>0</v>
      </c>
      <c r="T737" s="149">
        <v>0</v>
      </c>
      <c r="V737" s="403"/>
      <c r="W737" s="403"/>
      <c r="X737" s="403"/>
      <c r="Y737" s="403"/>
      <c r="Z737" s="403"/>
      <c r="AE737" s="518"/>
    </row>
    <row r="738" spans="1:37" ht="24" customHeight="1">
      <c r="A738" s="263" t="s">
        <v>813</v>
      </c>
      <c r="B738" s="264"/>
      <c r="C738" s="264"/>
      <c r="D738" s="263" t="s">
        <v>206</v>
      </c>
      <c r="E738" s="264"/>
      <c r="F738" s="264"/>
      <c r="G738" s="264"/>
      <c r="H738" s="264"/>
      <c r="I738" s="264"/>
      <c r="J738" s="264"/>
      <c r="K738" s="264"/>
      <c r="L738" s="229">
        <v>76275</v>
      </c>
      <c r="M738" s="229">
        <v>75075</v>
      </c>
      <c r="N738" s="179">
        <v>73875</v>
      </c>
      <c r="O738" s="179">
        <f t="shared" ref="O738:T738" si="73">ROUND((O649+O650)/2,0)</f>
        <v>73875</v>
      </c>
      <c r="P738" s="178">
        <f t="shared" si="73"/>
        <v>77675</v>
      </c>
      <c r="Q738" s="178">
        <f t="shared" si="73"/>
        <v>73875</v>
      </c>
      <c r="R738" s="178">
        <f t="shared" si="73"/>
        <v>75125</v>
      </c>
      <c r="S738" s="178">
        <f t="shared" si="73"/>
        <v>75675</v>
      </c>
      <c r="T738" s="178">
        <f t="shared" si="73"/>
        <v>73650</v>
      </c>
      <c r="V738" s="151"/>
      <c r="AE738" s="518"/>
    </row>
    <row r="739" spans="1:37" ht="15" customHeight="1">
      <c r="A739" s="263"/>
      <c r="B739" s="202"/>
      <c r="C739" s="202"/>
      <c r="D739" s="263"/>
      <c r="E739" s="202"/>
      <c r="F739" s="202"/>
      <c r="G739" s="202"/>
      <c r="H739" s="202"/>
      <c r="I739" s="202"/>
      <c r="J739" s="202"/>
      <c r="K739" s="202"/>
      <c r="L739" s="218"/>
      <c r="M739" s="218"/>
      <c r="N739" s="164"/>
      <c r="O739" s="164"/>
      <c r="P739" s="163"/>
      <c r="Q739" s="163"/>
      <c r="R739" s="163"/>
      <c r="S739" s="163"/>
      <c r="T739" s="163"/>
      <c r="AE739" s="518"/>
    </row>
    <row r="740" spans="1:37" s="202" customFormat="1" ht="24" customHeight="1">
      <c r="K740" s="267" t="s">
        <v>486</v>
      </c>
      <c r="L740" s="220">
        <f>SUM(L679:L738)</f>
        <v>2785644</v>
      </c>
      <c r="M740" s="220">
        <f>SUM(M679:M738)</f>
        <v>2731226</v>
      </c>
      <c r="N740" s="221">
        <f t="shared" ref="N740:S740" si="74">SUM(N679:N738)</f>
        <v>2805500</v>
      </c>
      <c r="O740" s="221">
        <f t="shared" si="74"/>
        <v>2741851</v>
      </c>
      <c r="P740" s="220">
        <f t="shared" si="74"/>
        <v>3045454</v>
      </c>
      <c r="Q740" s="220">
        <f t="shared" si="74"/>
        <v>2335571</v>
      </c>
      <c r="R740" s="220">
        <f t="shared" si="74"/>
        <v>2207074</v>
      </c>
      <c r="S740" s="220">
        <f t="shared" si="74"/>
        <v>2479709</v>
      </c>
      <c r="T740" s="220">
        <f>SUM(T679:T738)</f>
        <v>2198236</v>
      </c>
      <c r="U740" s="65"/>
      <c r="V740" s="845"/>
      <c r="W740" s="845"/>
      <c r="X740" s="844"/>
      <c r="Y740" s="838"/>
      <c r="Z740" s="838"/>
      <c r="AA740" s="838"/>
      <c r="AB740" s="838"/>
      <c r="AC740" s="200"/>
      <c r="AD740" s="200"/>
      <c r="AE740" s="518"/>
      <c r="AF740" s="838"/>
      <c r="AG740" s="838"/>
      <c r="AH740" s="838"/>
      <c r="AI740" s="838"/>
      <c r="AJ740" s="838"/>
      <c r="AK740" s="838"/>
    </row>
    <row r="741" spans="1:37" s="202" customFormat="1" ht="15" customHeight="1">
      <c r="L741" s="237"/>
      <c r="M741" s="237"/>
      <c r="N741" s="238"/>
      <c r="O741" s="238"/>
      <c r="P741" s="237"/>
      <c r="Q741" s="237"/>
      <c r="R741" s="237"/>
      <c r="S741" s="237"/>
      <c r="T741" s="237"/>
      <c r="U741" s="65"/>
      <c r="V741" s="845"/>
      <c r="W741" s="845"/>
      <c r="X741" s="844"/>
      <c r="Y741" s="838"/>
      <c r="Z741" s="838"/>
      <c r="AA741" s="838"/>
      <c r="AB741" s="838"/>
      <c r="AC741" s="200"/>
      <c r="AD741" s="200"/>
      <c r="AE741" s="518"/>
      <c r="AF741" s="838"/>
      <c r="AG741" s="838"/>
      <c r="AH741" s="838"/>
      <c r="AI741" s="838"/>
      <c r="AJ741" s="838"/>
      <c r="AK741" s="838"/>
    </row>
    <row r="742" spans="1:37" s="202" customFormat="1" ht="24" customHeight="1">
      <c r="K742" s="267" t="s">
        <v>485</v>
      </c>
      <c r="L742" s="237">
        <f t="shared" ref="L742:T742" si="75">L676-L740</f>
        <v>-258727</v>
      </c>
      <c r="M742" s="237">
        <f t="shared" si="75"/>
        <v>-192843</v>
      </c>
      <c r="N742" s="238">
        <f t="shared" si="75"/>
        <v>-401058</v>
      </c>
      <c r="O742" s="238">
        <f t="shared" si="75"/>
        <v>-43302</v>
      </c>
      <c r="P742" s="237">
        <f t="shared" si="75"/>
        <v>-628963</v>
      </c>
      <c r="Q742" s="237">
        <f t="shared" si="75"/>
        <v>-159897</v>
      </c>
      <c r="R742" s="237">
        <f t="shared" si="75"/>
        <v>-25025</v>
      </c>
      <c r="S742" s="237">
        <f t="shared" si="75"/>
        <v>139646</v>
      </c>
      <c r="T742" s="237">
        <f t="shared" si="75"/>
        <v>591817</v>
      </c>
      <c r="U742" s="65"/>
      <c r="V742" s="838"/>
      <c r="W742" s="838"/>
      <c r="X742" s="838"/>
      <c r="Y742" s="838"/>
      <c r="Z742" s="838"/>
      <c r="AA742" s="838"/>
      <c r="AB742" s="838"/>
      <c r="AC742" s="200"/>
      <c r="AD742" s="200"/>
      <c r="AE742" s="518"/>
      <c r="AF742" s="838"/>
      <c r="AG742" s="838"/>
      <c r="AH742" s="838"/>
      <c r="AI742" s="838"/>
      <c r="AJ742" s="838"/>
      <c r="AK742" s="838"/>
    </row>
    <row r="743" spans="1:37" s="202" customFormat="1" ht="15" customHeight="1">
      <c r="L743" s="237"/>
      <c r="M743" s="237"/>
      <c r="N743" s="238"/>
      <c r="O743" s="238"/>
      <c r="P743" s="237"/>
      <c r="Q743" s="237"/>
      <c r="R743" s="237"/>
      <c r="S743" s="237"/>
      <c r="T743" s="237"/>
      <c r="U743" s="65"/>
      <c r="V743" s="838"/>
      <c r="W743" s="838"/>
      <c r="X743" s="838"/>
      <c r="Y743" s="838"/>
      <c r="Z743" s="838"/>
      <c r="AA743" s="838"/>
      <c r="AB743" s="838"/>
      <c r="AC743" s="200"/>
      <c r="AD743" s="200"/>
      <c r="AE743" s="518"/>
      <c r="AF743" s="838"/>
      <c r="AG743" s="838"/>
      <c r="AH743" s="838"/>
      <c r="AI743" s="838"/>
      <c r="AJ743" s="838"/>
      <c r="AK743" s="838"/>
    </row>
    <row r="744" spans="1:37" s="202" customFormat="1" ht="24" customHeight="1">
      <c r="J744" s="272" t="s">
        <v>492</v>
      </c>
      <c r="L744" s="237">
        <v>1570874</v>
      </c>
      <c r="M744" s="237">
        <v>1378030</v>
      </c>
      <c r="N744" s="238">
        <v>913772</v>
      </c>
      <c r="O744" s="238">
        <f>M744+O742</f>
        <v>1334728</v>
      </c>
      <c r="P744" s="237">
        <f>O744+P742</f>
        <v>705765</v>
      </c>
      <c r="Q744" s="237">
        <f>P744+Q742</f>
        <v>545868</v>
      </c>
      <c r="R744" s="237">
        <f>Q744+R742</f>
        <v>520843</v>
      </c>
      <c r="S744" s="237">
        <f>R744+S742</f>
        <v>660489</v>
      </c>
      <c r="T744" s="237">
        <f>S744+T742</f>
        <v>1252306</v>
      </c>
      <c r="U744" s="65"/>
      <c r="V744" s="838"/>
      <c r="W744" s="838"/>
      <c r="X744" s="838"/>
      <c r="Y744" s="838"/>
      <c r="Z744" s="838"/>
      <c r="AA744" s="838"/>
      <c r="AB744" s="838"/>
      <c r="AC744" s="200"/>
      <c r="AD744" s="200"/>
      <c r="AE744" s="518"/>
      <c r="AF744" s="838"/>
      <c r="AG744" s="838"/>
      <c r="AH744" s="838"/>
      <c r="AI744" s="838"/>
      <c r="AJ744" s="838"/>
      <c r="AK744" s="838"/>
    </row>
    <row r="745" spans="1:37" s="276" customFormat="1" ht="24" customHeight="1">
      <c r="L745" s="239">
        <f t="shared" ref="L745:T745" si="76">L744/L740</f>
        <v>0.563917715257226</v>
      </c>
      <c r="M745" s="239">
        <f t="shared" si="76"/>
        <v>0.50454630997215166</v>
      </c>
      <c r="N745" s="240">
        <f t="shared" si="76"/>
        <v>0.32570736054179289</v>
      </c>
      <c r="O745" s="240">
        <f t="shared" si="76"/>
        <v>0.48679815205129673</v>
      </c>
      <c r="P745" s="239">
        <f t="shared" si="76"/>
        <v>0.23174377284963096</v>
      </c>
      <c r="Q745" s="239">
        <f t="shared" si="76"/>
        <v>0.23371929177062054</v>
      </c>
      <c r="R745" s="239">
        <f t="shared" si="76"/>
        <v>0.23598800946411402</v>
      </c>
      <c r="S745" s="239">
        <f t="shared" si="76"/>
        <v>0.26635746371852503</v>
      </c>
      <c r="T745" s="239">
        <f t="shared" si="76"/>
        <v>0.56968678522233285</v>
      </c>
      <c r="U745" s="801"/>
      <c r="AC745" s="200"/>
      <c r="AD745" s="200"/>
      <c r="AE745" s="518"/>
    </row>
    <row r="746" spans="1:37" s="273" customFormat="1" ht="15" customHeight="1">
      <c r="A746" s="444"/>
      <c r="B746" s="444"/>
      <c r="C746" s="444"/>
      <c r="D746" s="444"/>
      <c r="E746" s="444"/>
      <c r="F746" s="444"/>
      <c r="G746" s="444"/>
      <c r="H746" s="444"/>
      <c r="I746" s="444"/>
      <c r="J746" s="444"/>
      <c r="K746" s="272"/>
      <c r="L746" s="355"/>
      <c r="M746" s="355"/>
      <c r="N746" s="360"/>
      <c r="O746" s="360"/>
      <c r="P746" s="361"/>
      <c r="Q746" s="361"/>
      <c r="R746" s="361"/>
      <c r="S746" s="361"/>
      <c r="T746" s="361"/>
      <c r="U746" s="459"/>
      <c r="V746" s="200"/>
      <c r="W746" s="200"/>
      <c r="X746" s="200"/>
      <c r="Y746" s="200"/>
      <c r="Z746" s="200"/>
      <c r="AA746" s="200"/>
    </row>
    <row r="747" spans="1:37" ht="15" customHeight="1">
      <c r="A747" s="202"/>
      <c r="B747" s="202"/>
      <c r="C747" s="202"/>
      <c r="D747" s="202"/>
      <c r="E747" s="202"/>
      <c r="F747" s="202"/>
      <c r="G747" s="202"/>
      <c r="H747" s="202"/>
      <c r="I747" s="202"/>
      <c r="J747" s="202"/>
      <c r="K747" s="202"/>
      <c r="L747" s="354"/>
      <c r="M747" s="354"/>
      <c r="N747" s="358"/>
      <c r="O747" s="358"/>
      <c r="P747" s="359"/>
      <c r="Q747" s="359"/>
      <c r="R747" s="359"/>
      <c r="S747" s="359"/>
      <c r="T747" s="359"/>
    </row>
    <row r="748" spans="1:37" ht="24" customHeight="1">
      <c r="A748" s="274" t="s">
        <v>498</v>
      </c>
      <c r="B748" s="202"/>
      <c r="C748" s="202"/>
      <c r="D748" s="202"/>
      <c r="E748" s="202"/>
      <c r="F748" s="202"/>
      <c r="G748" s="202"/>
      <c r="H748" s="202"/>
      <c r="I748" s="202"/>
      <c r="J748" s="202"/>
      <c r="K748" s="202"/>
      <c r="L748" s="261"/>
      <c r="M748" s="261"/>
      <c r="N748" s="352"/>
      <c r="O748" s="352"/>
      <c r="P748" s="353"/>
      <c r="Q748" s="353"/>
      <c r="R748" s="353"/>
      <c r="S748" s="353"/>
      <c r="T748" s="353"/>
    </row>
    <row r="749" spans="1:37" ht="15" customHeight="1">
      <c r="A749" s="202"/>
      <c r="B749" s="202"/>
      <c r="C749" s="202"/>
      <c r="D749" s="202"/>
      <c r="E749" s="202"/>
      <c r="F749" s="202"/>
      <c r="G749" s="202"/>
      <c r="H749" s="202"/>
      <c r="I749" s="202"/>
      <c r="J749" s="202"/>
      <c r="K749" s="202"/>
      <c r="L749" s="261"/>
      <c r="M749" s="261"/>
      <c r="N749" s="352"/>
      <c r="O749" s="352"/>
      <c r="P749" s="353"/>
      <c r="Q749" s="353"/>
      <c r="R749" s="353"/>
      <c r="S749" s="353"/>
      <c r="T749" s="353"/>
    </row>
    <row r="750" spans="1:37" ht="24" customHeight="1">
      <c r="A750" s="263" t="s">
        <v>599</v>
      </c>
      <c r="B750" s="264"/>
      <c r="C750" s="264"/>
      <c r="D750" s="282" t="s">
        <v>1118</v>
      </c>
      <c r="E750" s="661"/>
      <c r="F750" s="661"/>
      <c r="G750" s="661"/>
      <c r="H750" s="661"/>
      <c r="I750" s="661"/>
      <c r="J750" s="661"/>
      <c r="K750" s="661"/>
      <c r="L750" s="212">
        <v>0</v>
      </c>
      <c r="M750" s="212">
        <v>5514</v>
      </c>
      <c r="N750" s="156">
        <v>0</v>
      </c>
      <c r="O750" s="156">
        <v>0</v>
      </c>
      <c r="P750" s="153">
        <f>400000-P791-M750</f>
        <v>312671</v>
      </c>
      <c r="Q750" s="153">
        <v>0</v>
      </c>
      <c r="R750" s="153">
        <v>0</v>
      </c>
      <c r="S750" s="153">
        <v>0</v>
      </c>
      <c r="T750" s="153">
        <v>0</v>
      </c>
      <c r="V750" s="148"/>
    </row>
    <row r="751" spans="1:37" ht="24" customHeight="1">
      <c r="A751" s="263" t="s">
        <v>1116</v>
      </c>
      <c r="B751" s="417"/>
      <c r="C751" s="417"/>
      <c r="D751" s="282" t="s">
        <v>1117</v>
      </c>
      <c r="E751" s="661"/>
      <c r="F751" s="661"/>
      <c r="G751" s="661"/>
      <c r="H751" s="661"/>
      <c r="I751" s="661"/>
      <c r="J751" s="661"/>
      <c r="K751" s="661"/>
      <c r="L751" s="212">
        <v>0</v>
      </c>
      <c r="M751" s="212">
        <v>10197</v>
      </c>
      <c r="N751" s="156">
        <v>0</v>
      </c>
      <c r="O751" s="156">
        <v>0</v>
      </c>
      <c r="P751" s="153">
        <f>400000-M751</f>
        <v>389803</v>
      </c>
      <c r="Q751" s="153">
        <v>0</v>
      </c>
      <c r="R751" s="153">
        <v>0</v>
      </c>
      <c r="S751" s="153">
        <v>0</v>
      </c>
      <c r="T751" s="153">
        <v>0</v>
      </c>
      <c r="V751" s="148"/>
    </row>
    <row r="752" spans="1:37" ht="24" customHeight="1">
      <c r="A752" s="263" t="s">
        <v>1022</v>
      </c>
      <c r="B752" s="346"/>
      <c r="C752" s="346"/>
      <c r="D752" s="747" t="s">
        <v>825</v>
      </c>
      <c r="E752" s="745"/>
      <c r="F752" s="745"/>
      <c r="G752" s="745"/>
      <c r="H752" s="745"/>
      <c r="I752" s="745"/>
      <c r="J752" s="745"/>
      <c r="K752" s="745"/>
      <c r="L752" s="212">
        <v>3570</v>
      </c>
      <c r="M752" s="212">
        <v>0</v>
      </c>
      <c r="N752" s="156">
        <v>0</v>
      </c>
      <c r="O752" s="170">
        <v>0</v>
      </c>
      <c r="P752" s="153">
        <v>0</v>
      </c>
      <c r="Q752" s="153">
        <v>0</v>
      </c>
      <c r="R752" s="153">
        <v>0</v>
      </c>
      <c r="S752" s="153">
        <v>0</v>
      </c>
      <c r="T752" s="153">
        <v>0</v>
      </c>
    </row>
    <row r="753" spans="1:23" ht="24" customHeight="1">
      <c r="A753" s="689" t="s">
        <v>1313</v>
      </c>
      <c r="B753" s="688"/>
      <c r="C753" s="688"/>
      <c r="D753" s="689" t="s">
        <v>1213</v>
      </c>
      <c r="E753" s="688"/>
      <c r="F753" s="688"/>
      <c r="G753" s="688"/>
      <c r="H753" s="688"/>
      <c r="I753" s="688"/>
      <c r="J753" s="688"/>
      <c r="K753" s="688"/>
      <c r="L753" s="212">
        <v>0</v>
      </c>
      <c r="M753" s="212">
        <v>1103</v>
      </c>
      <c r="N753" s="156">
        <v>0</v>
      </c>
      <c r="O753" s="156">
        <v>0</v>
      </c>
      <c r="P753" s="153">
        <v>0</v>
      </c>
      <c r="Q753" s="153">
        <v>0</v>
      </c>
      <c r="R753" s="153">
        <v>0</v>
      </c>
      <c r="S753" s="153">
        <v>0</v>
      </c>
      <c r="T753" s="153">
        <v>0</v>
      </c>
    </row>
    <row r="754" spans="1:23" ht="24" customHeight="1">
      <c r="A754" s="263" t="s">
        <v>1111</v>
      </c>
      <c r="B754" s="414"/>
      <c r="C754" s="414"/>
      <c r="D754" s="563" t="s">
        <v>1202</v>
      </c>
      <c r="E754" s="454"/>
      <c r="F754" s="454"/>
      <c r="G754" s="454"/>
      <c r="H754" s="454"/>
      <c r="I754" s="454"/>
      <c r="J754" s="454"/>
      <c r="K754" s="454"/>
      <c r="L754" s="212">
        <v>0</v>
      </c>
      <c r="M754" s="212">
        <v>63796</v>
      </c>
      <c r="N754" s="156">
        <v>0</v>
      </c>
      <c r="O754" s="156">
        <v>5466</v>
      </c>
      <c r="P754" s="153">
        <v>0</v>
      </c>
      <c r="Q754" s="153">
        <v>0</v>
      </c>
      <c r="R754" s="153">
        <v>0</v>
      </c>
      <c r="S754" s="153">
        <v>0</v>
      </c>
      <c r="T754" s="153">
        <v>0</v>
      </c>
      <c r="V754" s="148"/>
    </row>
    <row r="755" spans="1:23" ht="24" customHeight="1">
      <c r="A755" s="202" t="s">
        <v>389</v>
      </c>
      <c r="B755" s="202"/>
      <c r="C755" s="202"/>
      <c r="D755" s="568" t="s">
        <v>390</v>
      </c>
      <c r="E755" s="568"/>
      <c r="F755" s="568"/>
      <c r="G755" s="568"/>
      <c r="H755" s="568"/>
      <c r="I755" s="568"/>
      <c r="J755" s="568"/>
      <c r="K755" s="568"/>
      <c r="L755" s="213">
        <v>34125</v>
      </c>
      <c r="M755" s="213">
        <v>27690</v>
      </c>
      <c r="N755" s="155">
        <v>30000</v>
      </c>
      <c r="O755" s="155">
        <v>0</v>
      </c>
      <c r="P755" s="154">
        <v>0</v>
      </c>
      <c r="Q755" s="154">
        <v>0</v>
      </c>
      <c r="R755" s="154">
        <v>0</v>
      </c>
      <c r="S755" s="154">
        <v>0</v>
      </c>
      <c r="T755" s="154">
        <v>0</v>
      </c>
      <c r="V755" s="148"/>
    </row>
    <row r="756" spans="1:23" ht="24" customHeight="1">
      <c r="A756" s="202" t="s">
        <v>391</v>
      </c>
      <c r="B756" s="202"/>
      <c r="C756" s="202"/>
      <c r="D756" s="202" t="s">
        <v>392</v>
      </c>
      <c r="E756" s="202"/>
      <c r="F756" s="202"/>
      <c r="G756" s="202"/>
      <c r="H756" s="202"/>
      <c r="I756" s="202"/>
      <c r="J756" s="202"/>
      <c r="K756" s="202"/>
      <c r="L756" s="213">
        <v>9659</v>
      </c>
      <c r="M756" s="213">
        <v>7955</v>
      </c>
      <c r="N756" s="155">
        <v>6000</v>
      </c>
      <c r="O756" s="155">
        <v>16000</v>
      </c>
      <c r="P756" s="154">
        <v>0</v>
      </c>
      <c r="Q756" s="154">
        <v>0</v>
      </c>
      <c r="R756" s="154">
        <v>0</v>
      </c>
      <c r="S756" s="154">
        <v>0</v>
      </c>
      <c r="T756" s="154">
        <v>0</v>
      </c>
      <c r="V756" s="152"/>
    </row>
    <row r="757" spans="1:23" ht="24" customHeight="1">
      <c r="A757" s="663" t="s">
        <v>1285</v>
      </c>
      <c r="B757" s="663"/>
      <c r="C757" s="663"/>
      <c r="D757" s="663" t="s">
        <v>1286</v>
      </c>
      <c r="E757" s="663"/>
      <c r="F757" s="663"/>
      <c r="G757" s="663"/>
      <c r="H757" s="663"/>
      <c r="I757" s="663"/>
      <c r="J757" s="663"/>
      <c r="K757" s="663"/>
      <c r="L757" s="212">
        <v>0</v>
      </c>
      <c r="M757" s="212">
        <v>2013</v>
      </c>
      <c r="N757" s="156">
        <v>0</v>
      </c>
      <c r="O757" s="156">
        <v>32000</v>
      </c>
      <c r="P757" s="153">
        <v>11639</v>
      </c>
      <c r="Q757" s="153">
        <f>10820+818</f>
        <v>11638</v>
      </c>
      <c r="R757" s="153">
        <v>0</v>
      </c>
      <c r="S757" s="153">
        <v>0</v>
      </c>
      <c r="T757" s="153">
        <v>0</v>
      </c>
      <c r="V757" s="152"/>
    </row>
    <row r="758" spans="1:23" ht="24" customHeight="1">
      <c r="A758" s="736" t="s">
        <v>1372</v>
      </c>
      <c r="B758" s="736"/>
      <c r="C758" s="736"/>
      <c r="D758" s="736" t="s">
        <v>1373</v>
      </c>
      <c r="E758" s="736"/>
      <c r="F758" s="736"/>
      <c r="G758" s="736"/>
      <c r="H758" s="736"/>
      <c r="I758" s="736"/>
      <c r="J758" s="736"/>
      <c r="K758" s="736"/>
      <c r="L758" s="212">
        <v>0</v>
      </c>
      <c r="M758" s="212">
        <v>0</v>
      </c>
      <c r="N758" s="156">
        <v>0</v>
      </c>
      <c r="O758" s="156">
        <v>671</v>
      </c>
      <c r="P758" s="153">
        <v>0</v>
      </c>
      <c r="Q758" s="153">
        <v>0</v>
      </c>
      <c r="R758" s="153">
        <v>0</v>
      </c>
      <c r="S758" s="153">
        <v>0</v>
      </c>
      <c r="T758" s="153">
        <v>0</v>
      </c>
    </row>
    <row r="759" spans="1:23" ht="24" customHeight="1">
      <c r="A759" s="526" t="s">
        <v>1190</v>
      </c>
      <c r="B759" s="526"/>
      <c r="C759" s="526"/>
      <c r="D759" s="526" t="s">
        <v>1191</v>
      </c>
      <c r="E759" s="526"/>
      <c r="F759" s="526"/>
      <c r="G759" s="526"/>
      <c r="H759" s="526"/>
      <c r="I759" s="526"/>
      <c r="J759" s="526"/>
      <c r="K759" s="526"/>
      <c r="L759" s="212">
        <v>5383</v>
      </c>
      <c r="M759" s="212">
        <v>4614</v>
      </c>
      <c r="N759" s="156">
        <v>0</v>
      </c>
      <c r="O759" s="156">
        <v>3845</v>
      </c>
      <c r="P759" s="153">
        <v>0</v>
      </c>
      <c r="Q759" s="153">
        <v>0</v>
      </c>
      <c r="R759" s="153">
        <v>0</v>
      </c>
      <c r="S759" s="153">
        <v>0</v>
      </c>
      <c r="T759" s="153">
        <v>0</v>
      </c>
    </row>
    <row r="760" spans="1:23" ht="24" customHeight="1">
      <c r="A760" s="736" t="s">
        <v>1374</v>
      </c>
      <c r="B760" s="736"/>
      <c r="C760" s="736"/>
      <c r="D760" s="736" t="s">
        <v>1375</v>
      </c>
      <c r="E760" s="736"/>
      <c r="F760" s="736"/>
      <c r="G760" s="736"/>
      <c r="H760" s="736"/>
      <c r="I760" s="736"/>
      <c r="J760" s="736"/>
      <c r="K760" s="736"/>
      <c r="L760" s="212">
        <v>0</v>
      </c>
      <c r="M760" s="212">
        <v>0</v>
      </c>
      <c r="N760" s="156">
        <v>0</v>
      </c>
      <c r="O760" s="156">
        <v>3213</v>
      </c>
      <c r="P760" s="153">
        <v>0</v>
      </c>
      <c r="Q760" s="153">
        <v>0</v>
      </c>
      <c r="R760" s="153">
        <v>0</v>
      </c>
      <c r="S760" s="153">
        <v>0</v>
      </c>
      <c r="T760" s="153">
        <v>0</v>
      </c>
    </row>
    <row r="761" spans="1:23" ht="24" customHeight="1">
      <c r="A761" s="526" t="s">
        <v>1192</v>
      </c>
      <c r="B761" s="526"/>
      <c r="C761" s="526"/>
      <c r="D761" s="526" t="s">
        <v>1193</v>
      </c>
      <c r="E761" s="526"/>
      <c r="F761" s="526"/>
      <c r="G761" s="526"/>
      <c r="H761" s="526"/>
      <c r="I761" s="526"/>
      <c r="J761" s="526"/>
      <c r="K761" s="526"/>
      <c r="L761" s="212">
        <v>1406</v>
      </c>
      <c r="M761" s="212">
        <v>0</v>
      </c>
      <c r="N761" s="156">
        <v>0</v>
      </c>
      <c r="O761" s="156">
        <v>0</v>
      </c>
      <c r="P761" s="153">
        <v>0</v>
      </c>
      <c r="Q761" s="153">
        <v>0</v>
      </c>
      <c r="R761" s="153">
        <v>0</v>
      </c>
      <c r="S761" s="153">
        <v>0</v>
      </c>
      <c r="T761" s="153">
        <v>0</v>
      </c>
    </row>
    <row r="762" spans="1:23" ht="24" customHeight="1">
      <c r="A762" s="526" t="s">
        <v>1194</v>
      </c>
      <c r="B762" s="526"/>
      <c r="C762" s="526"/>
      <c r="D762" s="564" t="s">
        <v>1195</v>
      </c>
      <c r="E762" s="564"/>
      <c r="F762" s="564"/>
      <c r="G762" s="564"/>
      <c r="H762" s="564"/>
      <c r="I762" s="564"/>
      <c r="J762" s="564"/>
      <c r="K762" s="564"/>
      <c r="L762" s="212">
        <v>67600</v>
      </c>
      <c r="M762" s="212">
        <v>0</v>
      </c>
      <c r="N762" s="156">
        <v>0</v>
      </c>
      <c r="O762" s="156">
        <v>0</v>
      </c>
      <c r="P762" s="153">
        <v>0</v>
      </c>
      <c r="Q762" s="153">
        <v>0</v>
      </c>
      <c r="R762" s="153">
        <v>0</v>
      </c>
      <c r="S762" s="153">
        <v>0</v>
      </c>
      <c r="T762" s="153">
        <v>0</v>
      </c>
    </row>
    <row r="763" spans="1:23" ht="24" customHeight="1">
      <c r="A763" s="690" t="s">
        <v>1314</v>
      </c>
      <c r="B763" s="690"/>
      <c r="C763" s="690"/>
      <c r="D763" s="690" t="s">
        <v>1315</v>
      </c>
      <c r="E763" s="690"/>
      <c r="F763" s="690"/>
      <c r="G763" s="690"/>
      <c r="H763" s="690"/>
      <c r="I763" s="690"/>
      <c r="J763" s="690"/>
      <c r="K763" s="690"/>
      <c r="L763" s="212">
        <v>0</v>
      </c>
      <c r="M763" s="212">
        <v>1071</v>
      </c>
      <c r="N763" s="156">
        <v>0</v>
      </c>
      <c r="O763" s="156">
        <v>0</v>
      </c>
      <c r="P763" s="153">
        <v>0</v>
      </c>
      <c r="Q763" s="153">
        <v>0</v>
      </c>
      <c r="R763" s="153">
        <v>0</v>
      </c>
      <c r="S763" s="153">
        <v>0</v>
      </c>
      <c r="T763" s="153">
        <v>0</v>
      </c>
    </row>
    <row r="764" spans="1:23" ht="24" customHeight="1">
      <c r="A764" s="646" t="s">
        <v>1266</v>
      </c>
      <c r="B764" s="646"/>
      <c r="C764" s="646"/>
      <c r="D764" s="646" t="s">
        <v>1267</v>
      </c>
      <c r="E764" s="646"/>
      <c r="F764" s="646"/>
      <c r="G764" s="646"/>
      <c r="H764" s="646"/>
      <c r="I764" s="646"/>
      <c r="J764" s="646"/>
      <c r="K764" s="646"/>
      <c r="L764" s="212">
        <v>0</v>
      </c>
      <c r="M764" s="212">
        <v>0</v>
      </c>
      <c r="N764" s="156">
        <v>0</v>
      </c>
      <c r="O764" s="156">
        <v>97162</v>
      </c>
      <c r="P764" s="153">
        <v>0</v>
      </c>
      <c r="Q764" s="153">
        <v>0</v>
      </c>
      <c r="R764" s="153">
        <v>0</v>
      </c>
      <c r="S764" s="153">
        <v>0</v>
      </c>
      <c r="T764" s="153">
        <v>0</v>
      </c>
      <c r="V764" s="344"/>
      <c r="W764" s="344"/>
    </row>
    <row r="765" spans="1:23" ht="24" customHeight="1">
      <c r="A765" s="663" t="s">
        <v>1287</v>
      </c>
      <c r="B765" s="663"/>
      <c r="C765" s="663"/>
      <c r="D765" s="663" t="s">
        <v>1288</v>
      </c>
      <c r="E765" s="663"/>
      <c r="F765" s="663"/>
      <c r="G765" s="663"/>
      <c r="H765" s="663"/>
      <c r="I765" s="663"/>
      <c r="J765" s="663"/>
      <c r="K765" s="663"/>
      <c r="L765" s="212">
        <v>0</v>
      </c>
      <c r="M765" s="212">
        <v>0</v>
      </c>
      <c r="N765" s="156">
        <v>50000</v>
      </c>
      <c r="O765" s="156">
        <v>50000</v>
      </c>
      <c r="P765" s="153">
        <v>0</v>
      </c>
      <c r="Q765" s="153">
        <v>0</v>
      </c>
      <c r="R765" s="153">
        <v>0</v>
      </c>
      <c r="S765" s="153">
        <v>0</v>
      </c>
      <c r="T765" s="153">
        <v>0</v>
      </c>
      <c r="V765" s="148"/>
    </row>
    <row r="766" spans="1:23" ht="24" customHeight="1">
      <c r="A766" s="351" t="s">
        <v>1034</v>
      </c>
      <c r="B766" s="351"/>
      <c r="C766" s="351"/>
      <c r="D766" s="663" t="s">
        <v>1035</v>
      </c>
      <c r="E766" s="663"/>
      <c r="F766" s="663"/>
      <c r="G766" s="663"/>
      <c r="H766" s="663"/>
      <c r="I766" s="663"/>
      <c r="J766" s="663"/>
      <c r="K766" s="663"/>
      <c r="L766" s="212">
        <v>3789</v>
      </c>
      <c r="M766" s="212">
        <v>4410</v>
      </c>
      <c r="N766" s="156">
        <v>2000</v>
      </c>
      <c r="O766" s="156">
        <v>2905</v>
      </c>
      <c r="P766" s="153">
        <v>0</v>
      </c>
      <c r="Q766" s="153">
        <v>0</v>
      </c>
      <c r="R766" s="153">
        <v>0</v>
      </c>
      <c r="S766" s="153">
        <v>0</v>
      </c>
      <c r="T766" s="153">
        <v>0</v>
      </c>
    </row>
    <row r="767" spans="1:23" ht="24" customHeight="1">
      <c r="A767" s="621" t="s">
        <v>1255</v>
      </c>
      <c r="B767" s="621"/>
      <c r="C767" s="621"/>
      <c r="D767" s="620" t="s">
        <v>985</v>
      </c>
      <c r="E767" s="621"/>
      <c r="F767" s="621"/>
      <c r="G767" s="621"/>
      <c r="H767" s="621"/>
      <c r="I767" s="621"/>
      <c r="J767" s="621"/>
      <c r="K767" s="621"/>
      <c r="L767" s="217">
        <v>0</v>
      </c>
      <c r="M767" s="217">
        <v>2500</v>
      </c>
      <c r="N767" s="162">
        <v>2500</v>
      </c>
      <c r="O767" s="162">
        <v>2500</v>
      </c>
      <c r="P767" s="161">
        <v>0</v>
      </c>
      <c r="Q767" s="161">
        <v>0</v>
      </c>
      <c r="R767" s="161">
        <v>0</v>
      </c>
      <c r="S767" s="161">
        <v>0</v>
      </c>
      <c r="T767" s="161">
        <v>0</v>
      </c>
      <c r="V767" s="148"/>
    </row>
    <row r="768" spans="1:23" ht="15" customHeight="1">
      <c r="A768" s="202"/>
      <c r="B768" s="202"/>
      <c r="C768" s="202"/>
      <c r="D768" s="202"/>
      <c r="E768" s="202"/>
      <c r="F768" s="202"/>
      <c r="G768" s="202"/>
      <c r="H768" s="202"/>
      <c r="I768" s="202"/>
      <c r="J768" s="202"/>
      <c r="K768" s="202"/>
      <c r="L768" s="218"/>
      <c r="M768" s="218"/>
      <c r="N768" s="164"/>
      <c r="O768" s="164"/>
      <c r="P768" s="163"/>
      <c r="Q768" s="163"/>
      <c r="R768" s="163"/>
      <c r="S768" s="163"/>
      <c r="T768" s="163"/>
    </row>
    <row r="769" spans="1:37" s="202" customFormat="1" ht="24" customHeight="1">
      <c r="K769" s="267" t="s">
        <v>481</v>
      </c>
      <c r="L769" s="220">
        <f t="shared" ref="L769:T769" si="77">SUM(L750:L768)</f>
        <v>125532</v>
      </c>
      <c r="M769" s="220">
        <f t="shared" si="77"/>
        <v>130863</v>
      </c>
      <c r="N769" s="221">
        <f t="shared" si="77"/>
        <v>90500</v>
      </c>
      <c r="O769" s="221">
        <f t="shared" si="77"/>
        <v>213762</v>
      </c>
      <c r="P769" s="220">
        <f t="shared" si="77"/>
        <v>714113</v>
      </c>
      <c r="Q769" s="220">
        <f t="shared" si="77"/>
        <v>11638</v>
      </c>
      <c r="R769" s="220">
        <f t="shared" si="77"/>
        <v>0</v>
      </c>
      <c r="S769" s="220">
        <f t="shared" si="77"/>
        <v>0</v>
      </c>
      <c r="T769" s="220">
        <f t="shared" si="77"/>
        <v>0</v>
      </c>
      <c r="U769" s="65"/>
      <c r="V769" s="845"/>
      <c r="W769" s="845"/>
      <c r="X769" s="844"/>
      <c r="Y769" s="838"/>
      <c r="Z769" s="838"/>
      <c r="AA769" s="838"/>
      <c r="AB769" s="838"/>
      <c r="AC769" s="838"/>
      <c r="AD769" s="838"/>
      <c r="AE769" s="838"/>
      <c r="AF769" s="838"/>
      <c r="AG769" s="838"/>
      <c r="AH769" s="838"/>
      <c r="AI769" s="838"/>
      <c r="AJ769" s="838"/>
      <c r="AK769" s="838"/>
    </row>
    <row r="770" spans="1:37" ht="15" customHeight="1">
      <c r="A770" s="202"/>
      <c r="B770" s="202"/>
      <c r="C770" s="202"/>
      <c r="D770" s="202"/>
      <c r="E770" s="202"/>
      <c r="F770" s="202"/>
      <c r="G770" s="202"/>
      <c r="H770" s="202"/>
      <c r="I770" s="202"/>
      <c r="J770" s="202"/>
      <c r="K770" s="202"/>
      <c r="L770" s="218"/>
      <c r="M770" s="218"/>
      <c r="N770" s="164"/>
      <c r="O770" s="164"/>
      <c r="P770" s="163"/>
      <c r="Q770" s="163"/>
      <c r="R770" s="163"/>
      <c r="S770" s="163"/>
      <c r="T770" s="163"/>
      <c r="V770" s="845"/>
      <c r="W770" s="845"/>
      <c r="X770" s="844"/>
    </row>
    <row r="771" spans="1:37" ht="24" customHeight="1">
      <c r="A771" s="263" t="s">
        <v>1025</v>
      </c>
      <c r="B771" s="347"/>
      <c r="C771" s="347"/>
      <c r="D771" s="347" t="s">
        <v>798</v>
      </c>
      <c r="E771" s="347"/>
      <c r="F771" s="347"/>
      <c r="G771" s="346"/>
      <c r="H771" s="346"/>
      <c r="I771" s="346"/>
      <c r="J771" s="346"/>
      <c r="K771" s="346"/>
      <c r="L771" s="209">
        <v>3570</v>
      </c>
      <c r="M771" s="209">
        <v>1103</v>
      </c>
      <c r="N771" s="147">
        <v>0</v>
      </c>
      <c r="O771" s="147">
        <v>0</v>
      </c>
      <c r="P771" s="146">
        <v>0</v>
      </c>
      <c r="Q771" s="146">
        <v>0</v>
      </c>
      <c r="R771" s="146">
        <v>0</v>
      </c>
      <c r="S771" s="146">
        <v>0</v>
      </c>
      <c r="T771" s="146">
        <v>0</v>
      </c>
      <c r="V771" s="148"/>
    </row>
    <row r="772" spans="1:37" ht="24" customHeight="1">
      <c r="A772" s="819" t="s">
        <v>1404</v>
      </c>
      <c r="B772" s="818"/>
      <c r="C772" s="818"/>
      <c r="D772" s="818" t="s">
        <v>1405</v>
      </c>
      <c r="E772" s="818"/>
      <c r="F772" s="818"/>
      <c r="G772" s="817"/>
      <c r="H772" s="817"/>
      <c r="I772" s="817"/>
      <c r="J772" s="817"/>
      <c r="K772" s="817"/>
      <c r="L772" s="209">
        <v>0</v>
      </c>
      <c r="M772" s="209">
        <v>0</v>
      </c>
      <c r="N772" s="147">
        <v>0</v>
      </c>
      <c r="O772" s="147">
        <v>0</v>
      </c>
      <c r="P772" s="146">
        <v>300000</v>
      </c>
      <c r="Q772" s="146">
        <v>0</v>
      </c>
      <c r="R772" s="146">
        <v>0</v>
      </c>
      <c r="S772" s="146">
        <v>0</v>
      </c>
      <c r="T772" s="146">
        <v>0</v>
      </c>
      <c r="V772" s="148"/>
    </row>
    <row r="773" spans="1:37" ht="24" customHeight="1">
      <c r="A773" s="819" t="s">
        <v>1406</v>
      </c>
      <c r="B773" s="818"/>
      <c r="C773" s="818"/>
      <c r="D773" s="818" t="s">
        <v>1407</v>
      </c>
      <c r="E773" s="818"/>
      <c r="F773" s="818"/>
      <c r="G773" s="817"/>
      <c r="H773" s="817"/>
      <c r="I773" s="817"/>
      <c r="J773" s="817"/>
      <c r="K773" s="817"/>
      <c r="L773" s="209">
        <v>0</v>
      </c>
      <c r="M773" s="209">
        <v>0</v>
      </c>
      <c r="N773" s="147">
        <v>0</v>
      </c>
      <c r="O773" s="147">
        <v>0</v>
      </c>
      <c r="P773" s="146">
        <v>0</v>
      </c>
      <c r="Q773" s="146">
        <v>0</v>
      </c>
      <c r="R773" s="146">
        <v>0</v>
      </c>
      <c r="S773" s="146">
        <v>0</v>
      </c>
      <c r="T773" s="146">
        <v>24000</v>
      </c>
      <c r="V773" s="148"/>
    </row>
    <row r="774" spans="1:37" ht="24" customHeight="1">
      <c r="A774" s="662" t="s">
        <v>1283</v>
      </c>
      <c r="B774" s="661"/>
      <c r="C774" s="661"/>
      <c r="D774" s="662" t="s">
        <v>1284</v>
      </c>
      <c r="E774" s="661"/>
      <c r="F774" s="661"/>
      <c r="G774" s="661"/>
      <c r="H774" s="661"/>
      <c r="I774" s="661"/>
      <c r="J774" s="661"/>
      <c r="K774" s="661"/>
      <c r="L774" s="212">
        <v>0</v>
      </c>
      <c r="M774" s="212">
        <v>0</v>
      </c>
      <c r="N774" s="156">
        <v>0</v>
      </c>
      <c r="O774" s="156">
        <v>0</v>
      </c>
      <c r="P774" s="153">
        <v>0</v>
      </c>
      <c r="Q774" s="153">
        <v>50000</v>
      </c>
      <c r="R774" s="153">
        <v>0</v>
      </c>
      <c r="S774" s="153">
        <v>0</v>
      </c>
      <c r="T774" s="153">
        <v>0</v>
      </c>
      <c r="V774" s="148"/>
    </row>
    <row r="775" spans="1:37" ht="24" customHeight="1">
      <c r="A775" s="263" t="s">
        <v>393</v>
      </c>
      <c r="B775" s="264"/>
      <c r="C775" s="264"/>
      <c r="D775" s="654" t="s">
        <v>1082</v>
      </c>
      <c r="E775" s="653"/>
      <c r="F775" s="653"/>
      <c r="G775" s="653"/>
      <c r="H775" s="653"/>
      <c r="I775" s="653"/>
      <c r="J775" s="653"/>
      <c r="K775" s="653"/>
      <c r="L775" s="212">
        <v>12000</v>
      </c>
      <c r="M775" s="212">
        <v>8612</v>
      </c>
      <c r="N775" s="156">
        <v>0</v>
      </c>
      <c r="O775" s="156">
        <v>0</v>
      </c>
      <c r="P775" s="153">
        <v>0</v>
      </c>
      <c r="Q775" s="153">
        <v>0</v>
      </c>
      <c r="R775" s="153">
        <v>0</v>
      </c>
      <c r="S775" s="153">
        <v>0</v>
      </c>
      <c r="T775" s="153">
        <v>0</v>
      </c>
      <c r="V775" s="148"/>
    </row>
    <row r="776" spans="1:37" ht="24" customHeight="1">
      <c r="A776" s="263" t="s">
        <v>1084</v>
      </c>
      <c r="B776" s="394"/>
      <c r="C776" s="394"/>
      <c r="D776" s="750" t="s">
        <v>1085</v>
      </c>
      <c r="E776" s="748"/>
      <c r="F776" s="748"/>
      <c r="G776" s="748"/>
      <c r="H776" s="748"/>
      <c r="I776" s="748"/>
      <c r="J776" s="748"/>
      <c r="K776" s="748"/>
      <c r="L776" s="212">
        <v>0</v>
      </c>
      <c r="M776" s="212">
        <v>10197</v>
      </c>
      <c r="N776" s="156">
        <v>183783</v>
      </c>
      <c r="O776" s="156">
        <v>360000</v>
      </c>
      <c r="P776" s="153">
        <v>50000</v>
      </c>
      <c r="Q776" s="153">
        <v>0</v>
      </c>
      <c r="R776" s="153">
        <v>0</v>
      </c>
      <c r="S776" s="153">
        <v>0</v>
      </c>
      <c r="T776" s="153">
        <v>0</v>
      </c>
      <c r="V776" s="163"/>
      <c r="W776" s="148"/>
    </row>
    <row r="777" spans="1:37" ht="24" customHeight="1">
      <c r="A777" s="263" t="s">
        <v>394</v>
      </c>
      <c r="B777" s="264"/>
      <c r="C777" s="264"/>
      <c r="D777" s="750" t="s">
        <v>395</v>
      </c>
      <c r="E777" s="748"/>
      <c r="F777" s="748"/>
      <c r="G777" s="748"/>
      <c r="H777" s="748"/>
      <c r="I777" s="748"/>
      <c r="J777" s="748"/>
      <c r="K777" s="748"/>
      <c r="L777" s="212">
        <v>5362</v>
      </c>
      <c r="M777" s="212">
        <v>9864</v>
      </c>
      <c r="N777" s="156">
        <v>178572</v>
      </c>
      <c r="O777" s="156">
        <v>285000</v>
      </c>
      <c r="P777" s="153">
        <v>40000</v>
      </c>
      <c r="Q777" s="153">
        <v>0</v>
      </c>
      <c r="R777" s="153">
        <v>0</v>
      </c>
      <c r="S777" s="153">
        <v>0</v>
      </c>
      <c r="T777" s="153">
        <v>0</v>
      </c>
      <c r="V777" s="163"/>
      <c r="W777" s="148"/>
    </row>
    <row r="778" spans="1:37" ht="24" customHeight="1">
      <c r="A778" s="263" t="s">
        <v>604</v>
      </c>
      <c r="B778" s="264"/>
      <c r="C778" s="264"/>
      <c r="D778" s="265" t="s">
        <v>602</v>
      </c>
      <c r="E778" s="653"/>
      <c r="F778" s="653"/>
      <c r="G778" s="653"/>
      <c r="H778" s="653"/>
      <c r="I778" s="653"/>
      <c r="J778" s="653"/>
      <c r="K778" s="653"/>
      <c r="L778" s="212">
        <v>9562</v>
      </c>
      <c r="M778" s="212">
        <v>63089</v>
      </c>
      <c r="N778" s="156">
        <v>0</v>
      </c>
      <c r="O778" s="156">
        <v>5831</v>
      </c>
      <c r="P778" s="153">
        <v>0</v>
      </c>
      <c r="Q778" s="153">
        <v>0</v>
      </c>
      <c r="R778" s="153">
        <v>0</v>
      </c>
      <c r="S778" s="153">
        <v>0</v>
      </c>
      <c r="T778" s="153">
        <v>0</v>
      </c>
      <c r="V778" s="163"/>
      <c r="W778" s="148"/>
    </row>
    <row r="779" spans="1:37" ht="24" customHeight="1">
      <c r="A779" s="263" t="s">
        <v>605</v>
      </c>
      <c r="B779" s="264"/>
      <c r="C779" s="264"/>
      <c r="D779" s="265" t="s">
        <v>603</v>
      </c>
      <c r="E779" s="537"/>
      <c r="F779" s="537"/>
      <c r="G779" s="537"/>
      <c r="H779" s="537"/>
      <c r="I779" s="537"/>
      <c r="J779" s="537"/>
      <c r="K779" s="537"/>
      <c r="L779" s="212">
        <v>150</v>
      </c>
      <c r="M779" s="212">
        <v>0</v>
      </c>
      <c r="N779" s="156">
        <v>0</v>
      </c>
      <c r="O779" s="156">
        <v>0</v>
      </c>
      <c r="P779" s="153">
        <v>0</v>
      </c>
      <c r="Q779" s="153">
        <v>0</v>
      </c>
      <c r="R779" s="153">
        <v>0</v>
      </c>
      <c r="S779" s="153">
        <v>0</v>
      </c>
      <c r="T779" s="153">
        <v>0</v>
      </c>
      <c r="V779" s="148"/>
    </row>
    <row r="780" spans="1:37" ht="24" customHeight="1">
      <c r="A780" s="662" t="s">
        <v>1148</v>
      </c>
      <c r="B780" s="661"/>
      <c r="C780" s="661"/>
      <c r="D780" s="265" t="s">
        <v>1147</v>
      </c>
      <c r="E780" s="661"/>
      <c r="F780" s="661"/>
      <c r="G780" s="661"/>
      <c r="H780" s="661"/>
      <c r="I780" s="661"/>
      <c r="J780" s="661"/>
      <c r="K780" s="661"/>
      <c r="L780" s="212">
        <v>0</v>
      </c>
      <c r="M780" s="212">
        <v>0</v>
      </c>
      <c r="N780" s="156">
        <v>0</v>
      </c>
      <c r="O780" s="156">
        <v>0</v>
      </c>
      <c r="P780" s="153">
        <v>25000</v>
      </c>
      <c r="Q780" s="153">
        <v>0</v>
      </c>
      <c r="R780" s="153">
        <v>0</v>
      </c>
      <c r="S780" s="153">
        <v>0</v>
      </c>
      <c r="T780" s="153">
        <v>0</v>
      </c>
      <c r="V780" s="148"/>
    </row>
    <row r="781" spans="1:37" ht="24" customHeight="1">
      <c r="A781" s="662" t="s">
        <v>1289</v>
      </c>
      <c r="B781" s="264"/>
      <c r="C781" s="264"/>
      <c r="D781" s="265" t="s">
        <v>1290</v>
      </c>
      <c r="E781" s="537"/>
      <c r="F781" s="537"/>
      <c r="G781" s="537"/>
      <c r="H781" s="537"/>
      <c r="I781" s="537"/>
      <c r="J781" s="537"/>
      <c r="K781" s="537"/>
      <c r="L781" s="217">
        <v>0</v>
      </c>
      <c r="M781" s="217">
        <v>0</v>
      </c>
      <c r="N781" s="162">
        <v>0</v>
      </c>
      <c r="O781" s="162">
        <v>0</v>
      </c>
      <c r="P781" s="161">
        <v>50000</v>
      </c>
      <c r="Q781" s="161">
        <v>0</v>
      </c>
      <c r="R781" s="161">
        <v>0</v>
      </c>
      <c r="S781" s="161">
        <v>0</v>
      </c>
      <c r="T781" s="161">
        <v>0</v>
      </c>
      <c r="V781" s="148"/>
    </row>
    <row r="782" spans="1:37" ht="15" customHeight="1">
      <c r="A782" s="263"/>
      <c r="B782" s="202"/>
      <c r="C782" s="202"/>
      <c r="D782" s="202"/>
      <c r="E782" s="202"/>
      <c r="F782" s="202"/>
      <c r="G782" s="202"/>
      <c r="H782" s="202"/>
      <c r="I782" s="202"/>
      <c r="J782" s="202"/>
      <c r="K782" s="202"/>
      <c r="L782" s="218"/>
      <c r="M782" s="218"/>
      <c r="N782" s="164"/>
      <c r="O782" s="164"/>
      <c r="P782" s="163"/>
      <c r="Q782" s="163"/>
      <c r="R782" s="163"/>
      <c r="S782" s="163"/>
      <c r="T782" s="163"/>
    </row>
    <row r="783" spans="1:37" s="202" customFormat="1" ht="24" customHeight="1">
      <c r="K783" s="267" t="s">
        <v>484</v>
      </c>
      <c r="L783" s="220">
        <f t="shared" ref="L783:T783" si="78">SUM(L771:L782)</f>
        <v>30644</v>
      </c>
      <c r="M783" s="220">
        <f t="shared" si="78"/>
        <v>92865</v>
      </c>
      <c r="N783" s="221">
        <f t="shared" si="78"/>
        <v>362355</v>
      </c>
      <c r="O783" s="221">
        <f t="shared" si="78"/>
        <v>650831</v>
      </c>
      <c r="P783" s="220">
        <f t="shared" si="78"/>
        <v>465000</v>
      </c>
      <c r="Q783" s="220">
        <f t="shared" si="78"/>
        <v>50000</v>
      </c>
      <c r="R783" s="220">
        <f t="shared" si="78"/>
        <v>0</v>
      </c>
      <c r="S783" s="220">
        <f t="shared" si="78"/>
        <v>0</v>
      </c>
      <c r="T783" s="220">
        <f t="shared" si="78"/>
        <v>24000</v>
      </c>
      <c r="U783" s="65"/>
      <c r="V783" s="845"/>
      <c r="W783" s="845"/>
      <c r="X783" s="844"/>
      <c r="Y783" s="838"/>
      <c r="Z783" s="838"/>
      <c r="AA783" s="838"/>
      <c r="AB783" s="838"/>
      <c r="AC783" s="838"/>
      <c r="AD783" s="838"/>
      <c r="AE783" s="838"/>
      <c r="AF783" s="838"/>
      <c r="AG783" s="838"/>
      <c r="AH783" s="838"/>
      <c r="AI783" s="838"/>
      <c r="AJ783" s="838"/>
      <c r="AK783" s="838"/>
    </row>
    <row r="784" spans="1:37" s="202" customFormat="1" ht="15" customHeight="1">
      <c r="L784" s="237"/>
      <c r="M784" s="237"/>
      <c r="N784" s="238"/>
      <c r="O784" s="238"/>
      <c r="P784" s="237"/>
      <c r="Q784" s="237"/>
      <c r="R784" s="237"/>
      <c r="S784" s="237"/>
      <c r="T784" s="237"/>
      <c r="U784" s="65"/>
      <c r="V784" s="824"/>
      <c r="W784" s="824"/>
      <c r="X784" s="810"/>
      <c r="Y784" s="839"/>
      <c r="Z784" s="838"/>
      <c r="AA784" s="838"/>
      <c r="AB784" s="838"/>
      <c r="AC784" s="838"/>
      <c r="AD784" s="838"/>
      <c r="AE784" s="838"/>
      <c r="AF784" s="838"/>
      <c r="AG784" s="838"/>
      <c r="AH784" s="838"/>
      <c r="AI784" s="838"/>
      <c r="AJ784" s="838"/>
      <c r="AK784" s="838"/>
    </row>
    <row r="785" spans="1:37" s="202" customFormat="1" ht="24" customHeight="1">
      <c r="K785" s="267" t="s">
        <v>485</v>
      </c>
      <c r="L785" s="237">
        <f t="shared" ref="L785:T785" si="79">L769-L783</f>
        <v>94888</v>
      </c>
      <c r="M785" s="237">
        <f t="shared" si="79"/>
        <v>37998</v>
      </c>
      <c r="N785" s="238">
        <f t="shared" si="79"/>
        <v>-271855</v>
      </c>
      <c r="O785" s="238">
        <f t="shared" si="79"/>
        <v>-437069</v>
      </c>
      <c r="P785" s="237">
        <f t="shared" si="79"/>
        <v>249113</v>
      </c>
      <c r="Q785" s="237">
        <f t="shared" si="79"/>
        <v>-38362</v>
      </c>
      <c r="R785" s="237">
        <f t="shared" si="79"/>
        <v>0</v>
      </c>
      <c r="S785" s="237">
        <f t="shared" si="79"/>
        <v>0</v>
      </c>
      <c r="T785" s="237">
        <f t="shared" si="79"/>
        <v>-24000</v>
      </c>
      <c r="U785" s="65"/>
      <c r="V785" s="839"/>
      <c r="W785" s="839"/>
      <c r="X785" s="839"/>
      <c r="Y785" s="839"/>
      <c r="Z785" s="838"/>
      <c r="AA785" s="838"/>
      <c r="AB785" s="838"/>
      <c r="AC785" s="838"/>
      <c r="AD785" s="838"/>
      <c r="AE785" s="838"/>
      <c r="AF785" s="838"/>
      <c r="AG785" s="838"/>
      <c r="AH785" s="838"/>
      <c r="AI785" s="838"/>
      <c r="AJ785" s="838"/>
      <c r="AK785" s="838"/>
    </row>
    <row r="786" spans="1:37" s="202" customFormat="1" ht="15" customHeight="1">
      <c r="L786" s="237"/>
      <c r="M786" s="237"/>
      <c r="N786" s="238"/>
      <c r="O786" s="238"/>
      <c r="P786" s="237"/>
      <c r="Q786" s="237"/>
      <c r="R786" s="237"/>
      <c r="S786" s="237"/>
      <c r="T786" s="237"/>
      <c r="U786" s="65"/>
      <c r="V786" s="838"/>
      <c r="W786" s="838"/>
      <c r="X786" s="838"/>
      <c r="Y786" s="838"/>
      <c r="Z786" s="838"/>
      <c r="AA786" s="838"/>
      <c r="AB786" s="838"/>
      <c r="AC786" s="838"/>
      <c r="AD786" s="838"/>
      <c r="AE786" s="838"/>
      <c r="AF786" s="838"/>
      <c r="AG786" s="838"/>
      <c r="AH786" s="838"/>
      <c r="AI786" s="838"/>
      <c r="AJ786" s="838"/>
      <c r="AK786" s="838"/>
    </row>
    <row r="787" spans="1:37" s="202" customFormat="1" ht="24" customHeight="1">
      <c r="K787" s="272" t="s">
        <v>487</v>
      </c>
      <c r="L787" s="237">
        <v>212318</v>
      </c>
      <c r="M787" s="237">
        <v>250318</v>
      </c>
      <c r="N787" s="238">
        <v>56726</v>
      </c>
      <c r="O787" s="238">
        <f>M787+O785</f>
        <v>-186751</v>
      </c>
      <c r="P787" s="237">
        <f>O787+P785</f>
        <v>62362</v>
      </c>
      <c r="Q787" s="237">
        <f>P787+Q785</f>
        <v>24000</v>
      </c>
      <c r="R787" s="237">
        <f>Q787+R785</f>
        <v>24000</v>
      </c>
      <c r="S787" s="237">
        <f>R787+S785</f>
        <v>24000</v>
      </c>
      <c r="T787" s="237">
        <f>S787+T785</f>
        <v>0</v>
      </c>
      <c r="U787" s="65"/>
      <c r="V787" s="838"/>
      <c r="W787" s="838"/>
      <c r="X787" s="838"/>
      <c r="Y787" s="838"/>
      <c r="Z787" s="838"/>
      <c r="AA787" s="838"/>
      <c r="AB787" s="838"/>
      <c r="AC787" s="838"/>
      <c r="AD787" s="838"/>
      <c r="AE787" s="838"/>
      <c r="AF787" s="838"/>
      <c r="AG787" s="838"/>
      <c r="AH787" s="838"/>
      <c r="AI787" s="838"/>
      <c r="AJ787" s="838"/>
      <c r="AK787" s="838"/>
    </row>
    <row r="788" spans="1:37" ht="15" customHeight="1">
      <c r="A788" s="202"/>
      <c r="B788" s="202"/>
      <c r="C788" s="202"/>
      <c r="D788" s="202"/>
      <c r="E788" s="202"/>
      <c r="F788" s="202"/>
      <c r="G788" s="202"/>
      <c r="H788" s="202"/>
      <c r="I788" s="202"/>
      <c r="J788" s="202"/>
      <c r="K788" s="202"/>
      <c r="L788" s="354"/>
      <c r="M788" s="354"/>
      <c r="N788" s="358"/>
      <c r="O788" s="358"/>
      <c r="P788" s="359"/>
      <c r="Q788" s="359"/>
      <c r="R788" s="359"/>
      <c r="S788" s="359"/>
      <c r="T788" s="359"/>
    </row>
    <row r="789" spans="1:37" ht="24" customHeight="1">
      <c r="A789" s="274" t="s">
        <v>499</v>
      </c>
      <c r="B789" s="202"/>
      <c r="C789" s="202"/>
      <c r="D789" s="202"/>
      <c r="E789" s="202"/>
      <c r="F789" s="202"/>
      <c r="G789" s="202"/>
      <c r="H789" s="202"/>
      <c r="I789" s="202"/>
      <c r="J789" s="202"/>
      <c r="K789" s="202"/>
      <c r="L789" s="261"/>
      <c r="M789" s="261"/>
      <c r="N789" s="352"/>
      <c r="O789" s="352"/>
      <c r="P789" s="353"/>
      <c r="Q789" s="353"/>
      <c r="R789" s="353"/>
      <c r="S789" s="353"/>
      <c r="T789" s="353"/>
    </row>
    <row r="790" spans="1:37" ht="15" customHeight="1">
      <c r="A790" s="202"/>
      <c r="B790" s="202"/>
      <c r="C790" s="202"/>
      <c r="D790" s="202"/>
      <c r="E790" s="202"/>
      <c r="F790" s="202"/>
      <c r="G790" s="202"/>
      <c r="H790" s="202"/>
      <c r="I790" s="202"/>
      <c r="J790" s="202"/>
      <c r="K790" s="202"/>
      <c r="L790" s="261"/>
      <c r="M790" s="261"/>
      <c r="N790" s="352"/>
      <c r="O790" s="352"/>
      <c r="P790" s="353"/>
      <c r="Q790" s="353"/>
      <c r="R790" s="353"/>
      <c r="S790" s="353"/>
      <c r="T790" s="353"/>
    </row>
    <row r="791" spans="1:37" ht="24" customHeight="1">
      <c r="A791" s="798" t="s">
        <v>1394</v>
      </c>
      <c r="B791" s="797"/>
      <c r="C791" s="797"/>
      <c r="D791" s="282" t="s">
        <v>1118</v>
      </c>
      <c r="E791" s="797"/>
      <c r="F791" s="797"/>
      <c r="G791" s="797"/>
      <c r="H791" s="797"/>
      <c r="I791" s="797"/>
      <c r="J791" s="797"/>
      <c r="K791" s="797"/>
      <c r="L791" s="213">
        <v>0</v>
      </c>
      <c r="M791" s="213">
        <v>0</v>
      </c>
      <c r="N791" s="155">
        <v>0</v>
      </c>
      <c r="O791" s="155">
        <v>0</v>
      </c>
      <c r="P791" s="154">
        <v>81815</v>
      </c>
      <c r="Q791" s="154">
        <v>0</v>
      </c>
      <c r="R791" s="154">
        <v>0</v>
      </c>
      <c r="S791" s="154">
        <v>0</v>
      </c>
      <c r="T791" s="154">
        <v>0</v>
      </c>
      <c r="V791" s="148"/>
    </row>
    <row r="792" spans="1:37" ht="24" customHeight="1">
      <c r="A792" s="263" t="s">
        <v>827</v>
      </c>
      <c r="B792" s="202"/>
      <c r="C792" s="202"/>
      <c r="D792" s="550" t="s">
        <v>828</v>
      </c>
      <c r="E792" s="551"/>
      <c r="F792" s="551"/>
      <c r="G792" s="551"/>
      <c r="H792" s="551"/>
      <c r="I792" s="551"/>
      <c r="J792" s="551"/>
      <c r="K792" s="551"/>
      <c r="L792" s="213">
        <v>100756</v>
      </c>
      <c r="M792" s="213">
        <v>109109</v>
      </c>
      <c r="N792" s="155">
        <v>85000</v>
      </c>
      <c r="O792" s="155">
        <v>90000</v>
      </c>
      <c r="P792" s="154">
        <v>90000</v>
      </c>
      <c r="Q792" s="154">
        <v>90000</v>
      </c>
      <c r="R792" s="154">
        <v>90000</v>
      </c>
      <c r="S792" s="154">
        <v>90000</v>
      </c>
      <c r="T792" s="154">
        <v>90000</v>
      </c>
    </row>
    <row r="793" spans="1:37" ht="24" customHeight="1">
      <c r="A793" s="263" t="s">
        <v>829</v>
      </c>
      <c r="B793" s="202"/>
      <c r="C793" s="202"/>
      <c r="D793" s="550" t="s">
        <v>830</v>
      </c>
      <c r="E793" s="551"/>
      <c r="F793" s="551"/>
      <c r="G793" s="551"/>
      <c r="H793" s="551"/>
      <c r="I793" s="551"/>
      <c r="J793" s="551"/>
      <c r="K793" s="551"/>
      <c r="L793" s="213">
        <v>110861</v>
      </c>
      <c r="M793" s="213">
        <v>135445</v>
      </c>
      <c r="N793" s="155">
        <v>120000</v>
      </c>
      <c r="O793" s="155">
        <v>140000</v>
      </c>
      <c r="P793" s="154">
        <v>130000</v>
      </c>
      <c r="Q793" s="154">
        <v>130000</v>
      </c>
      <c r="R793" s="154">
        <v>130000</v>
      </c>
      <c r="S793" s="154">
        <v>130000</v>
      </c>
      <c r="T793" s="154">
        <v>130000</v>
      </c>
    </row>
    <row r="794" spans="1:37" ht="24" customHeight="1">
      <c r="A794" s="263" t="s">
        <v>831</v>
      </c>
      <c r="B794" s="202"/>
      <c r="C794" s="202"/>
      <c r="D794" s="550" t="s">
        <v>967</v>
      </c>
      <c r="E794" s="551"/>
      <c r="F794" s="551"/>
      <c r="G794" s="551"/>
      <c r="H794" s="551"/>
      <c r="I794" s="551"/>
      <c r="J794" s="551"/>
      <c r="K794" s="551"/>
      <c r="L794" s="213">
        <v>163420</v>
      </c>
      <c r="M794" s="213">
        <v>178613</v>
      </c>
      <c r="N794" s="155">
        <v>160000</v>
      </c>
      <c r="O794" s="155">
        <v>185000</v>
      </c>
      <c r="P794" s="154">
        <v>180000</v>
      </c>
      <c r="Q794" s="154">
        <v>180000</v>
      </c>
      <c r="R794" s="154">
        <v>180000</v>
      </c>
      <c r="S794" s="154">
        <v>180000</v>
      </c>
      <c r="T794" s="154">
        <v>180000</v>
      </c>
    </row>
    <row r="795" spans="1:37" ht="24" customHeight="1">
      <c r="A795" s="263" t="s">
        <v>397</v>
      </c>
      <c r="B795" s="202"/>
      <c r="C795" s="202"/>
      <c r="D795" s="552" t="s">
        <v>398</v>
      </c>
      <c r="E795" s="551"/>
      <c r="F795" s="551"/>
      <c r="G795" s="551"/>
      <c r="H795" s="551"/>
      <c r="I795" s="551"/>
      <c r="J795" s="551"/>
      <c r="K795" s="551"/>
      <c r="L795" s="211">
        <v>33432</v>
      </c>
      <c r="M795" s="211">
        <v>32509</v>
      </c>
      <c r="N795" s="150">
        <v>30000</v>
      </c>
      <c r="O795" s="150">
        <v>31186</v>
      </c>
      <c r="P795" s="149">
        <v>30000</v>
      </c>
      <c r="Q795" s="149">
        <v>30000</v>
      </c>
      <c r="R795" s="149">
        <v>30000</v>
      </c>
      <c r="S795" s="149">
        <v>30000</v>
      </c>
      <c r="T795" s="149">
        <v>30000</v>
      </c>
    </row>
    <row r="796" spans="1:37" ht="24" customHeight="1">
      <c r="A796" s="263" t="s">
        <v>400</v>
      </c>
      <c r="B796" s="264"/>
      <c r="C796" s="264"/>
      <c r="D796" s="907" t="s">
        <v>6</v>
      </c>
      <c r="E796" s="907"/>
      <c r="F796" s="907"/>
      <c r="G796" s="907"/>
      <c r="H796" s="907"/>
      <c r="I796" s="907"/>
      <c r="J796" s="907"/>
      <c r="K796" s="907"/>
      <c r="L796" s="211">
        <v>369</v>
      </c>
      <c r="M796" s="211">
        <v>328</v>
      </c>
      <c r="N796" s="150">
        <v>350</v>
      </c>
      <c r="O796" s="150">
        <v>500</v>
      </c>
      <c r="P796" s="149">
        <v>500</v>
      </c>
      <c r="Q796" s="149">
        <v>500</v>
      </c>
      <c r="R796" s="149">
        <v>500</v>
      </c>
      <c r="S796" s="149">
        <v>500</v>
      </c>
      <c r="T796" s="149">
        <v>500</v>
      </c>
      <c r="V796" s="148"/>
    </row>
    <row r="797" spans="1:37" ht="24" customHeight="1">
      <c r="A797" s="263" t="s">
        <v>617</v>
      </c>
      <c r="B797" s="264"/>
      <c r="C797" s="264"/>
      <c r="D797" s="397" t="s">
        <v>61</v>
      </c>
      <c r="E797" s="397"/>
      <c r="F797" s="397"/>
      <c r="G797" s="397"/>
      <c r="H797" s="397"/>
      <c r="I797" s="397"/>
      <c r="J797" s="397"/>
      <c r="K797" s="397"/>
      <c r="L797" s="212">
        <v>12890</v>
      </c>
      <c r="M797" s="212">
        <v>3002</v>
      </c>
      <c r="N797" s="156">
        <v>0</v>
      </c>
      <c r="O797" s="156">
        <v>174</v>
      </c>
      <c r="P797" s="153">
        <v>0</v>
      </c>
      <c r="Q797" s="153">
        <v>0</v>
      </c>
      <c r="R797" s="153">
        <v>0</v>
      </c>
      <c r="S797" s="153">
        <v>0</v>
      </c>
      <c r="T797" s="153">
        <v>0</v>
      </c>
      <c r="V797" s="151"/>
    </row>
    <row r="798" spans="1:37" ht="24" customHeight="1">
      <c r="A798" s="263" t="s">
        <v>401</v>
      </c>
      <c r="B798" s="202"/>
      <c r="C798" s="202"/>
      <c r="D798" s="554" t="s">
        <v>223</v>
      </c>
      <c r="E798" s="555"/>
      <c r="F798" s="555"/>
      <c r="G798" s="555"/>
      <c r="H798" s="555"/>
      <c r="I798" s="555"/>
      <c r="J798" s="555"/>
      <c r="K798" s="555"/>
      <c r="L798" s="212">
        <v>50921</v>
      </c>
      <c r="M798" s="212">
        <v>53345</v>
      </c>
      <c r="N798" s="158">
        <v>50000</v>
      </c>
      <c r="O798" s="158">
        <v>55000</v>
      </c>
      <c r="P798" s="157">
        <v>55000</v>
      </c>
      <c r="Q798" s="157">
        <v>55000</v>
      </c>
      <c r="R798" s="157">
        <v>55000</v>
      </c>
      <c r="S798" s="157">
        <v>55000</v>
      </c>
      <c r="T798" s="157">
        <v>55000</v>
      </c>
      <c r="V798" s="148"/>
    </row>
    <row r="799" spans="1:37" ht="24" customHeight="1">
      <c r="A799" s="263" t="s">
        <v>606</v>
      </c>
      <c r="B799" s="202"/>
      <c r="C799" s="202"/>
      <c r="D799" s="554" t="s">
        <v>810</v>
      </c>
      <c r="E799" s="555"/>
      <c r="F799" s="555"/>
      <c r="G799" s="555"/>
      <c r="H799" s="555"/>
      <c r="I799" s="555"/>
      <c r="J799" s="555"/>
      <c r="K799" s="555"/>
      <c r="L799" s="212">
        <v>19602</v>
      </c>
      <c r="M799" s="212">
        <v>13221</v>
      </c>
      <c r="N799" s="158">
        <v>15000</v>
      </c>
      <c r="O799" s="158">
        <v>20163</v>
      </c>
      <c r="P799" s="157">
        <v>15000</v>
      </c>
      <c r="Q799" s="157">
        <v>15000</v>
      </c>
      <c r="R799" s="157">
        <v>15000</v>
      </c>
      <c r="S799" s="157">
        <v>15000</v>
      </c>
      <c r="T799" s="157">
        <v>15000</v>
      </c>
      <c r="V799" s="148"/>
    </row>
    <row r="800" spans="1:37" ht="24" customHeight="1">
      <c r="A800" s="263" t="s">
        <v>847</v>
      </c>
      <c r="B800" s="202"/>
      <c r="C800" s="202"/>
      <c r="D800" s="642" t="s">
        <v>399</v>
      </c>
      <c r="E800" s="641"/>
      <c r="F800" s="641"/>
      <c r="G800" s="641"/>
      <c r="H800" s="641"/>
      <c r="I800" s="641"/>
      <c r="J800" s="641"/>
      <c r="K800" s="641"/>
      <c r="L800" s="211">
        <v>106579</v>
      </c>
      <c r="M800" s="211">
        <v>117354</v>
      </c>
      <c r="N800" s="150">
        <v>108000</v>
      </c>
      <c r="O800" s="150">
        <v>128156</v>
      </c>
      <c r="P800" s="149">
        <v>108000</v>
      </c>
      <c r="Q800" s="149">
        <v>108000</v>
      </c>
      <c r="R800" s="149">
        <v>108000</v>
      </c>
      <c r="S800" s="149">
        <v>108000</v>
      </c>
      <c r="T800" s="149">
        <v>108000</v>
      </c>
    </row>
    <row r="801" spans="1:37" ht="24" customHeight="1">
      <c r="A801" s="263" t="s">
        <v>402</v>
      </c>
      <c r="B801" s="202"/>
      <c r="C801" s="202"/>
      <c r="D801" s="263" t="s">
        <v>968</v>
      </c>
      <c r="E801" s="202"/>
      <c r="F801" s="202"/>
      <c r="G801" s="202"/>
      <c r="H801" s="202"/>
      <c r="I801" s="202"/>
      <c r="J801" s="202"/>
      <c r="K801" s="202"/>
      <c r="L801" s="215">
        <v>18917</v>
      </c>
      <c r="M801" s="215">
        <v>20547</v>
      </c>
      <c r="N801" s="158">
        <v>20000</v>
      </c>
      <c r="O801" s="158">
        <v>20000</v>
      </c>
      <c r="P801" s="157">
        <v>20000</v>
      </c>
      <c r="Q801" s="157">
        <v>20000</v>
      </c>
      <c r="R801" s="157">
        <v>20000</v>
      </c>
      <c r="S801" s="157">
        <v>20000</v>
      </c>
      <c r="T801" s="157">
        <v>20000</v>
      </c>
    </row>
    <row r="802" spans="1:37" ht="24" customHeight="1">
      <c r="A802" s="263" t="s">
        <v>403</v>
      </c>
      <c r="B802" s="202"/>
      <c r="C802" s="202"/>
      <c r="D802" s="263" t="s">
        <v>7</v>
      </c>
      <c r="E802" s="202"/>
      <c r="F802" s="202"/>
      <c r="G802" s="202"/>
      <c r="H802" s="202"/>
      <c r="I802" s="202"/>
      <c r="J802" s="202"/>
      <c r="K802" s="202"/>
      <c r="L802" s="211">
        <v>23685</v>
      </c>
      <c r="M802" s="211">
        <v>5503</v>
      </c>
      <c r="N802" s="150">
        <v>3000</v>
      </c>
      <c r="O802" s="150">
        <v>9000</v>
      </c>
      <c r="P802" s="149">
        <v>3000</v>
      </c>
      <c r="Q802" s="149">
        <v>3000</v>
      </c>
      <c r="R802" s="149">
        <v>3000</v>
      </c>
      <c r="S802" s="149">
        <v>3000</v>
      </c>
      <c r="T802" s="149">
        <v>3000</v>
      </c>
      <c r="U802" s="307"/>
    </row>
    <row r="803" spans="1:37" ht="24" customHeight="1">
      <c r="A803" s="263" t="s">
        <v>404</v>
      </c>
      <c r="B803" s="264"/>
      <c r="C803" s="264"/>
      <c r="D803" s="263" t="s">
        <v>255</v>
      </c>
      <c r="E803" s="405"/>
      <c r="F803" s="405"/>
      <c r="G803" s="405"/>
      <c r="H803" s="405"/>
      <c r="I803" s="405"/>
      <c r="J803" s="405"/>
      <c r="K803" s="264"/>
      <c r="L803" s="226">
        <v>1076831</v>
      </c>
      <c r="M803" s="226">
        <v>1118638</v>
      </c>
      <c r="N803" s="174">
        <v>1308583</v>
      </c>
      <c r="O803" s="174">
        <v>1308583</v>
      </c>
      <c r="P803" s="173">
        <f>1454026+55507-1469+50-153470-6558-8938-7000+14238+18786-3176+74324+25736-10845+10366-81121-275-85207+11593-43517+47769-49139+5325+7741-300+18749+2320-16979-3837</f>
        <v>1274699</v>
      </c>
      <c r="Q803" s="173">
        <f>1522784+49332-1742+50-162005-7018-9243-7000+15364+20267-2958+78907+1932-11120+11163-12119+28265-41458+10009-2571-12185+5385-175-356+9794+16915-16124-3666</f>
        <v>1480427</v>
      </c>
      <c r="R803" s="173">
        <f>1595743+42380-2043+50-171047-7509-9562-7000+16577+21866-3117+82264+5334-11858+12025-13726+27005-42803+11859-6425-6000-800-175-710+10718+17453-17414-3975</f>
        <v>1539110</v>
      </c>
      <c r="S803" s="173">
        <f>1595743+42380-2043+50-171047-7509-9562-7000+16577+21866+59225+85583+5690-12648+12953-16469+27859-45154+11934-8454-6000-800-175-710-396+11718+18013-18805-4223</f>
        <v>1598596</v>
      </c>
      <c r="T803" s="173">
        <f>1595743+42380-2043+50-171047-7509-9562-7000+16577+21866+59225+85583+5690-12648+12953+50431+39494-47669+12009-10664-6000-800-175-1545+12794+18591-20309-4495</f>
        <v>1671920</v>
      </c>
      <c r="U803" s="307"/>
      <c r="V803" s="148"/>
    </row>
    <row r="804" spans="1:37" ht="15" customHeight="1">
      <c r="A804" s="202"/>
      <c r="B804" s="202"/>
      <c r="C804" s="202"/>
      <c r="D804" s="202"/>
      <c r="E804" s="202"/>
      <c r="F804" s="202"/>
      <c r="G804" s="202"/>
      <c r="H804" s="202"/>
      <c r="I804" s="202"/>
      <c r="J804" s="202"/>
      <c r="K804" s="202"/>
      <c r="L804" s="218"/>
      <c r="M804" s="218"/>
      <c r="N804" s="164"/>
      <c r="O804" s="164"/>
      <c r="P804" s="163"/>
      <c r="Q804" s="163"/>
      <c r="R804" s="163"/>
      <c r="S804" s="163"/>
      <c r="T804" s="163"/>
      <c r="V804" s="845"/>
      <c r="W804" s="845"/>
      <c r="X804" s="844"/>
    </row>
    <row r="805" spans="1:37" s="202" customFormat="1" ht="24" customHeight="1">
      <c r="K805" s="267" t="s">
        <v>481</v>
      </c>
      <c r="L805" s="220">
        <f>SUM(L791:L804)</f>
        <v>1718263</v>
      </c>
      <c r="M805" s="220">
        <f t="shared" ref="M805:T805" si="80">SUM(M791:M804)</f>
        <v>1787614</v>
      </c>
      <c r="N805" s="221">
        <f t="shared" si="80"/>
        <v>1899933</v>
      </c>
      <c r="O805" s="221">
        <f t="shared" si="80"/>
        <v>1987762</v>
      </c>
      <c r="P805" s="220">
        <f>SUM(P791:P804)</f>
        <v>1988014</v>
      </c>
      <c r="Q805" s="220">
        <f t="shared" si="80"/>
        <v>2111927</v>
      </c>
      <c r="R805" s="220">
        <f t="shared" si="80"/>
        <v>2170610</v>
      </c>
      <c r="S805" s="220">
        <f t="shared" si="80"/>
        <v>2230096</v>
      </c>
      <c r="T805" s="220">
        <f t="shared" si="80"/>
        <v>2303420</v>
      </c>
      <c r="U805" s="65"/>
      <c r="V805" s="845"/>
      <c r="W805" s="845"/>
      <c r="X805" s="844"/>
      <c r="Y805" s="838"/>
      <c r="Z805" s="838"/>
      <c r="AA805" s="838"/>
      <c r="AB805" s="838"/>
      <c r="AC805" s="838"/>
      <c r="AD805" s="838"/>
      <c r="AE805" s="838"/>
      <c r="AF805" s="838"/>
      <c r="AG805" s="838"/>
      <c r="AH805" s="838"/>
      <c r="AI805" s="838"/>
      <c r="AJ805" s="838"/>
      <c r="AK805" s="838"/>
    </row>
    <row r="806" spans="1:37" ht="15" customHeight="1">
      <c r="A806" s="202"/>
      <c r="B806" s="202"/>
      <c r="C806" s="202"/>
      <c r="D806" s="202"/>
      <c r="E806" s="202"/>
      <c r="F806" s="202"/>
      <c r="G806" s="202"/>
      <c r="H806" s="202"/>
      <c r="I806" s="202"/>
      <c r="J806" s="202"/>
      <c r="K806" s="202"/>
      <c r="L806" s="218"/>
      <c r="M806" s="218"/>
      <c r="N806" s="164"/>
      <c r="O806" s="164"/>
      <c r="P806" s="163"/>
      <c r="Q806" s="163"/>
      <c r="R806" s="163"/>
      <c r="S806" s="163"/>
      <c r="T806" s="163"/>
    </row>
    <row r="807" spans="1:37" ht="24" customHeight="1">
      <c r="A807" s="267" t="s">
        <v>541</v>
      </c>
      <c r="B807" s="202"/>
      <c r="C807" s="202"/>
      <c r="D807" s="202"/>
      <c r="E807" s="202"/>
      <c r="F807" s="202"/>
      <c r="G807" s="202"/>
      <c r="H807" s="202"/>
      <c r="I807" s="202"/>
      <c r="J807" s="202"/>
      <c r="K807" s="202"/>
      <c r="L807" s="218"/>
      <c r="M807" s="218"/>
      <c r="N807" s="164"/>
      <c r="O807" s="164"/>
      <c r="P807" s="163"/>
      <c r="Q807" s="163"/>
      <c r="R807" s="163"/>
      <c r="S807" s="163"/>
      <c r="T807" s="163"/>
    </row>
    <row r="808" spans="1:37" ht="24" customHeight="1">
      <c r="A808" s="263" t="s">
        <v>405</v>
      </c>
      <c r="B808" s="264"/>
      <c r="C808" s="264"/>
      <c r="D808" s="263" t="s">
        <v>841</v>
      </c>
      <c r="E808" s="264"/>
      <c r="F808" s="264"/>
      <c r="G808" s="264"/>
      <c r="H808" s="264"/>
      <c r="I808" s="264"/>
      <c r="J808" s="264"/>
      <c r="K808" s="264"/>
      <c r="L808" s="211">
        <v>387634</v>
      </c>
      <c r="M808" s="211">
        <v>425198</v>
      </c>
      <c r="N808" s="158">
        <v>459839</v>
      </c>
      <c r="O808" s="158">
        <v>457000</v>
      </c>
      <c r="P808" s="157">
        <v>485686</v>
      </c>
      <c r="Q808" s="157">
        <v>500257</v>
      </c>
      <c r="R808" s="157">
        <v>515265</v>
      </c>
      <c r="S808" s="157">
        <v>530723</v>
      </c>
      <c r="T808" s="157">
        <v>546645</v>
      </c>
      <c r="V808" s="370"/>
      <c r="W808" s="371"/>
      <c r="X808" s="371"/>
      <c r="Y808" s="371"/>
      <c r="AA808" s="148"/>
    </row>
    <row r="809" spans="1:37" ht="24" customHeight="1">
      <c r="A809" s="263" t="s">
        <v>406</v>
      </c>
      <c r="B809" s="202"/>
      <c r="C809" s="202"/>
      <c r="D809" s="263" t="s">
        <v>69</v>
      </c>
      <c r="E809" s="202"/>
      <c r="F809" s="202"/>
      <c r="G809" s="202"/>
      <c r="H809" s="202"/>
      <c r="I809" s="202"/>
      <c r="J809" s="202"/>
      <c r="K809" s="202"/>
      <c r="L809" s="211">
        <v>24382</v>
      </c>
      <c r="M809" s="211">
        <v>35251</v>
      </c>
      <c r="N809" s="158">
        <v>45000</v>
      </c>
      <c r="O809" s="158">
        <v>45000</v>
      </c>
      <c r="P809" s="157">
        <v>50000</v>
      </c>
      <c r="Q809" s="157">
        <v>50000</v>
      </c>
      <c r="R809" s="157">
        <v>50000</v>
      </c>
      <c r="S809" s="157">
        <v>50000</v>
      </c>
      <c r="T809" s="157">
        <v>50000</v>
      </c>
      <c r="V809" s="370"/>
      <c r="W809" s="371"/>
      <c r="X809" s="371"/>
      <c r="Y809" s="371"/>
      <c r="Z809" s="152"/>
    </row>
    <row r="810" spans="1:37" ht="24" customHeight="1">
      <c r="A810" s="263" t="s">
        <v>407</v>
      </c>
      <c r="B810" s="264"/>
      <c r="C810" s="264"/>
      <c r="D810" s="263" t="s">
        <v>14</v>
      </c>
      <c r="E810" s="264"/>
      <c r="F810" s="264"/>
      <c r="G810" s="264"/>
      <c r="H810" s="264"/>
      <c r="I810" s="264"/>
      <c r="J810" s="264"/>
      <c r="K810" s="264"/>
      <c r="L810" s="211">
        <v>1884</v>
      </c>
      <c r="M810" s="211">
        <v>2091</v>
      </c>
      <c r="N810" s="150">
        <v>3000</v>
      </c>
      <c r="O810" s="150">
        <v>3000</v>
      </c>
      <c r="P810" s="149">
        <v>3000</v>
      </c>
      <c r="Q810" s="149">
        <v>3000</v>
      </c>
      <c r="R810" s="149">
        <v>3000</v>
      </c>
      <c r="S810" s="149">
        <v>3000</v>
      </c>
      <c r="T810" s="149">
        <v>3000</v>
      </c>
      <c r="V810" s="370"/>
      <c r="W810" s="371"/>
      <c r="X810" s="371"/>
      <c r="Y810" s="371"/>
    </row>
    <row r="811" spans="1:37" ht="24" customHeight="1">
      <c r="A811" s="263" t="s">
        <v>408</v>
      </c>
      <c r="B811" s="264"/>
      <c r="C811" s="264"/>
      <c r="D811" s="263" t="s">
        <v>8</v>
      </c>
      <c r="E811" s="264"/>
      <c r="F811" s="264"/>
      <c r="G811" s="264"/>
      <c r="H811" s="264"/>
      <c r="I811" s="264"/>
      <c r="J811" s="264"/>
      <c r="K811" s="264"/>
      <c r="L811" s="211">
        <v>41923</v>
      </c>
      <c r="M811" s="211">
        <v>46256</v>
      </c>
      <c r="N811" s="158">
        <v>52224</v>
      </c>
      <c r="O811" s="158">
        <v>51800</v>
      </c>
      <c r="P811" s="157">
        <v>54010</v>
      </c>
      <c r="Q811" s="149">
        <v>54928</v>
      </c>
      <c r="R811" s="149">
        <v>56576</v>
      </c>
      <c r="S811" s="149">
        <v>58273</v>
      </c>
      <c r="T811" s="149">
        <v>60022</v>
      </c>
      <c r="V811" s="370"/>
      <c r="W811" s="371"/>
      <c r="X811" s="371"/>
      <c r="Y811" s="371"/>
      <c r="Z811" s="148"/>
    </row>
    <row r="812" spans="1:37" ht="24" customHeight="1">
      <c r="A812" s="263" t="s">
        <v>409</v>
      </c>
      <c r="B812" s="202"/>
      <c r="C812" s="202"/>
      <c r="D812" s="263" t="s">
        <v>9</v>
      </c>
      <c r="E812" s="202"/>
      <c r="F812" s="202"/>
      <c r="G812" s="202"/>
      <c r="H812" s="202"/>
      <c r="I812" s="202"/>
      <c r="J812" s="202"/>
      <c r="K812" s="202"/>
      <c r="L812" s="211">
        <v>30890</v>
      </c>
      <c r="M812" s="211">
        <v>34143</v>
      </c>
      <c r="N812" s="158">
        <v>37601</v>
      </c>
      <c r="O812" s="158">
        <v>37000</v>
      </c>
      <c r="P812" s="157">
        <v>39814</v>
      </c>
      <c r="Q812" s="157">
        <v>41008</v>
      </c>
      <c r="R812" s="157">
        <v>42238</v>
      </c>
      <c r="S812" s="157">
        <v>43505</v>
      </c>
      <c r="T812" s="157">
        <v>44810</v>
      </c>
      <c r="V812" s="370"/>
      <c r="W812" s="371"/>
      <c r="X812" s="371"/>
      <c r="Y812" s="371"/>
    </row>
    <row r="813" spans="1:37" ht="24" customHeight="1">
      <c r="A813" s="263" t="s">
        <v>527</v>
      </c>
      <c r="B813" s="202"/>
      <c r="C813" s="202"/>
      <c r="D813" s="263" t="s">
        <v>13</v>
      </c>
      <c r="E813" s="202"/>
      <c r="F813" s="202"/>
      <c r="G813" s="202"/>
      <c r="H813" s="202"/>
      <c r="I813" s="202"/>
      <c r="J813" s="202"/>
      <c r="K813" s="202"/>
      <c r="L813" s="211">
        <v>102203</v>
      </c>
      <c r="M813" s="211">
        <v>119781</v>
      </c>
      <c r="N813" s="155">
        <v>163947</v>
      </c>
      <c r="O813" s="158">
        <f>ROUND((110645.91)+(-669.2*6)+(12082.44*2)+(27.5*4),0)+7000</f>
        <v>137906</v>
      </c>
      <c r="P813" s="157">
        <v>155114</v>
      </c>
      <c r="Q813" s="157">
        <v>167523</v>
      </c>
      <c r="R813" s="157">
        <v>180925</v>
      </c>
      <c r="S813" s="157">
        <v>195399</v>
      </c>
      <c r="T813" s="157">
        <v>211031</v>
      </c>
      <c r="V813" s="370"/>
      <c r="W813" s="371"/>
      <c r="X813" s="370"/>
      <c r="Y813" s="371"/>
      <c r="AA813" s="148"/>
    </row>
    <row r="814" spans="1:37" ht="24" customHeight="1">
      <c r="A814" s="263" t="s">
        <v>528</v>
      </c>
      <c r="B814" s="202"/>
      <c r="C814" s="202"/>
      <c r="D814" s="263" t="s">
        <v>173</v>
      </c>
      <c r="E814" s="202"/>
      <c r="F814" s="202"/>
      <c r="G814" s="202"/>
      <c r="H814" s="202"/>
      <c r="I814" s="202"/>
      <c r="J814" s="202"/>
      <c r="K814" s="202"/>
      <c r="L814" s="211">
        <v>790</v>
      </c>
      <c r="M814" s="211">
        <v>884</v>
      </c>
      <c r="N814" s="155">
        <v>808</v>
      </c>
      <c r="O814" s="155">
        <v>900</v>
      </c>
      <c r="P814" s="154">
        <v>580</v>
      </c>
      <c r="Q814" s="154">
        <v>586</v>
      </c>
      <c r="R814" s="154">
        <v>592</v>
      </c>
      <c r="S814" s="154">
        <v>598</v>
      </c>
      <c r="T814" s="154">
        <v>604</v>
      </c>
      <c r="V814" s="370"/>
      <c r="W814" s="371"/>
      <c r="X814" s="370"/>
      <c r="Y814" s="371"/>
      <c r="AA814" s="148"/>
    </row>
    <row r="815" spans="1:37" ht="24" customHeight="1">
      <c r="A815" s="263" t="s">
        <v>529</v>
      </c>
      <c r="B815" s="202"/>
      <c r="C815" s="202"/>
      <c r="D815" s="263" t="s">
        <v>530</v>
      </c>
      <c r="E815" s="202"/>
      <c r="F815" s="202"/>
      <c r="G815" s="202"/>
      <c r="H815" s="202"/>
      <c r="I815" s="202"/>
      <c r="J815" s="202"/>
      <c r="K815" s="202"/>
      <c r="L815" s="211">
        <v>7978</v>
      </c>
      <c r="M815" s="211">
        <v>8353</v>
      </c>
      <c r="N815" s="155">
        <v>10883</v>
      </c>
      <c r="O815" s="155">
        <v>9700</v>
      </c>
      <c r="P815" s="154">
        <v>10417</v>
      </c>
      <c r="Q815" s="154">
        <v>10938</v>
      </c>
      <c r="R815" s="154">
        <v>11485</v>
      </c>
      <c r="S815" s="154">
        <v>12059</v>
      </c>
      <c r="T815" s="154">
        <v>12662</v>
      </c>
      <c r="V815" s="370"/>
      <c r="W815" s="371"/>
      <c r="X815" s="370"/>
      <c r="Y815" s="371"/>
      <c r="AA815" s="148"/>
    </row>
    <row r="816" spans="1:37" ht="24" customHeight="1">
      <c r="A816" s="263" t="s">
        <v>539</v>
      </c>
      <c r="B816" s="202"/>
      <c r="C816" s="202"/>
      <c r="D816" s="263" t="s">
        <v>532</v>
      </c>
      <c r="E816" s="202"/>
      <c r="F816" s="202"/>
      <c r="G816" s="202"/>
      <c r="H816" s="202"/>
      <c r="I816" s="202"/>
      <c r="J816" s="202"/>
      <c r="K816" s="202"/>
      <c r="L816" s="211">
        <v>947</v>
      </c>
      <c r="M816" s="211">
        <v>1002</v>
      </c>
      <c r="N816" s="155">
        <v>1250</v>
      </c>
      <c r="O816" s="155">
        <v>1325</v>
      </c>
      <c r="P816" s="154">
        <v>1457</v>
      </c>
      <c r="Q816" s="154">
        <v>1457</v>
      </c>
      <c r="R816" s="154">
        <v>1457</v>
      </c>
      <c r="S816" s="154">
        <v>1501</v>
      </c>
      <c r="T816" s="154">
        <v>1546</v>
      </c>
      <c r="V816" s="370"/>
      <c r="W816" s="371"/>
      <c r="X816" s="370"/>
      <c r="Y816" s="371"/>
      <c r="AA816" s="148"/>
    </row>
    <row r="817" spans="1:25" ht="24" customHeight="1">
      <c r="A817" s="263" t="s">
        <v>410</v>
      </c>
      <c r="B817" s="264"/>
      <c r="C817" s="264"/>
      <c r="D817" s="263" t="s">
        <v>91</v>
      </c>
      <c r="E817" s="264"/>
      <c r="F817" s="264"/>
      <c r="G817" s="264"/>
      <c r="H817" s="264"/>
      <c r="I817" s="264"/>
      <c r="J817" s="264"/>
      <c r="K817" s="264"/>
      <c r="L817" s="211">
        <v>2136</v>
      </c>
      <c r="M817" s="211">
        <v>4410</v>
      </c>
      <c r="N817" s="150">
        <v>7000</v>
      </c>
      <c r="O817" s="155">
        <v>4500</v>
      </c>
      <c r="P817" s="149">
        <v>7000</v>
      </c>
      <c r="Q817" s="149">
        <v>7000</v>
      </c>
      <c r="R817" s="149">
        <v>7000</v>
      </c>
      <c r="S817" s="149">
        <v>7000</v>
      </c>
      <c r="T817" s="149">
        <v>7000</v>
      </c>
    </row>
    <row r="818" spans="1:25" ht="24" customHeight="1">
      <c r="A818" s="263" t="s">
        <v>411</v>
      </c>
      <c r="B818" s="264"/>
      <c r="C818" s="264"/>
      <c r="D818" s="263" t="s">
        <v>960</v>
      </c>
      <c r="E818" s="264"/>
      <c r="F818" s="264"/>
      <c r="G818" s="264"/>
      <c r="H818" s="264"/>
      <c r="I818" s="264"/>
      <c r="J818" s="264"/>
      <c r="K818" s="264"/>
      <c r="L818" s="211">
        <v>85</v>
      </c>
      <c r="M818" s="211">
        <v>807</v>
      </c>
      <c r="N818" s="150">
        <v>3000</v>
      </c>
      <c r="O818" s="150">
        <v>500</v>
      </c>
      <c r="P818" s="149">
        <v>3000</v>
      </c>
      <c r="Q818" s="149">
        <v>3000</v>
      </c>
      <c r="R818" s="149">
        <v>3000</v>
      </c>
      <c r="S818" s="149">
        <v>3000</v>
      </c>
      <c r="T818" s="149">
        <v>3000</v>
      </c>
      <c r="V818" s="370"/>
      <c r="W818" s="371"/>
      <c r="X818" s="664"/>
    </row>
    <row r="819" spans="1:25" ht="24" customHeight="1">
      <c r="A819" s="263" t="s">
        <v>1009</v>
      </c>
      <c r="B819" s="328"/>
      <c r="C819" s="328"/>
      <c r="D819" s="263" t="s">
        <v>917</v>
      </c>
      <c r="E819" s="328"/>
      <c r="F819" s="328"/>
      <c r="G819" s="328"/>
      <c r="H819" s="328"/>
      <c r="I819" s="328"/>
      <c r="J819" s="328"/>
      <c r="K819" s="328"/>
      <c r="L819" s="209">
        <v>0</v>
      </c>
      <c r="M819" s="209">
        <v>53908</v>
      </c>
      <c r="N819" s="147">
        <v>0</v>
      </c>
      <c r="O819" s="147">
        <f t="shared" ref="O819:T819" si="81">O461</f>
        <v>70000</v>
      </c>
      <c r="P819" s="146">
        <v>0</v>
      </c>
      <c r="Q819" s="146">
        <f t="shared" si="81"/>
        <v>0</v>
      </c>
      <c r="R819" s="146">
        <f t="shared" si="81"/>
        <v>0</v>
      </c>
      <c r="S819" s="146">
        <f t="shared" si="81"/>
        <v>0</v>
      </c>
      <c r="T819" s="146">
        <f t="shared" si="81"/>
        <v>0</v>
      </c>
      <c r="V819" s="148"/>
    </row>
    <row r="820" spans="1:25" ht="24" customHeight="1">
      <c r="A820" s="727" t="s">
        <v>1365</v>
      </c>
      <c r="B820" s="726"/>
      <c r="C820" s="726"/>
      <c r="D820" s="1" t="s">
        <v>1358</v>
      </c>
      <c r="E820" s="726"/>
      <c r="F820" s="726"/>
      <c r="G820" s="726"/>
      <c r="H820" s="726"/>
      <c r="I820" s="726"/>
      <c r="J820" s="726"/>
      <c r="K820" s="726"/>
      <c r="L820" s="215">
        <v>0</v>
      </c>
      <c r="M820" s="215">
        <v>0</v>
      </c>
      <c r="N820" s="158">
        <v>0</v>
      </c>
      <c r="O820" s="158">
        <v>0</v>
      </c>
      <c r="P820" s="157">
        <v>5200</v>
      </c>
      <c r="Q820" s="157">
        <v>662</v>
      </c>
      <c r="R820" s="157">
        <v>0</v>
      </c>
      <c r="S820" s="157">
        <v>1458</v>
      </c>
      <c r="T820" s="157">
        <v>7082</v>
      </c>
      <c r="V820" s="148"/>
    </row>
    <row r="821" spans="1:25" ht="24" customHeight="1">
      <c r="A821" s="263" t="s">
        <v>412</v>
      </c>
      <c r="B821" s="202"/>
      <c r="C821" s="202"/>
      <c r="D821" s="527" t="s">
        <v>224</v>
      </c>
      <c r="E821" s="526"/>
      <c r="F821" s="526"/>
      <c r="G821" s="526"/>
      <c r="H821" s="526"/>
      <c r="I821" s="526"/>
      <c r="J821" s="526"/>
      <c r="K821" s="526"/>
      <c r="L821" s="211">
        <v>5312</v>
      </c>
      <c r="M821" s="211">
        <v>6278</v>
      </c>
      <c r="N821" s="150">
        <v>6000</v>
      </c>
      <c r="O821" s="150">
        <v>6000</v>
      </c>
      <c r="P821" s="149">
        <v>6500</v>
      </c>
      <c r="Q821" s="149">
        <v>6500</v>
      </c>
      <c r="R821" s="149">
        <v>6500</v>
      </c>
      <c r="S821" s="149">
        <v>6500</v>
      </c>
      <c r="T821" s="149">
        <v>6500</v>
      </c>
      <c r="V821" s="148"/>
      <c r="Y821" s="540"/>
    </row>
    <row r="822" spans="1:25" ht="24" customHeight="1">
      <c r="A822" s="263" t="s">
        <v>413</v>
      </c>
      <c r="B822" s="202"/>
      <c r="C822" s="202"/>
      <c r="D822" s="263" t="s">
        <v>10</v>
      </c>
      <c r="E822" s="493"/>
      <c r="F822" s="493"/>
      <c r="G822" s="493"/>
      <c r="H822" s="493"/>
      <c r="I822" s="493"/>
      <c r="J822" s="493"/>
      <c r="K822" s="493"/>
      <c r="L822" s="211">
        <v>7206</v>
      </c>
      <c r="M822" s="211">
        <v>2461</v>
      </c>
      <c r="N822" s="150">
        <v>3000</v>
      </c>
      <c r="O822" s="150">
        <v>3000</v>
      </c>
      <c r="P822" s="149">
        <v>3000</v>
      </c>
      <c r="Q822" s="149">
        <v>3000</v>
      </c>
      <c r="R822" s="149">
        <v>3000</v>
      </c>
      <c r="S822" s="149">
        <v>3000</v>
      </c>
      <c r="T822" s="149">
        <v>3000</v>
      </c>
    </row>
    <row r="823" spans="1:25" ht="24" customHeight="1">
      <c r="A823" s="263" t="s">
        <v>414</v>
      </c>
      <c r="B823" s="202"/>
      <c r="C823" s="202"/>
      <c r="D823" s="263" t="s">
        <v>127</v>
      </c>
      <c r="E823" s="202"/>
      <c r="F823" s="202"/>
      <c r="G823" s="202"/>
      <c r="H823" s="202"/>
      <c r="I823" s="202"/>
      <c r="J823" s="202"/>
      <c r="K823" s="202"/>
      <c r="L823" s="211">
        <v>5415</v>
      </c>
      <c r="M823" s="211">
        <v>663</v>
      </c>
      <c r="N823" s="150">
        <v>6000</v>
      </c>
      <c r="O823" s="150">
        <v>6000</v>
      </c>
      <c r="P823" s="149">
        <v>6000</v>
      </c>
      <c r="Q823" s="149">
        <v>6000</v>
      </c>
      <c r="R823" s="149">
        <v>6000</v>
      </c>
      <c r="S823" s="149">
        <v>6000</v>
      </c>
      <c r="T823" s="149">
        <v>6000</v>
      </c>
      <c r="V823" s="148"/>
    </row>
    <row r="824" spans="1:25" ht="24" customHeight="1">
      <c r="A824" s="263" t="s">
        <v>415</v>
      </c>
      <c r="B824" s="264"/>
      <c r="C824" s="264"/>
      <c r="D824" s="263" t="s">
        <v>86</v>
      </c>
      <c r="E824" s="264"/>
      <c r="F824" s="264"/>
      <c r="G824" s="264"/>
      <c r="H824" s="264"/>
      <c r="I824" s="264"/>
      <c r="J824" s="264"/>
      <c r="K824" s="264"/>
      <c r="L824" s="211">
        <v>2461</v>
      </c>
      <c r="M824" s="211">
        <v>2334</v>
      </c>
      <c r="N824" s="150">
        <v>2500</v>
      </c>
      <c r="O824" s="155">
        <v>5000</v>
      </c>
      <c r="P824" s="149">
        <v>2500</v>
      </c>
      <c r="Q824" s="149">
        <v>2500</v>
      </c>
      <c r="R824" s="149">
        <v>2500</v>
      </c>
      <c r="S824" s="149">
        <v>2500</v>
      </c>
      <c r="T824" s="149">
        <v>2500</v>
      </c>
    </row>
    <row r="825" spans="1:25" ht="24" customHeight="1">
      <c r="A825" s="616" t="s">
        <v>1249</v>
      </c>
      <c r="B825" s="617"/>
      <c r="C825" s="617"/>
      <c r="D825" s="704" t="s">
        <v>87</v>
      </c>
      <c r="E825" s="703"/>
      <c r="F825" s="703"/>
      <c r="G825" s="703"/>
      <c r="H825" s="703"/>
      <c r="I825" s="703"/>
      <c r="J825" s="617"/>
      <c r="K825" s="617"/>
      <c r="L825" s="215">
        <v>0</v>
      </c>
      <c r="M825" s="215">
        <v>0</v>
      </c>
      <c r="N825" s="158">
        <f>ROUND((50000/4)/2,0)</f>
        <v>6250</v>
      </c>
      <c r="O825" s="158">
        <f>ROUND(226.54*12,0)</f>
        <v>2718</v>
      </c>
      <c r="P825" s="157">
        <f>ROUND(O825*1.03,0)</f>
        <v>2800</v>
      </c>
      <c r="Q825" s="157">
        <f>ROUND(P825*1.03,0)</f>
        <v>2884</v>
      </c>
      <c r="R825" s="157">
        <f>ROUND(Q825*1.03,0)</f>
        <v>2971</v>
      </c>
      <c r="S825" s="157">
        <f>ROUND(R825*1.03,0)</f>
        <v>3060</v>
      </c>
      <c r="T825" s="157">
        <f>ROUND(S825*1.03,0)</f>
        <v>3152</v>
      </c>
    </row>
    <row r="826" spans="1:25" ht="24" customHeight="1">
      <c r="A826" s="263" t="s">
        <v>607</v>
      </c>
      <c r="B826" s="264"/>
      <c r="C826" s="264"/>
      <c r="D826" s="263" t="s">
        <v>964</v>
      </c>
      <c r="E826" s="264"/>
      <c r="F826" s="264"/>
      <c r="G826" s="264"/>
      <c r="H826" s="264"/>
      <c r="I826" s="264"/>
      <c r="J826" s="264"/>
      <c r="K826" s="264"/>
      <c r="L826" s="211">
        <v>36800</v>
      </c>
      <c r="M826" s="211">
        <v>22411</v>
      </c>
      <c r="N826" s="150">
        <v>50000</v>
      </c>
      <c r="O826" s="155">
        <v>25000</v>
      </c>
      <c r="P826" s="149">
        <v>50000</v>
      </c>
      <c r="Q826" s="149">
        <v>50000</v>
      </c>
      <c r="R826" s="149">
        <v>50000</v>
      </c>
      <c r="S826" s="149">
        <v>50000</v>
      </c>
      <c r="T826" s="149">
        <v>50000</v>
      </c>
    </row>
    <row r="827" spans="1:25" ht="24" customHeight="1">
      <c r="A827" s="263" t="s">
        <v>416</v>
      </c>
      <c r="B827" s="264"/>
      <c r="C827" s="264"/>
      <c r="D827" s="780" t="s">
        <v>94</v>
      </c>
      <c r="E827" s="264"/>
      <c r="F827" s="264"/>
      <c r="G827" s="264"/>
      <c r="H827" s="264"/>
      <c r="I827" s="264"/>
      <c r="J827" s="264"/>
      <c r="K827" s="264"/>
      <c r="L827" s="211">
        <v>5759</v>
      </c>
      <c r="M827" s="211">
        <v>5344</v>
      </c>
      <c r="N827" s="147">
        <v>5441</v>
      </c>
      <c r="O827" s="147">
        <v>5441</v>
      </c>
      <c r="P827" s="146">
        <f>ROUND((6*500)+(60*7)+1000+(25*52)+500,0)</f>
        <v>6220</v>
      </c>
      <c r="Q827" s="146">
        <f>ROUND((6*500)+(60*7)+1000+(25*52)+500,0)</f>
        <v>6220</v>
      </c>
      <c r="R827" s="146">
        <f>ROUND((6*500)+(60*7)+1000+(25*52)+500,0)</f>
        <v>6220</v>
      </c>
      <c r="S827" s="146">
        <f>ROUND((6*500)+(60*7)+1000+(25*52)+500,0)</f>
        <v>6220</v>
      </c>
      <c r="T827" s="146">
        <f>ROUND((6*500)+(60*7)+1000+(25*52)+500,0)</f>
        <v>6220</v>
      </c>
      <c r="V827" s="148"/>
    </row>
    <row r="828" spans="1:25" ht="24" customHeight="1">
      <c r="A828" s="263" t="s">
        <v>417</v>
      </c>
      <c r="B828" s="264"/>
      <c r="C828" s="264"/>
      <c r="D828" s="813" t="s">
        <v>12</v>
      </c>
      <c r="E828" s="264"/>
      <c r="F828" s="264"/>
      <c r="G828" s="264"/>
      <c r="H828" s="264"/>
      <c r="I828" s="264"/>
      <c r="J828" s="264"/>
      <c r="K828" s="264"/>
      <c r="L828" s="211">
        <f>146681+347</f>
        <v>147028</v>
      </c>
      <c r="M828" s="211">
        <f>23035+542</f>
        <v>23577</v>
      </c>
      <c r="N828" s="150">
        <v>25300</v>
      </c>
      <c r="O828" s="150">
        <v>28000</v>
      </c>
      <c r="P828" s="149">
        <v>25000</v>
      </c>
      <c r="Q828" s="149">
        <v>25000</v>
      </c>
      <c r="R828" s="149">
        <v>25000</v>
      </c>
      <c r="S828" s="149">
        <v>25000</v>
      </c>
      <c r="T828" s="149">
        <v>25000</v>
      </c>
      <c r="V828" s="151"/>
    </row>
    <row r="829" spans="1:25" ht="24" customHeight="1">
      <c r="A829" s="263" t="s">
        <v>418</v>
      </c>
      <c r="B829" s="264"/>
      <c r="C829" s="264"/>
      <c r="D829" s="263" t="s">
        <v>16</v>
      </c>
      <c r="E829" s="264"/>
      <c r="F829" s="264"/>
      <c r="G829" s="264"/>
      <c r="H829" s="264"/>
      <c r="I829" s="264"/>
      <c r="J829" s="264"/>
      <c r="K829" s="264"/>
      <c r="L829" s="213">
        <v>5518</v>
      </c>
      <c r="M829" s="213">
        <v>1576</v>
      </c>
      <c r="N829" s="155">
        <v>4500</v>
      </c>
      <c r="O829" s="155">
        <v>4500</v>
      </c>
      <c r="P829" s="154">
        <v>6000</v>
      </c>
      <c r="Q829" s="154">
        <v>6000</v>
      </c>
      <c r="R829" s="154">
        <v>6000</v>
      </c>
      <c r="S829" s="154">
        <v>6000</v>
      </c>
      <c r="T829" s="154">
        <v>6000</v>
      </c>
      <c r="U829" s="154"/>
    </row>
    <row r="830" spans="1:25" ht="24" customHeight="1">
      <c r="A830" s="263" t="s">
        <v>419</v>
      </c>
      <c r="B830" s="264"/>
      <c r="C830" s="264"/>
      <c r="D830" s="263" t="s">
        <v>233</v>
      </c>
      <c r="E830" s="264"/>
      <c r="F830" s="264"/>
      <c r="G830" s="264"/>
      <c r="H830" s="264"/>
      <c r="I830" s="264"/>
      <c r="J830" s="264"/>
      <c r="K830" s="264"/>
      <c r="L830" s="213">
        <v>2000</v>
      </c>
      <c r="M830" s="213">
        <v>2000</v>
      </c>
      <c r="N830" s="155">
        <v>2000</v>
      </c>
      <c r="O830" s="155">
        <v>2000</v>
      </c>
      <c r="P830" s="154">
        <v>20000</v>
      </c>
      <c r="Q830" s="154">
        <v>2000</v>
      </c>
      <c r="R830" s="154">
        <v>2000</v>
      </c>
      <c r="S830" s="154">
        <v>2000</v>
      </c>
      <c r="T830" s="154">
        <v>2000</v>
      </c>
      <c r="U830" s="154"/>
      <c r="V830" s="148"/>
    </row>
    <row r="831" spans="1:25" ht="24" customHeight="1">
      <c r="A831" s="263" t="s">
        <v>420</v>
      </c>
      <c r="B831" s="264"/>
      <c r="C831" s="264"/>
      <c r="D831" s="263" t="s">
        <v>963</v>
      </c>
      <c r="E831" s="264"/>
      <c r="F831" s="264"/>
      <c r="G831" s="264"/>
      <c r="H831" s="264"/>
      <c r="I831" s="264"/>
      <c r="J831" s="264"/>
      <c r="K831" s="264"/>
      <c r="L831" s="213">
        <v>64517</v>
      </c>
      <c r="M831" s="213">
        <v>69160</v>
      </c>
      <c r="N831" s="155">
        <v>56000</v>
      </c>
      <c r="O831" s="155">
        <v>62000</v>
      </c>
      <c r="P831" s="154">
        <v>66000</v>
      </c>
      <c r="Q831" s="154">
        <v>66000</v>
      </c>
      <c r="R831" s="154">
        <v>66000</v>
      </c>
      <c r="S831" s="154">
        <v>66000</v>
      </c>
      <c r="T831" s="154">
        <v>66000</v>
      </c>
      <c r="V831" s="148"/>
    </row>
    <row r="832" spans="1:25" ht="24" customHeight="1">
      <c r="A832" s="263" t="s">
        <v>833</v>
      </c>
      <c r="B832" s="264"/>
      <c r="C832" s="264"/>
      <c r="D832" s="777" t="s">
        <v>136</v>
      </c>
      <c r="E832" s="640"/>
      <c r="F832" s="640"/>
      <c r="G832" s="640"/>
      <c r="H832" s="640"/>
      <c r="I832" s="640"/>
      <c r="J832" s="640"/>
      <c r="K832" s="640"/>
      <c r="L832" s="229">
        <v>11694</v>
      </c>
      <c r="M832" s="229">
        <v>12439</v>
      </c>
      <c r="N832" s="179">
        <v>12840</v>
      </c>
      <c r="O832" s="179">
        <v>13500</v>
      </c>
      <c r="P832" s="178">
        <f>ROUND(O832*1.07,0)</f>
        <v>14445</v>
      </c>
      <c r="Q832" s="173">
        <f>ROUND(P832*1.05,0)</f>
        <v>15167</v>
      </c>
      <c r="R832" s="173">
        <f>ROUND(Q832*1.05,0)</f>
        <v>15925</v>
      </c>
      <c r="S832" s="173">
        <f>ROUND(R832*1.05,0)</f>
        <v>16721</v>
      </c>
      <c r="T832" s="173">
        <f>ROUND(S832*1.05,0)</f>
        <v>17557</v>
      </c>
      <c r="V832" s="151"/>
    </row>
    <row r="833" spans="1:37" s="202" customFormat="1" ht="24" customHeight="1">
      <c r="A833" s="263"/>
      <c r="B833" s="264"/>
      <c r="C833" s="264"/>
      <c r="D833" s="263"/>
      <c r="E833" s="264"/>
      <c r="F833" s="264"/>
      <c r="G833" s="264"/>
      <c r="H833" s="264"/>
      <c r="I833" s="264"/>
      <c r="J833" s="264"/>
      <c r="K833" s="264"/>
      <c r="L833" s="234">
        <f>SUM(L808:L832)</f>
        <v>894562</v>
      </c>
      <c r="M833" s="234">
        <f t="shared" ref="M833:T833" si="82">SUM(M808:M832)</f>
        <v>880327</v>
      </c>
      <c r="N833" s="225">
        <f t="shared" si="82"/>
        <v>964383</v>
      </c>
      <c r="O833" s="225">
        <f t="shared" si="82"/>
        <v>981790</v>
      </c>
      <c r="P833" s="234">
        <f t="shared" si="82"/>
        <v>1023743</v>
      </c>
      <c r="Q833" s="234">
        <f t="shared" si="82"/>
        <v>1031630</v>
      </c>
      <c r="R833" s="234">
        <f t="shared" si="82"/>
        <v>1063654</v>
      </c>
      <c r="S833" s="234">
        <f>SUM(S808:S832)</f>
        <v>1099517</v>
      </c>
      <c r="T833" s="234">
        <f t="shared" si="82"/>
        <v>1141331</v>
      </c>
      <c r="U833" s="312"/>
      <c r="V833" s="845"/>
      <c r="W833" s="845"/>
      <c r="X833" s="844"/>
      <c r="Y833" s="838"/>
      <c r="Z833" s="838"/>
      <c r="AA833" s="838"/>
      <c r="AB833" s="838"/>
      <c r="AC833" s="838"/>
      <c r="AD833" s="838"/>
      <c r="AE833" s="838"/>
      <c r="AF833" s="838"/>
      <c r="AG833" s="838"/>
      <c r="AH833" s="838"/>
      <c r="AI833" s="838"/>
      <c r="AJ833" s="838"/>
      <c r="AK833" s="838"/>
    </row>
    <row r="834" spans="1:37" ht="15" customHeight="1">
      <c r="A834" s="263"/>
      <c r="B834" s="264"/>
      <c r="C834" s="264"/>
      <c r="D834" s="263"/>
      <c r="E834" s="264"/>
      <c r="F834" s="264"/>
      <c r="G834" s="264"/>
      <c r="H834" s="264"/>
      <c r="I834" s="264"/>
      <c r="J834" s="264"/>
      <c r="K834" s="264"/>
      <c r="L834" s="212"/>
      <c r="M834" s="212"/>
      <c r="N834" s="156"/>
      <c r="O834" s="156"/>
      <c r="P834" s="153"/>
      <c r="Q834" s="153"/>
      <c r="R834" s="153"/>
      <c r="S834" s="153"/>
      <c r="T834" s="153"/>
    </row>
    <row r="835" spans="1:37" ht="24" customHeight="1">
      <c r="A835" s="267" t="s">
        <v>542</v>
      </c>
      <c r="B835" s="202"/>
      <c r="C835" s="202"/>
      <c r="D835" s="202"/>
      <c r="E835" s="202"/>
      <c r="F835" s="202"/>
      <c r="G835" s="202"/>
      <c r="H835" s="202"/>
      <c r="I835" s="202"/>
      <c r="J835" s="202"/>
      <c r="K835" s="202"/>
      <c r="L835" s="218"/>
      <c r="M835" s="218"/>
      <c r="N835" s="164"/>
      <c r="O835" s="164"/>
      <c r="P835" s="163"/>
      <c r="Q835" s="163"/>
      <c r="R835" s="163"/>
      <c r="S835" s="163"/>
      <c r="T835" s="163"/>
    </row>
    <row r="836" spans="1:37" ht="24" customHeight="1">
      <c r="A836" s="263" t="s">
        <v>555</v>
      </c>
      <c r="B836" s="264"/>
      <c r="C836" s="264"/>
      <c r="D836" s="263" t="s">
        <v>841</v>
      </c>
      <c r="E836" s="264"/>
      <c r="F836" s="264"/>
      <c r="G836" s="264"/>
      <c r="H836" s="264"/>
      <c r="I836" s="264"/>
      <c r="J836" s="264"/>
      <c r="K836" s="264"/>
      <c r="L836" s="211">
        <v>261071</v>
      </c>
      <c r="M836" s="211">
        <v>283924</v>
      </c>
      <c r="N836" s="158">
        <v>303179</v>
      </c>
      <c r="O836" s="158">
        <f>291500+1960</f>
        <v>293460</v>
      </c>
      <c r="P836" s="157">
        <v>324086</v>
      </c>
      <c r="Q836" s="157">
        <v>333809</v>
      </c>
      <c r="R836" s="157">
        <v>343823</v>
      </c>
      <c r="S836" s="157">
        <v>354138</v>
      </c>
      <c r="T836" s="157">
        <v>364762</v>
      </c>
      <c r="V836" s="370"/>
      <c r="W836" s="371"/>
      <c r="X836" s="371"/>
      <c r="Y836" s="371"/>
      <c r="AA836" s="148"/>
    </row>
    <row r="837" spans="1:37" ht="24" customHeight="1">
      <c r="A837" s="263" t="s">
        <v>556</v>
      </c>
      <c r="B837" s="202"/>
      <c r="C837" s="202"/>
      <c r="D837" s="263" t="s">
        <v>69</v>
      </c>
      <c r="E837" s="202"/>
      <c r="F837" s="202"/>
      <c r="G837" s="202"/>
      <c r="H837" s="202"/>
      <c r="I837" s="202"/>
      <c r="J837" s="202"/>
      <c r="K837" s="202"/>
      <c r="L837" s="211">
        <v>6537</v>
      </c>
      <c r="M837" s="211">
        <v>9989</v>
      </c>
      <c r="N837" s="150">
        <v>25000</v>
      </c>
      <c r="O837" s="155">
        <v>18000</v>
      </c>
      <c r="P837" s="149">
        <v>30000</v>
      </c>
      <c r="Q837" s="149">
        <v>30000</v>
      </c>
      <c r="R837" s="149">
        <v>30000</v>
      </c>
      <c r="S837" s="149">
        <v>30000</v>
      </c>
      <c r="T837" s="149">
        <v>30000</v>
      </c>
      <c r="V837" s="370"/>
      <c r="W837" s="371"/>
      <c r="X837" s="371"/>
      <c r="Y837" s="371"/>
      <c r="Z837" s="148"/>
    </row>
    <row r="838" spans="1:37" ht="24" customHeight="1">
      <c r="A838" s="263" t="s">
        <v>557</v>
      </c>
      <c r="B838" s="264"/>
      <c r="C838" s="264"/>
      <c r="D838" s="263" t="s">
        <v>421</v>
      </c>
      <c r="E838" s="264"/>
      <c r="F838" s="264"/>
      <c r="G838" s="264"/>
      <c r="H838" s="264"/>
      <c r="I838" s="264"/>
      <c r="J838" s="264"/>
      <c r="K838" s="264"/>
      <c r="L838" s="213">
        <v>7549</v>
      </c>
      <c r="M838" s="213">
        <v>7891</v>
      </c>
      <c r="N838" s="155">
        <v>15000</v>
      </c>
      <c r="O838" s="155">
        <v>11000</v>
      </c>
      <c r="P838" s="154">
        <v>15000</v>
      </c>
      <c r="Q838" s="154">
        <v>15000</v>
      </c>
      <c r="R838" s="154">
        <v>15000</v>
      </c>
      <c r="S838" s="154">
        <v>15000</v>
      </c>
      <c r="T838" s="154">
        <v>15000</v>
      </c>
      <c r="V838" s="370"/>
      <c r="W838" s="371"/>
      <c r="X838" s="371"/>
      <c r="Y838" s="371"/>
      <c r="Z838" s="148"/>
    </row>
    <row r="839" spans="1:37" ht="24" customHeight="1">
      <c r="A839" s="263" t="s">
        <v>558</v>
      </c>
      <c r="B839" s="264"/>
      <c r="C839" s="264"/>
      <c r="D839" s="263" t="s">
        <v>422</v>
      </c>
      <c r="E839" s="264"/>
      <c r="F839" s="264"/>
      <c r="G839" s="264"/>
      <c r="H839" s="264"/>
      <c r="I839" s="264"/>
      <c r="J839" s="264"/>
      <c r="K839" s="264"/>
      <c r="L839" s="213">
        <v>23902</v>
      </c>
      <c r="M839" s="213">
        <v>30091</v>
      </c>
      <c r="N839" s="155">
        <v>37500</v>
      </c>
      <c r="O839" s="155">
        <v>36000</v>
      </c>
      <c r="P839" s="154">
        <v>40000</v>
      </c>
      <c r="Q839" s="154">
        <v>40000</v>
      </c>
      <c r="R839" s="154">
        <v>40000</v>
      </c>
      <c r="S839" s="154">
        <v>40000</v>
      </c>
      <c r="T839" s="154">
        <v>40000</v>
      </c>
      <c r="V839" s="370"/>
      <c r="W839" s="371"/>
      <c r="X839" s="371"/>
      <c r="Y839" s="371"/>
    </row>
    <row r="840" spans="1:37" ht="24" customHeight="1">
      <c r="A840" s="263" t="s">
        <v>559</v>
      </c>
      <c r="B840" s="264"/>
      <c r="C840" s="264"/>
      <c r="D840" s="263" t="s">
        <v>423</v>
      </c>
      <c r="E840" s="264"/>
      <c r="F840" s="264"/>
      <c r="G840" s="264"/>
      <c r="H840" s="264"/>
      <c r="I840" s="264"/>
      <c r="J840" s="264"/>
      <c r="K840" s="264"/>
      <c r="L840" s="209">
        <v>10235</v>
      </c>
      <c r="M840" s="209">
        <v>10755</v>
      </c>
      <c r="N840" s="147">
        <v>15000</v>
      </c>
      <c r="O840" s="155">
        <v>20000</v>
      </c>
      <c r="P840" s="146">
        <v>25000</v>
      </c>
      <c r="Q840" s="146">
        <v>25000</v>
      </c>
      <c r="R840" s="146">
        <v>25000</v>
      </c>
      <c r="S840" s="146">
        <v>25000</v>
      </c>
      <c r="T840" s="146">
        <v>25000</v>
      </c>
      <c r="V840" s="370"/>
      <c r="W840" s="371"/>
      <c r="X840" s="371"/>
      <c r="Y840" s="371"/>
      <c r="Z840" s="148"/>
    </row>
    <row r="841" spans="1:37" ht="24" customHeight="1">
      <c r="A841" s="263" t="s">
        <v>560</v>
      </c>
      <c r="B841" s="264"/>
      <c r="C841" s="264"/>
      <c r="D841" s="589" t="s">
        <v>8</v>
      </c>
      <c r="E841" s="588"/>
      <c r="F841" s="588"/>
      <c r="G841" s="588"/>
      <c r="H841" s="588"/>
      <c r="I841" s="588"/>
      <c r="J841" s="588"/>
      <c r="K841" s="588"/>
      <c r="L841" s="211">
        <v>28362</v>
      </c>
      <c r="M841" s="211">
        <v>30328</v>
      </c>
      <c r="N841" s="158">
        <v>38272</v>
      </c>
      <c r="O841" s="158">
        <v>32210</v>
      </c>
      <c r="P841" s="157">
        <v>39956</v>
      </c>
      <c r="Q841" s="149">
        <v>36652</v>
      </c>
      <c r="R841" s="149">
        <v>38852</v>
      </c>
      <c r="S841" s="149">
        <v>41222</v>
      </c>
      <c r="T841" s="149">
        <v>43735</v>
      </c>
      <c r="V841" s="370"/>
      <c r="W841" s="371"/>
      <c r="X841" s="371"/>
      <c r="Y841" s="371"/>
      <c r="AA841" s="148"/>
    </row>
    <row r="842" spans="1:37" ht="24" customHeight="1">
      <c r="A842" s="263" t="s">
        <v>561</v>
      </c>
      <c r="B842" s="202"/>
      <c r="C842" s="202"/>
      <c r="D842" s="263" t="s">
        <v>9</v>
      </c>
      <c r="E842" s="202"/>
      <c r="F842" s="202"/>
      <c r="G842" s="202"/>
      <c r="H842" s="202"/>
      <c r="I842" s="202"/>
      <c r="J842" s="202"/>
      <c r="K842" s="202"/>
      <c r="L842" s="211">
        <v>23119</v>
      </c>
      <c r="M842" s="211">
        <v>25585</v>
      </c>
      <c r="N842" s="158">
        <v>29305</v>
      </c>
      <c r="O842" s="158">
        <v>28150</v>
      </c>
      <c r="P842" s="157">
        <v>32367</v>
      </c>
      <c r="Q842" s="157">
        <v>33338</v>
      </c>
      <c r="R842" s="157">
        <v>34338</v>
      </c>
      <c r="S842" s="157">
        <v>35368</v>
      </c>
      <c r="T842" s="157">
        <v>36429</v>
      </c>
      <c r="V842" s="370"/>
      <c r="W842" s="371"/>
      <c r="X842" s="371"/>
      <c r="Y842" s="371"/>
      <c r="AA842" s="148"/>
    </row>
    <row r="843" spans="1:37" ht="24" customHeight="1">
      <c r="A843" s="263" t="s">
        <v>562</v>
      </c>
      <c r="B843" s="202"/>
      <c r="C843" s="202"/>
      <c r="D843" s="263" t="s">
        <v>13</v>
      </c>
      <c r="E843" s="202"/>
      <c r="F843" s="202"/>
      <c r="G843" s="202"/>
      <c r="H843" s="202"/>
      <c r="I843" s="202"/>
      <c r="J843" s="202"/>
      <c r="K843" s="202"/>
      <c r="L843" s="211">
        <v>83005</v>
      </c>
      <c r="M843" s="211">
        <v>91187</v>
      </c>
      <c r="N843" s="155">
        <v>111170</v>
      </c>
      <c r="O843" s="158">
        <f>ROUND((75458.69)+(100*3)+(-363.74*6)+(6433.61*2)+(17.4*4),0)+8000</f>
        <v>94513</v>
      </c>
      <c r="P843" s="157">
        <v>90945</v>
      </c>
      <c r="Q843" s="157">
        <v>98221</v>
      </c>
      <c r="R843" s="157">
        <v>106079</v>
      </c>
      <c r="S843" s="157">
        <v>114565</v>
      </c>
      <c r="T843" s="157">
        <v>123730</v>
      </c>
      <c r="V843" s="370"/>
      <c r="W843" s="371"/>
      <c r="X843" s="370"/>
      <c r="Y843" s="371"/>
      <c r="AA843" s="148"/>
    </row>
    <row r="844" spans="1:37" ht="24" customHeight="1">
      <c r="A844" s="263" t="s">
        <v>563</v>
      </c>
      <c r="B844" s="202"/>
      <c r="C844" s="202"/>
      <c r="D844" s="263" t="s">
        <v>173</v>
      </c>
      <c r="E844" s="202"/>
      <c r="F844" s="202"/>
      <c r="G844" s="202"/>
      <c r="H844" s="202"/>
      <c r="I844" s="202"/>
      <c r="J844" s="202"/>
      <c r="K844" s="202"/>
      <c r="L844" s="211">
        <v>618</v>
      </c>
      <c r="M844" s="211">
        <v>396</v>
      </c>
      <c r="N844" s="155">
        <v>529</v>
      </c>
      <c r="O844" s="155">
        <v>447</v>
      </c>
      <c r="P844" s="154">
        <v>440</v>
      </c>
      <c r="Q844" s="154">
        <v>444</v>
      </c>
      <c r="R844" s="154">
        <v>448</v>
      </c>
      <c r="S844" s="154">
        <v>452</v>
      </c>
      <c r="T844" s="154">
        <v>457</v>
      </c>
      <c r="V844" s="370"/>
      <c r="W844" s="371"/>
      <c r="X844" s="370"/>
      <c r="Y844" s="371"/>
      <c r="AA844" s="148"/>
    </row>
    <row r="845" spans="1:37" ht="24" customHeight="1">
      <c r="A845" s="263" t="s">
        <v>564</v>
      </c>
      <c r="B845" s="202"/>
      <c r="C845" s="202"/>
      <c r="D845" s="263" t="s">
        <v>530</v>
      </c>
      <c r="E845" s="202"/>
      <c r="F845" s="202"/>
      <c r="G845" s="202"/>
      <c r="H845" s="202"/>
      <c r="I845" s="202"/>
      <c r="J845" s="202"/>
      <c r="K845" s="202"/>
      <c r="L845" s="211">
        <v>4987</v>
      </c>
      <c r="M845" s="211">
        <v>6362</v>
      </c>
      <c r="N845" s="155">
        <v>7070</v>
      </c>
      <c r="O845" s="155">
        <v>6369</v>
      </c>
      <c r="P845" s="154">
        <v>6539</v>
      </c>
      <c r="Q845" s="154">
        <v>6866</v>
      </c>
      <c r="R845" s="154">
        <v>7209</v>
      </c>
      <c r="S845" s="154">
        <v>7569</v>
      </c>
      <c r="T845" s="154">
        <v>7947</v>
      </c>
      <c r="V845" s="370"/>
      <c r="W845" s="371"/>
      <c r="X845" s="370"/>
      <c r="Y845" s="371"/>
      <c r="AA845" s="148"/>
    </row>
    <row r="846" spans="1:37" ht="24" customHeight="1">
      <c r="A846" s="263" t="s">
        <v>565</v>
      </c>
      <c r="B846" s="202"/>
      <c r="C846" s="202"/>
      <c r="D846" s="263" t="s">
        <v>532</v>
      </c>
      <c r="E846" s="202"/>
      <c r="F846" s="202"/>
      <c r="G846" s="202"/>
      <c r="H846" s="202"/>
      <c r="I846" s="202"/>
      <c r="J846" s="202"/>
      <c r="K846" s="202"/>
      <c r="L846" s="211">
        <v>716</v>
      </c>
      <c r="M846" s="211">
        <v>802</v>
      </c>
      <c r="N846" s="155">
        <v>863</v>
      </c>
      <c r="O846" s="155">
        <v>868</v>
      </c>
      <c r="P846" s="154">
        <v>948</v>
      </c>
      <c r="Q846" s="154">
        <v>948</v>
      </c>
      <c r="R846" s="154">
        <v>948</v>
      </c>
      <c r="S846" s="154">
        <v>976</v>
      </c>
      <c r="T846" s="154">
        <v>1005</v>
      </c>
      <c r="V846" s="370"/>
      <c r="W846" s="371"/>
      <c r="X846" s="370"/>
      <c r="Y846" s="371"/>
      <c r="AA846" s="148"/>
    </row>
    <row r="847" spans="1:37" ht="24" customHeight="1">
      <c r="A847" s="263" t="s">
        <v>566</v>
      </c>
      <c r="B847" s="264"/>
      <c r="C847" s="264"/>
      <c r="D847" s="263" t="s">
        <v>91</v>
      </c>
      <c r="E847" s="264"/>
      <c r="F847" s="264"/>
      <c r="G847" s="264"/>
      <c r="H847" s="264"/>
      <c r="I847" s="264"/>
      <c r="J847" s="264"/>
      <c r="K847" s="264"/>
      <c r="L847" s="211">
        <v>3481</v>
      </c>
      <c r="M847" s="211">
        <v>2951</v>
      </c>
      <c r="N847" s="150">
        <v>5000</v>
      </c>
      <c r="O847" s="155">
        <v>3500</v>
      </c>
      <c r="P847" s="149">
        <v>5000</v>
      </c>
      <c r="Q847" s="149">
        <v>5000</v>
      </c>
      <c r="R847" s="149">
        <v>5000</v>
      </c>
      <c r="S847" s="149">
        <v>5000</v>
      </c>
      <c r="T847" s="149">
        <v>5000</v>
      </c>
    </row>
    <row r="848" spans="1:37" ht="24" customHeight="1">
      <c r="A848" s="263" t="s">
        <v>567</v>
      </c>
      <c r="B848" s="264"/>
      <c r="C848" s="264"/>
      <c r="D848" s="263" t="s">
        <v>960</v>
      </c>
      <c r="E848" s="264"/>
      <c r="F848" s="264"/>
      <c r="G848" s="264"/>
      <c r="H848" s="264"/>
      <c r="I848" s="264"/>
      <c r="J848" s="264"/>
      <c r="K848" s="264"/>
      <c r="L848" s="211">
        <v>354</v>
      </c>
      <c r="M848" s="211">
        <v>1028</v>
      </c>
      <c r="N848" s="150">
        <v>3000</v>
      </c>
      <c r="O848" s="155">
        <v>500</v>
      </c>
      <c r="P848" s="149">
        <v>3000</v>
      </c>
      <c r="Q848" s="149">
        <v>3000</v>
      </c>
      <c r="R848" s="149">
        <v>3000</v>
      </c>
      <c r="S848" s="149">
        <v>3000</v>
      </c>
      <c r="T848" s="149">
        <v>3000</v>
      </c>
      <c r="V848" s="370"/>
      <c r="W848" s="371"/>
      <c r="X848" s="664"/>
    </row>
    <row r="849" spans="1:24" ht="24" customHeight="1">
      <c r="A849" s="682" t="s">
        <v>1302</v>
      </c>
      <c r="B849" s="681"/>
      <c r="C849" s="681"/>
      <c r="D849" s="682" t="s">
        <v>917</v>
      </c>
      <c r="E849" s="681"/>
      <c r="F849" s="681"/>
      <c r="G849" s="681"/>
      <c r="H849" s="681"/>
      <c r="I849" s="681"/>
      <c r="J849" s="681"/>
      <c r="K849" s="681"/>
      <c r="L849" s="209">
        <v>0</v>
      </c>
      <c r="M849" s="209">
        <v>20000</v>
      </c>
      <c r="N849" s="147">
        <v>0</v>
      </c>
      <c r="O849" s="147">
        <f t="shared" ref="O849:T849" si="83">O487</f>
        <v>0</v>
      </c>
      <c r="P849" s="146">
        <f t="shared" si="83"/>
        <v>0</v>
      </c>
      <c r="Q849" s="146">
        <f t="shared" si="83"/>
        <v>0</v>
      </c>
      <c r="R849" s="146">
        <f t="shared" si="83"/>
        <v>0</v>
      </c>
      <c r="S849" s="146">
        <f t="shared" si="83"/>
        <v>0</v>
      </c>
      <c r="T849" s="146">
        <f t="shared" si="83"/>
        <v>0</v>
      </c>
      <c r="V849" s="148"/>
      <c r="W849" s="371"/>
      <c r="X849" s="664"/>
    </row>
    <row r="850" spans="1:24" ht="24" customHeight="1">
      <c r="A850" s="727" t="s">
        <v>1366</v>
      </c>
      <c r="B850" s="726"/>
      <c r="C850" s="726"/>
      <c r="D850" s="1" t="s">
        <v>1358</v>
      </c>
      <c r="E850" s="726"/>
      <c r="F850" s="726"/>
      <c r="G850" s="726"/>
      <c r="H850" s="726"/>
      <c r="I850" s="726"/>
      <c r="J850" s="726"/>
      <c r="K850" s="726"/>
      <c r="L850" s="215">
        <v>0</v>
      </c>
      <c r="M850" s="215">
        <v>0</v>
      </c>
      <c r="N850" s="158">
        <v>0</v>
      </c>
      <c r="O850" s="158">
        <v>0</v>
      </c>
      <c r="P850" s="157">
        <v>4412</v>
      </c>
      <c r="Q850" s="157">
        <v>2812</v>
      </c>
      <c r="R850" s="157">
        <v>2257</v>
      </c>
      <c r="S850" s="157">
        <v>1458</v>
      </c>
      <c r="T850" s="157">
        <v>6125</v>
      </c>
      <c r="V850" s="370"/>
      <c r="W850" s="371"/>
      <c r="X850" s="664"/>
    </row>
    <row r="851" spans="1:24" ht="24" customHeight="1">
      <c r="A851" s="263" t="s">
        <v>568</v>
      </c>
      <c r="B851" s="264"/>
      <c r="C851" s="264"/>
      <c r="D851" s="263" t="s">
        <v>90</v>
      </c>
      <c r="E851" s="264"/>
      <c r="F851" s="264"/>
      <c r="G851" s="264"/>
      <c r="H851" s="264"/>
      <c r="I851" s="264"/>
      <c r="J851" s="264"/>
      <c r="K851" s="264"/>
      <c r="L851" s="209">
        <v>49207</v>
      </c>
      <c r="M851" s="209">
        <v>52018</v>
      </c>
      <c r="N851" s="147">
        <v>50000</v>
      </c>
      <c r="O851" s="155">
        <v>51000</v>
      </c>
      <c r="P851" s="146">
        <v>55000</v>
      </c>
      <c r="Q851" s="146">
        <v>55000</v>
      </c>
      <c r="R851" s="146">
        <v>55000</v>
      </c>
      <c r="S851" s="146">
        <v>55000</v>
      </c>
      <c r="T851" s="146">
        <v>55000</v>
      </c>
    </row>
    <row r="852" spans="1:24" ht="24" customHeight="1">
      <c r="A852" s="263" t="s">
        <v>569</v>
      </c>
      <c r="B852" s="202"/>
      <c r="C852" s="202"/>
      <c r="D852" s="263" t="s">
        <v>224</v>
      </c>
      <c r="E852" s="202"/>
      <c r="F852" s="202"/>
      <c r="G852" s="202"/>
      <c r="H852" s="202"/>
      <c r="I852" s="202"/>
      <c r="J852" s="202"/>
      <c r="K852" s="202"/>
      <c r="L852" s="211">
        <v>7231</v>
      </c>
      <c r="M852" s="211">
        <v>7064</v>
      </c>
      <c r="N852" s="150">
        <v>8000</v>
      </c>
      <c r="O852" s="150">
        <v>7250</v>
      </c>
      <c r="P852" s="149">
        <v>8000</v>
      </c>
      <c r="Q852" s="149">
        <v>8000</v>
      </c>
      <c r="R852" s="149">
        <v>8000</v>
      </c>
      <c r="S852" s="149">
        <v>8000</v>
      </c>
      <c r="T852" s="149">
        <v>8000</v>
      </c>
      <c r="V852" s="148"/>
    </row>
    <row r="853" spans="1:24" ht="24" customHeight="1">
      <c r="A853" s="263" t="s">
        <v>570</v>
      </c>
      <c r="B853" s="202"/>
      <c r="C853" s="202"/>
      <c r="D853" s="263" t="s">
        <v>424</v>
      </c>
      <c r="E853" s="202"/>
      <c r="F853" s="202"/>
      <c r="G853" s="202"/>
      <c r="H853" s="202"/>
      <c r="I853" s="202"/>
      <c r="J853" s="202"/>
      <c r="K853" s="202"/>
      <c r="L853" s="211">
        <v>121</v>
      </c>
      <c r="M853" s="211">
        <v>0</v>
      </c>
      <c r="N853" s="150">
        <v>2500</v>
      </c>
      <c r="O853" s="155">
        <v>1250</v>
      </c>
      <c r="P853" s="149">
        <v>2500</v>
      </c>
      <c r="Q853" s="149">
        <v>2500</v>
      </c>
      <c r="R853" s="149">
        <v>2500</v>
      </c>
      <c r="S853" s="149">
        <v>2500</v>
      </c>
      <c r="T853" s="149">
        <v>2500</v>
      </c>
      <c r="V853" s="148"/>
    </row>
    <row r="854" spans="1:24" ht="24" customHeight="1">
      <c r="A854" s="263" t="s">
        <v>571</v>
      </c>
      <c r="B854" s="264"/>
      <c r="C854" s="264"/>
      <c r="D854" s="263" t="s">
        <v>89</v>
      </c>
      <c r="E854" s="264"/>
      <c r="F854" s="264"/>
      <c r="G854" s="264"/>
      <c r="H854" s="264"/>
      <c r="I854" s="264"/>
      <c r="J854" s="264"/>
      <c r="K854" s="264"/>
      <c r="L854" s="211">
        <v>1008</v>
      </c>
      <c r="M854" s="211">
        <v>2609</v>
      </c>
      <c r="N854" s="150">
        <v>3500</v>
      </c>
      <c r="O854" s="150">
        <v>3500</v>
      </c>
      <c r="P854" s="149">
        <v>3500</v>
      </c>
      <c r="Q854" s="149">
        <v>3500</v>
      </c>
      <c r="R854" s="149">
        <v>3500</v>
      </c>
      <c r="S854" s="149">
        <v>3500</v>
      </c>
      <c r="T854" s="149">
        <v>3500</v>
      </c>
    </row>
    <row r="855" spans="1:24" ht="24" customHeight="1">
      <c r="A855" s="263" t="s">
        <v>945</v>
      </c>
      <c r="B855" s="202"/>
      <c r="C855" s="202"/>
      <c r="D855" s="263" t="s">
        <v>962</v>
      </c>
      <c r="E855" s="202"/>
      <c r="F855" s="202"/>
      <c r="G855" s="202"/>
      <c r="H855" s="202"/>
      <c r="I855" s="202"/>
      <c r="J855" s="202"/>
      <c r="K855" s="202"/>
      <c r="L855" s="232">
        <v>1231</v>
      </c>
      <c r="M855" s="232">
        <v>1155</v>
      </c>
      <c r="N855" s="184">
        <v>2500</v>
      </c>
      <c r="O855" s="155">
        <v>4000</v>
      </c>
      <c r="P855" s="154">
        <v>3000</v>
      </c>
      <c r="Q855" s="154">
        <v>3000</v>
      </c>
      <c r="R855" s="154">
        <v>3000</v>
      </c>
      <c r="S855" s="154">
        <v>3000</v>
      </c>
      <c r="T855" s="154">
        <v>3000</v>
      </c>
    </row>
    <row r="856" spans="1:24" ht="24" customHeight="1">
      <c r="A856" s="263" t="s">
        <v>572</v>
      </c>
      <c r="B856" s="202"/>
      <c r="C856" s="202"/>
      <c r="D856" s="813" t="s">
        <v>10</v>
      </c>
      <c r="E856" s="399"/>
      <c r="F856" s="399"/>
      <c r="G856" s="399"/>
      <c r="H856" s="399"/>
      <c r="I856" s="399"/>
      <c r="J856" s="399"/>
      <c r="K856" s="399"/>
      <c r="L856" s="211">
        <f>94358+399</f>
        <v>94757</v>
      </c>
      <c r="M856" s="211">
        <f>101090+199</f>
        <v>101289</v>
      </c>
      <c r="N856" s="150">
        <f>90000+500</f>
        <v>90500</v>
      </c>
      <c r="O856" s="155">
        <f>105000+10000</f>
        <v>115000</v>
      </c>
      <c r="P856" s="154">
        <v>100000</v>
      </c>
      <c r="Q856" s="154">
        <v>100000</v>
      </c>
      <c r="R856" s="154">
        <v>100000</v>
      </c>
      <c r="S856" s="154">
        <v>100000</v>
      </c>
      <c r="T856" s="154">
        <v>100000</v>
      </c>
    </row>
    <row r="857" spans="1:24" ht="24" customHeight="1">
      <c r="A857" s="263" t="s">
        <v>573</v>
      </c>
      <c r="B857" s="264"/>
      <c r="C857" s="323"/>
      <c r="D857" s="263" t="s">
        <v>17</v>
      </c>
      <c r="E857" s="323"/>
      <c r="F857" s="323"/>
      <c r="G857" s="323"/>
      <c r="H857" s="323"/>
      <c r="I857" s="323"/>
      <c r="J857" s="323"/>
      <c r="K857" s="323"/>
      <c r="L857" s="209">
        <v>10596</v>
      </c>
      <c r="M857" s="209">
        <v>11976</v>
      </c>
      <c r="N857" s="150">
        <v>12720</v>
      </c>
      <c r="O857" s="150">
        <v>12720</v>
      </c>
      <c r="P857" s="149">
        <f>ROUND(O857*1.06,0)</f>
        <v>13483</v>
      </c>
      <c r="Q857" s="149">
        <f>ROUND(P857*1.06,0)</f>
        <v>14292</v>
      </c>
      <c r="R857" s="149">
        <f>ROUND(Q857*1.06,0)</f>
        <v>15150</v>
      </c>
      <c r="S857" s="149">
        <f>ROUND(R857*1.06,0)</f>
        <v>16059</v>
      </c>
      <c r="T857" s="149">
        <f>ROUND(S857*1.06,0)</f>
        <v>17023</v>
      </c>
      <c r="V857" s="151"/>
    </row>
    <row r="858" spans="1:24" ht="24" customHeight="1">
      <c r="A858" s="263" t="s">
        <v>574</v>
      </c>
      <c r="B858" s="264"/>
      <c r="C858" s="264"/>
      <c r="D858" s="263" t="s">
        <v>86</v>
      </c>
      <c r="E858" s="264"/>
      <c r="F858" s="264"/>
      <c r="G858" s="264"/>
      <c r="H858" s="264"/>
      <c r="I858" s="264"/>
      <c r="J858" s="264"/>
      <c r="K858" s="264"/>
      <c r="L858" s="211">
        <v>3019</v>
      </c>
      <c r="M858" s="211">
        <v>1808</v>
      </c>
      <c r="N858" s="150">
        <v>4000</v>
      </c>
      <c r="O858" s="155">
        <v>2500</v>
      </c>
      <c r="P858" s="149">
        <v>3000</v>
      </c>
      <c r="Q858" s="149">
        <v>3000</v>
      </c>
      <c r="R858" s="149">
        <v>3000</v>
      </c>
      <c r="S858" s="149">
        <v>3000</v>
      </c>
      <c r="T858" s="149">
        <v>3000</v>
      </c>
      <c r="V858" s="148"/>
    </row>
    <row r="859" spans="1:24" ht="24" customHeight="1">
      <c r="A859" s="616" t="s">
        <v>1250</v>
      </c>
      <c r="B859" s="617"/>
      <c r="C859" s="617"/>
      <c r="D859" s="704" t="s">
        <v>87</v>
      </c>
      <c r="E859" s="703"/>
      <c r="F859" s="703"/>
      <c r="G859" s="703"/>
      <c r="H859" s="703"/>
      <c r="I859" s="703"/>
      <c r="J859" s="617"/>
      <c r="K859" s="617"/>
      <c r="L859" s="215">
        <v>0</v>
      </c>
      <c r="M859" s="215">
        <v>0</v>
      </c>
      <c r="N859" s="158">
        <f>ROUND((50000/4)/2,0)</f>
        <v>6250</v>
      </c>
      <c r="O859" s="158">
        <f>ROUND(226.54*12,0)+1475</f>
        <v>4193</v>
      </c>
      <c r="P859" s="157">
        <f>ROUND(O859*1.03,0)</f>
        <v>4319</v>
      </c>
      <c r="Q859" s="157">
        <f>ROUND(P859*1.03,0)</f>
        <v>4449</v>
      </c>
      <c r="R859" s="157">
        <f>ROUND(Q859*1.03,0)</f>
        <v>4582</v>
      </c>
      <c r="S859" s="157">
        <f>ROUND(R859*1.03,0)</f>
        <v>4719</v>
      </c>
      <c r="T859" s="157">
        <f>ROUND(S859*1.03,0)</f>
        <v>4861</v>
      </c>
    </row>
    <row r="860" spans="1:24" ht="24" customHeight="1">
      <c r="A860" s="263" t="s">
        <v>575</v>
      </c>
      <c r="B860" s="264"/>
      <c r="C860" s="264"/>
      <c r="D860" s="263" t="s">
        <v>964</v>
      </c>
      <c r="E860" s="264"/>
      <c r="F860" s="264"/>
      <c r="G860" s="264"/>
      <c r="H860" s="264"/>
      <c r="I860" s="264"/>
      <c r="J860" s="264"/>
      <c r="K860" s="264"/>
      <c r="L860" s="228">
        <v>6770</v>
      </c>
      <c r="M860" s="228">
        <v>6061</v>
      </c>
      <c r="N860" s="185">
        <v>3000</v>
      </c>
      <c r="O860" s="155">
        <v>2000</v>
      </c>
      <c r="P860" s="177">
        <v>3000</v>
      </c>
      <c r="Q860" s="177">
        <v>3000</v>
      </c>
      <c r="R860" s="177">
        <v>3000</v>
      </c>
      <c r="S860" s="177">
        <v>3000</v>
      </c>
      <c r="T860" s="177">
        <v>3000</v>
      </c>
      <c r="V860" s="151"/>
    </row>
    <row r="861" spans="1:24" ht="24" customHeight="1">
      <c r="A861" s="263" t="s">
        <v>576</v>
      </c>
      <c r="B861" s="264"/>
      <c r="C861" s="264"/>
      <c r="D861" s="747" t="s">
        <v>425</v>
      </c>
      <c r="E861" s="745"/>
      <c r="F861" s="745"/>
      <c r="G861" s="745"/>
      <c r="H861" s="745"/>
      <c r="I861" s="745"/>
      <c r="J861" s="745"/>
      <c r="K861" s="745"/>
      <c r="L861" s="228">
        <v>14942</v>
      </c>
      <c r="M861" s="228">
        <v>10115</v>
      </c>
      <c r="N861" s="185">
        <v>0</v>
      </c>
      <c r="O861" s="185">
        <v>0</v>
      </c>
      <c r="P861" s="177">
        <v>0</v>
      </c>
      <c r="Q861" s="177">
        <v>0</v>
      </c>
      <c r="R861" s="177">
        <v>0</v>
      </c>
      <c r="S861" s="177">
        <v>0</v>
      </c>
      <c r="T861" s="177">
        <v>0</v>
      </c>
      <c r="V861" s="148"/>
      <c r="W861" s="148"/>
    </row>
    <row r="862" spans="1:24" ht="24" customHeight="1">
      <c r="A862" s="263" t="s">
        <v>577</v>
      </c>
      <c r="B862" s="264"/>
      <c r="C862" s="264"/>
      <c r="D862" s="263" t="s">
        <v>426</v>
      </c>
      <c r="E862" s="264"/>
      <c r="F862" s="264"/>
      <c r="G862" s="264"/>
      <c r="H862" s="264"/>
      <c r="I862" s="264"/>
      <c r="J862" s="264"/>
      <c r="K862" s="264"/>
      <c r="L862" s="211">
        <v>94845</v>
      </c>
      <c r="M862" s="211">
        <v>96287</v>
      </c>
      <c r="N862" s="150">
        <v>100000</v>
      </c>
      <c r="O862" s="150">
        <v>108177</v>
      </c>
      <c r="P862" s="149">
        <v>100000</v>
      </c>
      <c r="Q862" s="149">
        <v>100000</v>
      </c>
      <c r="R862" s="149">
        <v>100000</v>
      </c>
      <c r="S862" s="149">
        <v>100000</v>
      </c>
      <c r="T862" s="149">
        <v>100000</v>
      </c>
    </row>
    <row r="863" spans="1:24" ht="24" customHeight="1">
      <c r="A863" s="263" t="s">
        <v>578</v>
      </c>
      <c r="B863" s="264"/>
      <c r="C863" s="264"/>
      <c r="D863" s="263" t="s">
        <v>427</v>
      </c>
      <c r="E863" s="264"/>
      <c r="F863" s="264"/>
      <c r="G863" s="264"/>
      <c r="H863" s="264"/>
      <c r="I863" s="264"/>
      <c r="J863" s="264"/>
      <c r="K863" s="264"/>
      <c r="L863" s="211">
        <v>108100</v>
      </c>
      <c r="M863" s="211">
        <v>121860</v>
      </c>
      <c r="N863" s="150">
        <v>100000</v>
      </c>
      <c r="O863" s="155">
        <f>115000+16000</f>
        <v>131000</v>
      </c>
      <c r="P863" s="149">
        <v>110000</v>
      </c>
      <c r="Q863" s="149">
        <v>110000</v>
      </c>
      <c r="R863" s="149">
        <v>110000</v>
      </c>
      <c r="S863" s="149">
        <v>110000</v>
      </c>
      <c r="T863" s="149">
        <v>110000</v>
      </c>
      <c r="V863" s="148"/>
    </row>
    <row r="864" spans="1:24" ht="24" customHeight="1">
      <c r="A864" s="263" t="s">
        <v>579</v>
      </c>
      <c r="B864" s="264"/>
      <c r="C864" s="264"/>
      <c r="D864" s="263" t="s">
        <v>428</v>
      </c>
      <c r="E864" s="264"/>
      <c r="F864" s="264"/>
      <c r="G864" s="264"/>
      <c r="H864" s="264"/>
      <c r="I864" s="264"/>
      <c r="J864" s="264"/>
      <c r="K864" s="264"/>
      <c r="L864" s="211">
        <v>19299</v>
      </c>
      <c r="M864" s="211">
        <v>14926</v>
      </c>
      <c r="N864" s="150">
        <v>18000</v>
      </c>
      <c r="O864" s="155">
        <v>17000</v>
      </c>
      <c r="P864" s="149">
        <v>18000</v>
      </c>
      <c r="Q864" s="149">
        <v>18000</v>
      </c>
      <c r="R864" s="149">
        <v>18000</v>
      </c>
      <c r="S864" s="149">
        <v>18000</v>
      </c>
      <c r="T864" s="149">
        <v>18000</v>
      </c>
    </row>
    <row r="865" spans="1:37" ht="24" customHeight="1">
      <c r="A865" s="263" t="s">
        <v>580</v>
      </c>
      <c r="B865" s="264"/>
      <c r="C865" s="264"/>
      <c r="D865" s="263" t="s">
        <v>11</v>
      </c>
      <c r="E865" s="264"/>
      <c r="F865" s="264"/>
      <c r="G865" s="264"/>
      <c r="H865" s="264"/>
      <c r="I865" s="264"/>
      <c r="J865" s="264"/>
      <c r="K865" s="264"/>
      <c r="L865" s="211">
        <v>2212</v>
      </c>
      <c r="M865" s="211">
        <v>2325</v>
      </c>
      <c r="N865" s="150">
        <v>3000</v>
      </c>
      <c r="O865" s="150">
        <v>3000</v>
      </c>
      <c r="P865" s="149">
        <v>3000</v>
      </c>
      <c r="Q865" s="149">
        <v>3000</v>
      </c>
      <c r="R865" s="149">
        <v>3000</v>
      </c>
      <c r="S865" s="149">
        <v>3000</v>
      </c>
      <c r="T865" s="149">
        <v>3000</v>
      </c>
    </row>
    <row r="866" spans="1:37" ht="24" customHeight="1">
      <c r="A866" s="263" t="s">
        <v>581</v>
      </c>
      <c r="B866" s="264"/>
      <c r="C866" s="264"/>
      <c r="D866" s="263" t="s">
        <v>12</v>
      </c>
      <c r="E866" s="264"/>
      <c r="F866" s="264"/>
      <c r="G866" s="264"/>
      <c r="H866" s="264"/>
      <c r="I866" s="264"/>
      <c r="J866" s="264"/>
      <c r="K866" s="264"/>
      <c r="L866" s="211">
        <v>11373</v>
      </c>
      <c r="M866" s="211">
        <v>9240</v>
      </c>
      <c r="N866" s="150">
        <v>15000</v>
      </c>
      <c r="O866" s="150">
        <f>15000+15000</f>
        <v>30000</v>
      </c>
      <c r="P866" s="149">
        <v>15000</v>
      </c>
      <c r="Q866" s="149">
        <v>15000</v>
      </c>
      <c r="R866" s="149">
        <v>15000</v>
      </c>
      <c r="S866" s="149">
        <v>15000</v>
      </c>
      <c r="T866" s="149">
        <v>15000</v>
      </c>
    </row>
    <row r="867" spans="1:37" ht="24" customHeight="1">
      <c r="A867" s="263" t="s">
        <v>582</v>
      </c>
      <c r="B867" s="264"/>
      <c r="C867" s="264"/>
      <c r="D867" s="263" t="s">
        <v>963</v>
      </c>
      <c r="E867" s="264"/>
      <c r="F867" s="264"/>
      <c r="G867" s="264"/>
      <c r="H867" s="264"/>
      <c r="I867" s="264"/>
      <c r="J867" s="264"/>
      <c r="K867" s="264"/>
      <c r="L867" s="213">
        <v>1009</v>
      </c>
      <c r="M867" s="213">
        <v>1230</v>
      </c>
      <c r="N867" s="155">
        <v>2000</v>
      </c>
      <c r="O867" s="155">
        <v>2000</v>
      </c>
      <c r="P867" s="154">
        <v>2000</v>
      </c>
      <c r="Q867" s="154">
        <v>2000</v>
      </c>
      <c r="R867" s="154">
        <v>2000</v>
      </c>
      <c r="S867" s="154">
        <v>2000</v>
      </c>
      <c r="T867" s="154">
        <v>2000</v>
      </c>
    </row>
    <row r="868" spans="1:37" ht="24" customHeight="1">
      <c r="A868" s="263" t="s">
        <v>583</v>
      </c>
      <c r="B868" s="264"/>
      <c r="C868" s="264"/>
      <c r="D868" s="777" t="s">
        <v>136</v>
      </c>
      <c r="E868" s="541"/>
      <c r="F868" s="541"/>
      <c r="G868" s="541"/>
      <c r="H868" s="541"/>
      <c r="I868" s="541"/>
      <c r="J868" s="541"/>
      <c r="K868" s="541"/>
      <c r="L868" s="217">
        <v>818</v>
      </c>
      <c r="M868" s="217">
        <v>920</v>
      </c>
      <c r="N868" s="162">
        <v>1070</v>
      </c>
      <c r="O868" s="162">
        <v>1000</v>
      </c>
      <c r="P868" s="161">
        <f>ROUND(O868*1.07,0)</f>
        <v>1070</v>
      </c>
      <c r="Q868" s="173">
        <f>ROUND(P868*1.05,0)</f>
        <v>1124</v>
      </c>
      <c r="R868" s="173">
        <f>ROUND(Q868*1.05,0)</f>
        <v>1180</v>
      </c>
      <c r="S868" s="173">
        <f>ROUND(R868*1.05,0)</f>
        <v>1239</v>
      </c>
      <c r="T868" s="173">
        <f>ROUND(S868*1.05,0)</f>
        <v>1301</v>
      </c>
      <c r="V868" s="151"/>
    </row>
    <row r="869" spans="1:37" s="202" customFormat="1" ht="24" customHeight="1">
      <c r="A869" s="263"/>
      <c r="B869" s="264"/>
      <c r="C869" s="264"/>
      <c r="D869" s="263"/>
      <c r="E869" s="264"/>
      <c r="F869" s="264"/>
      <c r="G869" s="264"/>
      <c r="H869" s="264"/>
      <c r="I869" s="264"/>
      <c r="J869" s="264"/>
      <c r="K869" s="264"/>
      <c r="L869" s="236">
        <f>SUM(L836:L868)</f>
        <v>880474</v>
      </c>
      <c r="M869" s="236">
        <f t="shared" ref="M869:T869" si="84">SUM(M836:M868)</f>
        <v>962172</v>
      </c>
      <c r="N869" s="250">
        <f t="shared" si="84"/>
        <v>1012928</v>
      </c>
      <c r="O869" s="250">
        <f t="shared" si="84"/>
        <v>1040607</v>
      </c>
      <c r="P869" s="236">
        <f t="shared" si="84"/>
        <v>1062565</v>
      </c>
      <c r="Q869" s="236">
        <f t="shared" si="84"/>
        <v>1076955</v>
      </c>
      <c r="R869" s="236">
        <f t="shared" si="84"/>
        <v>1098866</v>
      </c>
      <c r="S869" s="236">
        <f t="shared" si="84"/>
        <v>1121765</v>
      </c>
      <c r="T869" s="236">
        <f t="shared" si="84"/>
        <v>1151375</v>
      </c>
      <c r="U869" s="65"/>
      <c r="V869" s="845"/>
      <c r="W869" s="845"/>
      <c r="X869" s="844"/>
      <c r="Y869" s="838"/>
      <c r="Z869" s="838"/>
      <c r="AA869" s="838"/>
      <c r="AB869" s="838"/>
      <c r="AC869" s="838"/>
      <c r="AD869" s="838"/>
      <c r="AE869" s="838"/>
      <c r="AF869" s="838"/>
      <c r="AG869" s="838"/>
      <c r="AH869" s="838"/>
      <c r="AI869" s="838"/>
      <c r="AJ869" s="838"/>
      <c r="AK869" s="838"/>
    </row>
    <row r="870" spans="1:37" s="202" customFormat="1" ht="15" customHeight="1">
      <c r="A870" s="263"/>
      <c r="B870" s="264"/>
      <c r="C870" s="264"/>
      <c r="D870" s="263"/>
      <c r="E870" s="264"/>
      <c r="F870" s="264"/>
      <c r="G870" s="264"/>
      <c r="H870" s="264"/>
      <c r="I870" s="264"/>
      <c r="J870" s="264"/>
      <c r="K870" s="264"/>
      <c r="L870" s="236"/>
      <c r="M870" s="236"/>
      <c r="N870" s="250"/>
      <c r="O870" s="250"/>
      <c r="P870" s="236"/>
      <c r="Q870" s="236"/>
      <c r="R870" s="236"/>
      <c r="S870" s="236"/>
      <c r="T870" s="236"/>
      <c r="U870" s="65"/>
      <c r="V870" s="838"/>
      <c r="W870" s="838"/>
      <c r="X870" s="838"/>
      <c r="Y870" s="838"/>
      <c r="Z870" s="838"/>
      <c r="AA870" s="838"/>
      <c r="AB870" s="838"/>
      <c r="AC870" s="838"/>
      <c r="AD870" s="838"/>
      <c r="AE870" s="838"/>
      <c r="AF870" s="838"/>
      <c r="AG870" s="838"/>
      <c r="AH870" s="838"/>
      <c r="AI870" s="838"/>
      <c r="AJ870" s="838"/>
      <c r="AK870" s="838"/>
    </row>
    <row r="871" spans="1:37" s="202" customFormat="1" ht="24" customHeight="1">
      <c r="K871" s="267" t="s">
        <v>484</v>
      </c>
      <c r="L871" s="237">
        <f t="shared" ref="L871:T871" si="85">L833+L869</f>
        <v>1775036</v>
      </c>
      <c r="M871" s="237">
        <f t="shared" si="85"/>
        <v>1842499</v>
      </c>
      <c r="N871" s="221">
        <f t="shared" si="85"/>
        <v>1977311</v>
      </c>
      <c r="O871" s="221">
        <f t="shared" si="85"/>
        <v>2022397</v>
      </c>
      <c r="P871" s="220">
        <f t="shared" si="85"/>
        <v>2086308</v>
      </c>
      <c r="Q871" s="220">
        <f t="shared" si="85"/>
        <v>2108585</v>
      </c>
      <c r="R871" s="220">
        <f t="shared" si="85"/>
        <v>2162520</v>
      </c>
      <c r="S871" s="220">
        <f t="shared" si="85"/>
        <v>2221282</v>
      </c>
      <c r="T871" s="220">
        <f t="shared" si="85"/>
        <v>2292706</v>
      </c>
      <c r="U871" s="65"/>
      <c r="V871" s="845"/>
      <c r="W871" s="845"/>
      <c r="X871" s="844"/>
      <c r="Y871" s="838"/>
      <c r="Z871" s="838"/>
      <c r="AA871" s="838"/>
      <c r="AB871" s="838"/>
      <c r="AC871" s="838"/>
      <c r="AD871" s="838"/>
      <c r="AE871" s="838"/>
      <c r="AF871" s="838"/>
      <c r="AG871" s="838"/>
      <c r="AH871" s="838"/>
      <c r="AI871" s="838"/>
      <c r="AJ871" s="838"/>
      <c r="AK871" s="838"/>
    </row>
    <row r="872" spans="1:37" s="202" customFormat="1" ht="15" customHeight="1">
      <c r="L872" s="237"/>
      <c r="M872" s="237"/>
      <c r="N872" s="238"/>
      <c r="O872" s="238"/>
      <c r="P872" s="237"/>
      <c r="Q872" s="237"/>
      <c r="R872" s="237"/>
      <c r="S872" s="237"/>
      <c r="T872" s="237"/>
      <c r="U872" s="65"/>
      <c r="V872" s="838"/>
      <c r="W872" s="838"/>
      <c r="X872" s="838"/>
      <c r="Y872" s="838"/>
      <c r="Z872" s="838"/>
      <c r="AA872" s="838"/>
      <c r="AB872" s="838"/>
      <c r="AC872" s="838"/>
      <c r="AD872" s="838"/>
      <c r="AE872" s="838"/>
      <c r="AF872" s="838"/>
      <c r="AG872" s="838"/>
      <c r="AH872" s="838"/>
      <c r="AI872" s="838"/>
      <c r="AJ872" s="838"/>
      <c r="AK872" s="838"/>
    </row>
    <row r="873" spans="1:37" s="202" customFormat="1" ht="24" customHeight="1">
      <c r="K873" s="267" t="s">
        <v>485</v>
      </c>
      <c r="L873" s="237">
        <f t="shared" ref="L873:T873" si="86">L805-L871</f>
        <v>-56773</v>
      </c>
      <c r="M873" s="237">
        <f t="shared" si="86"/>
        <v>-54885</v>
      </c>
      <c r="N873" s="238">
        <f t="shared" si="86"/>
        <v>-77378</v>
      </c>
      <c r="O873" s="238">
        <f t="shared" si="86"/>
        <v>-34635</v>
      </c>
      <c r="P873" s="237">
        <f t="shared" si="86"/>
        <v>-98294</v>
      </c>
      <c r="Q873" s="237">
        <f t="shared" si="86"/>
        <v>3342</v>
      </c>
      <c r="R873" s="237">
        <f t="shared" si="86"/>
        <v>8090</v>
      </c>
      <c r="S873" s="237">
        <f t="shared" si="86"/>
        <v>8814</v>
      </c>
      <c r="T873" s="237">
        <f t="shared" si="86"/>
        <v>10714</v>
      </c>
      <c r="U873" s="65"/>
      <c r="V873" s="148"/>
      <c r="W873" s="838"/>
      <c r="X873" s="838"/>
      <c r="Y873" s="838"/>
      <c r="Z873" s="838"/>
      <c r="AA873" s="838"/>
      <c r="AB873" s="838"/>
      <c r="AC873" s="838"/>
      <c r="AD873" s="838"/>
      <c r="AE873" s="838"/>
      <c r="AF873" s="838"/>
      <c r="AG873" s="838"/>
      <c r="AH873" s="838"/>
      <c r="AI873" s="838"/>
      <c r="AJ873" s="838"/>
      <c r="AK873" s="838"/>
    </row>
    <row r="874" spans="1:37" s="202" customFormat="1" ht="15" customHeight="1">
      <c r="L874" s="237"/>
      <c r="M874" s="237"/>
      <c r="N874" s="238"/>
      <c r="O874" s="238"/>
      <c r="P874" s="237"/>
      <c r="Q874" s="237"/>
      <c r="R874" s="237"/>
      <c r="S874" s="237"/>
      <c r="T874" s="237"/>
      <c r="U874" s="65"/>
      <c r="V874" s="838"/>
      <c r="W874" s="838"/>
      <c r="X874" s="838"/>
      <c r="Y874" s="838"/>
      <c r="Z874" s="838"/>
      <c r="AA874" s="838"/>
      <c r="AB874" s="838"/>
      <c r="AC874" s="838"/>
      <c r="AD874" s="838"/>
      <c r="AE874" s="838"/>
      <c r="AF874" s="838"/>
      <c r="AG874" s="838"/>
      <c r="AH874" s="838"/>
      <c r="AI874" s="838"/>
      <c r="AJ874" s="838"/>
      <c r="AK874" s="838"/>
    </row>
    <row r="875" spans="1:37" s="202" customFormat="1" ht="24" customHeight="1">
      <c r="K875" s="272" t="s">
        <v>487</v>
      </c>
      <c r="L875" s="237">
        <v>500762</v>
      </c>
      <c r="M875" s="237">
        <v>445875</v>
      </c>
      <c r="N875" s="238">
        <v>296597</v>
      </c>
      <c r="O875" s="238">
        <f>M875+O873</f>
        <v>411240</v>
      </c>
      <c r="P875" s="237">
        <f>O875+P873</f>
        <v>312946</v>
      </c>
      <c r="Q875" s="237">
        <f>P875+Q873</f>
        <v>316288</v>
      </c>
      <c r="R875" s="237">
        <f>Q875+R873</f>
        <v>324378</v>
      </c>
      <c r="S875" s="237">
        <f>R875+S873</f>
        <v>333192</v>
      </c>
      <c r="T875" s="237">
        <f>S875+T873</f>
        <v>343906</v>
      </c>
      <c r="U875" s="65"/>
      <c r="V875" s="838"/>
      <c r="W875" s="838"/>
      <c r="X875" s="838"/>
      <c r="Y875" s="838"/>
      <c r="Z875" s="838"/>
      <c r="AA875" s="838"/>
      <c r="AB875" s="838"/>
      <c r="AC875" s="838"/>
      <c r="AD875" s="838"/>
      <c r="AE875" s="838"/>
      <c r="AF875" s="838"/>
      <c r="AG875" s="838"/>
      <c r="AH875" s="838"/>
      <c r="AI875" s="838"/>
      <c r="AJ875" s="838"/>
      <c r="AK875" s="838"/>
    </row>
    <row r="876" spans="1:37" s="276" customFormat="1" ht="24" customHeight="1">
      <c r="K876" s="273"/>
      <c r="L876" s="239">
        <f t="shared" ref="L876:T876" si="87">L875/L871</f>
        <v>0.28211371487676867</v>
      </c>
      <c r="M876" s="239">
        <f t="shared" si="87"/>
        <v>0.24199470393199671</v>
      </c>
      <c r="N876" s="240">
        <f t="shared" si="87"/>
        <v>0.15000017700806803</v>
      </c>
      <c r="O876" s="240">
        <f t="shared" si="87"/>
        <v>0.2033428649271137</v>
      </c>
      <c r="P876" s="239">
        <f t="shared" si="87"/>
        <v>0.14999990413687719</v>
      </c>
      <c r="Q876" s="239">
        <f t="shared" si="87"/>
        <v>0.15000011856292253</v>
      </c>
      <c r="R876" s="239">
        <f t="shared" si="87"/>
        <v>0.15</v>
      </c>
      <c r="S876" s="239">
        <f t="shared" si="87"/>
        <v>0.14999986494285733</v>
      </c>
      <c r="T876" s="239">
        <f t="shared" si="87"/>
        <v>0.15000004361658234</v>
      </c>
      <c r="U876" s="801"/>
      <c r="V876" s="148"/>
    </row>
    <row r="877" spans="1:37" ht="15" customHeight="1">
      <c r="A877" s="202"/>
      <c r="B877" s="202"/>
      <c r="C877" s="202"/>
      <c r="D877" s="202"/>
      <c r="E877" s="202"/>
      <c r="F877" s="202"/>
      <c r="G877" s="202"/>
      <c r="H877" s="202"/>
      <c r="I877" s="202"/>
      <c r="J877" s="202"/>
      <c r="K877" s="272"/>
      <c r="L877" s="355"/>
      <c r="M877" s="355"/>
      <c r="N877" s="360"/>
      <c r="O877" s="360"/>
      <c r="P877" s="361"/>
      <c r="Q877" s="361"/>
      <c r="R877" s="361"/>
      <c r="S877" s="361"/>
      <c r="T877" s="361"/>
    </row>
    <row r="878" spans="1:37" s="371" customFormat="1" ht="15" customHeight="1">
      <c r="A878" s="300"/>
      <c r="B878" s="300"/>
      <c r="C878" s="300"/>
      <c r="D878" s="300"/>
      <c r="E878" s="300"/>
      <c r="F878" s="300"/>
      <c r="G878" s="300"/>
      <c r="H878" s="300"/>
      <c r="I878" s="300"/>
      <c r="J878" s="300"/>
      <c r="K878" s="300"/>
      <c r="L878" s="445"/>
      <c r="M878" s="445"/>
      <c r="N878" s="480"/>
      <c r="O878" s="480"/>
      <c r="P878" s="446"/>
      <c r="Q878" s="446"/>
      <c r="R878" s="446"/>
      <c r="S878" s="446"/>
      <c r="T878" s="446"/>
      <c r="U878" s="459"/>
      <c r="V878" s="448"/>
    </row>
    <row r="879" spans="1:37" ht="24" customHeight="1">
      <c r="A879" s="274" t="s">
        <v>544</v>
      </c>
      <c r="B879" s="202"/>
      <c r="C879" s="202"/>
      <c r="D879" s="202"/>
      <c r="E879" s="202"/>
      <c r="F879" s="202"/>
      <c r="G879" s="202"/>
      <c r="H879" s="202"/>
      <c r="I879" s="202"/>
      <c r="J879" s="202"/>
      <c r="K879" s="202"/>
      <c r="L879" s="354"/>
      <c r="M879" s="354"/>
      <c r="N879" s="358"/>
      <c r="O879" s="358"/>
      <c r="P879" s="359"/>
      <c r="Q879" s="359"/>
      <c r="R879" s="359"/>
      <c r="S879" s="359"/>
      <c r="T879" s="359"/>
      <c r="V879" s="370"/>
      <c r="W879" s="371"/>
      <c r="X879" s="371"/>
      <c r="Y879" s="871"/>
    </row>
    <row r="880" spans="1:37" ht="15" customHeight="1">
      <c r="A880" s="202"/>
      <c r="B880" s="202"/>
      <c r="C880" s="202"/>
      <c r="D880" s="202"/>
      <c r="E880" s="202"/>
      <c r="F880" s="202"/>
      <c r="G880" s="202"/>
      <c r="H880" s="202"/>
      <c r="I880" s="202"/>
      <c r="J880" s="202"/>
      <c r="K880" s="202"/>
      <c r="L880" s="354"/>
      <c r="M880" s="354"/>
      <c r="N880" s="358"/>
      <c r="O880" s="358"/>
      <c r="P880" s="359"/>
      <c r="Q880" s="359"/>
      <c r="R880" s="359"/>
      <c r="S880" s="359"/>
      <c r="T880" s="359"/>
    </row>
    <row r="881" spans="1:37" ht="24" customHeight="1">
      <c r="A881" s="329" t="s">
        <v>1004</v>
      </c>
      <c r="B881" s="202"/>
      <c r="C881" s="202"/>
      <c r="D881" s="698" t="s">
        <v>1318</v>
      </c>
      <c r="E881" s="202"/>
      <c r="F881" s="202"/>
      <c r="G881" s="202"/>
      <c r="H881" s="202"/>
      <c r="I881" s="202"/>
      <c r="J881" s="202"/>
      <c r="K881" s="202"/>
      <c r="L881" s="211">
        <v>622529</v>
      </c>
      <c r="M881" s="211">
        <v>626183</v>
      </c>
      <c r="N881" s="147">
        <v>645867</v>
      </c>
      <c r="O881" s="147">
        <v>644025</v>
      </c>
      <c r="P881" s="149">
        <v>672505</v>
      </c>
      <c r="Q881" s="149">
        <f>ROUND(P881*1.02,0)</f>
        <v>685955</v>
      </c>
      <c r="R881" s="149">
        <f>ROUND(Q881*1.02,0)</f>
        <v>699674</v>
      </c>
      <c r="S881" s="149">
        <f>ROUND(R881*1.02,0)</f>
        <v>713667</v>
      </c>
      <c r="T881" s="149">
        <f>ROUND(S881*1.02,0)</f>
        <v>727940</v>
      </c>
      <c r="V881" s="411"/>
      <c r="W881" s="411"/>
    </row>
    <row r="882" spans="1:37" ht="24" customHeight="1">
      <c r="A882" s="821" t="s">
        <v>1410</v>
      </c>
      <c r="B882" s="202"/>
      <c r="C882" s="202"/>
      <c r="D882" s="698" t="s">
        <v>1319</v>
      </c>
      <c r="E882" s="306"/>
      <c r="F882" s="306"/>
      <c r="G882" s="306"/>
      <c r="H882" s="306"/>
      <c r="I882" s="306"/>
      <c r="J882" s="306"/>
      <c r="K882" s="306"/>
      <c r="L882" s="212">
        <v>746621</v>
      </c>
      <c r="M882" s="212">
        <v>745908</v>
      </c>
      <c r="N882" s="156">
        <v>757396</v>
      </c>
      <c r="O882" s="147">
        <v>758634</v>
      </c>
      <c r="P882" s="153">
        <f>P931+P932+P934+P935</f>
        <v>792101</v>
      </c>
      <c r="Q882" s="153">
        <f>Q931+Q932+Q934+Q935</f>
        <v>797013</v>
      </c>
      <c r="R882" s="153">
        <f>R931+R932+R934+R935</f>
        <v>827088</v>
      </c>
      <c r="S882" s="153">
        <f>S931+S932+S934+S935</f>
        <v>840225</v>
      </c>
      <c r="T882" s="153">
        <f>T931+T932+T934+T935</f>
        <v>847313</v>
      </c>
      <c r="V882" s="370"/>
      <c r="W882" s="371"/>
    </row>
    <row r="883" spans="1:37" ht="24" customHeight="1">
      <c r="A883" s="263" t="s">
        <v>429</v>
      </c>
      <c r="B883" s="202"/>
      <c r="C883" s="202"/>
      <c r="D883" s="263" t="s">
        <v>44</v>
      </c>
      <c r="E883" s="511"/>
      <c r="F883" s="511"/>
      <c r="G883" s="511"/>
      <c r="H883" s="511"/>
      <c r="I883" s="511"/>
      <c r="J883" s="511"/>
      <c r="K883" s="511"/>
      <c r="L883" s="211">
        <v>5324</v>
      </c>
      <c r="M883" s="211">
        <v>5914</v>
      </c>
      <c r="N883" s="150">
        <v>5250</v>
      </c>
      <c r="O883" s="150">
        <v>5250</v>
      </c>
      <c r="P883" s="149">
        <v>5250</v>
      </c>
      <c r="Q883" s="149">
        <v>5250</v>
      </c>
      <c r="R883" s="149">
        <v>5250</v>
      </c>
      <c r="S883" s="149">
        <v>5250</v>
      </c>
      <c r="T883" s="149">
        <v>5250</v>
      </c>
    </row>
    <row r="884" spans="1:37" ht="24" customHeight="1">
      <c r="A884" s="263" t="s">
        <v>430</v>
      </c>
      <c r="B884" s="202"/>
      <c r="C884" s="202"/>
      <c r="D884" s="128" t="s">
        <v>43</v>
      </c>
      <c r="E884" s="202"/>
      <c r="F884" s="202"/>
      <c r="G884" s="202"/>
      <c r="H884" s="202"/>
      <c r="I884" s="202"/>
      <c r="J884" s="202"/>
      <c r="K884" s="202"/>
      <c r="L884" s="149">
        <v>21151</v>
      </c>
      <c r="M884" s="149">
        <v>13044</v>
      </c>
      <c r="N884" s="150">
        <v>17200</v>
      </c>
      <c r="O884" s="150">
        <v>13138</v>
      </c>
      <c r="P884" s="149">
        <v>13100</v>
      </c>
      <c r="Q884" s="149">
        <v>13100</v>
      </c>
      <c r="R884" s="149">
        <v>13100</v>
      </c>
      <c r="S884" s="149">
        <v>13100</v>
      </c>
      <c r="T884" s="149">
        <v>13100</v>
      </c>
      <c r="V884" s="148"/>
    </row>
    <row r="885" spans="1:37" ht="24" customHeight="1">
      <c r="A885" s="263" t="s">
        <v>431</v>
      </c>
      <c r="B885" s="264"/>
      <c r="C885" s="264"/>
      <c r="D885" s="263" t="s">
        <v>432</v>
      </c>
      <c r="E885" s="264"/>
      <c r="F885" s="264"/>
      <c r="G885" s="264"/>
      <c r="H885" s="264"/>
      <c r="I885" s="264"/>
      <c r="J885" s="264"/>
      <c r="K885" s="264"/>
      <c r="L885" s="211">
        <v>8081</v>
      </c>
      <c r="M885" s="211">
        <v>7355</v>
      </c>
      <c r="N885" s="150">
        <v>8000</v>
      </c>
      <c r="O885" s="150">
        <v>9000</v>
      </c>
      <c r="P885" s="149">
        <v>8500</v>
      </c>
      <c r="Q885" s="149">
        <v>8500</v>
      </c>
      <c r="R885" s="149">
        <v>8500</v>
      </c>
      <c r="S885" s="149">
        <v>8500</v>
      </c>
      <c r="T885" s="149">
        <v>8500</v>
      </c>
    </row>
    <row r="886" spans="1:37" ht="24" customHeight="1">
      <c r="A886" s="263" t="s">
        <v>433</v>
      </c>
      <c r="B886" s="264"/>
      <c r="C886" s="264"/>
      <c r="D886" s="263" t="s">
        <v>434</v>
      </c>
      <c r="E886" s="264"/>
      <c r="F886" s="264"/>
      <c r="G886" s="264"/>
      <c r="H886" s="264"/>
      <c r="I886" s="264"/>
      <c r="J886" s="264"/>
      <c r="K886" s="264"/>
      <c r="L886" s="211">
        <v>6038</v>
      </c>
      <c r="M886" s="211">
        <v>6576</v>
      </c>
      <c r="N886" s="150">
        <v>6500</v>
      </c>
      <c r="O886" s="150">
        <v>8800</v>
      </c>
      <c r="P886" s="149">
        <v>7500</v>
      </c>
      <c r="Q886" s="149">
        <v>7500</v>
      </c>
      <c r="R886" s="149">
        <v>7500</v>
      </c>
      <c r="S886" s="149">
        <v>7500</v>
      </c>
      <c r="T886" s="149">
        <v>7500</v>
      </c>
    </row>
    <row r="887" spans="1:37" ht="24" customHeight="1">
      <c r="A887" s="263" t="s">
        <v>435</v>
      </c>
      <c r="B887" s="202"/>
      <c r="C887" s="202"/>
      <c r="D887" s="263" t="s">
        <v>436</v>
      </c>
      <c r="E887" s="202"/>
      <c r="F887" s="202"/>
      <c r="G887" s="202"/>
      <c r="H887" s="202"/>
      <c r="I887" s="202"/>
      <c r="J887" s="202"/>
      <c r="K887" s="202"/>
      <c r="L887" s="211">
        <v>2283</v>
      </c>
      <c r="M887" s="211">
        <v>2717</v>
      </c>
      <c r="N887" s="150">
        <v>2500</v>
      </c>
      <c r="O887" s="150">
        <v>3500</v>
      </c>
      <c r="P887" s="149">
        <v>3000</v>
      </c>
      <c r="Q887" s="149">
        <v>3000</v>
      </c>
      <c r="R887" s="149">
        <v>3000</v>
      </c>
      <c r="S887" s="149">
        <v>3000</v>
      </c>
      <c r="T887" s="149">
        <v>3000</v>
      </c>
    </row>
    <row r="888" spans="1:37" ht="24" customHeight="1">
      <c r="A888" s="263" t="s">
        <v>1081</v>
      </c>
      <c r="B888" s="202"/>
      <c r="C888" s="202"/>
      <c r="D888" s="263" t="s">
        <v>396</v>
      </c>
      <c r="E888" s="202"/>
      <c r="F888" s="202"/>
      <c r="G888" s="202"/>
      <c r="H888" s="202"/>
      <c r="I888" s="202"/>
      <c r="J888" s="202"/>
      <c r="K888" s="202"/>
      <c r="L888" s="212">
        <v>870</v>
      </c>
      <c r="M888" s="212">
        <v>915</v>
      </c>
      <c r="N888" s="156">
        <f t="shared" ref="N888:T888" si="88">N925</f>
        <v>1000</v>
      </c>
      <c r="O888" s="156">
        <f t="shared" si="88"/>
        <v>1000</v>
      </c>
      <c r="P888" s="153">
        <f t="shared" si="88"/>
        <v>1000</v>
      </c>
      <c r="Q888" s="153">
        <f t="shared" si="88"/>
        <v>1000</v>
      </c>
      <c r="R888" s="153">
        <f t="shared" si="88"/>
        <v>1000</v>
      </c>
      <c r="S888" s="153">
        <f t="shared" si="88"/>
        <v>1000</v>
      </c>
      <c r="T888" s="153">
        <f t="shared" si="88"/>
        <v>1000</v>
      </c>
    </row>
    <row r="889" spans="1:37" ht="24" customHeight="1">
      <c r="A889" s="263" t="s">
        <v>437</v>
      </c>
      <c r="B889" s="264"/>
      <c r="C889" s="264"/>
      <c r="D889" s="907" t="s">
        <v>6</v>
      </c>
      <c r="E889" s="907"/>
      <c r="F889" s="907"/>
      <c r="G889" s="907"/>
      <c r="H889" s="907"/>
      <c r="I889" s="907"/>
      <c r="J889" s="907"/>
      <c r="K889" s="907"/>
      <c r="L889" s="211">
        <f>436+123</f>
        <v>559</v>
      </c>
      <c r="M889" s="211">
        <f>1006+588</f>
        <v>1594</v>
      </c>
      <c r="N889" s="150">
        <v>800</v>
      </c>
      <c r="O889" s="150">
        <v>2000</v>
      </c>
      <c r="P889" s="149">
        <v>1750</v>
      </c>
      <c r="Q889" s="149">
        <v>1550</v>
      </c>
      <c r="R889" s="149">
        <v>1400</v>
      </c>
      <c r="S889" s="149">
        <v>1300</v>
      </c>
      <c r="T889" s="149">
        <v>1200</v>
      </c>
      <c r="V889" s="148"/>
    </row>
    <row r="890" spans="1:37" ht="24" customHeight="1">
      <c r="A890" s="263" t="s">
        <v>1181</v>
      </c>
      <c r="B890" s="487"/>
      <c r="C890" s="487"/>
      <c r="D890" s="487" t="s">
        <v>61</v>
      </c>
      <c r="E890" s="487"/>
      <c r="F890" s="487"/>
      <c r="G890" s="487"/>
      <c r="H890" s="487"/>
      <c r="I890" s="487"/>
      <c r="J890" s="487"/>
      <c r="K890" s="487"/>
      <c r="L890" s="212">
        <v>0</v>
      </c>
      <c r="M890" s="212">
        <v>2141</v>
      </c>
      <c r="N890" s="156">
        <v>0</v>
      </c>
      <c r="O890" s="156">
        <v>691</v>
      </c>
      <c r="P890" s="153">
        <v>0</v>
      </c>
      <c r="Q890" s="153">
        <v>0</v>
      </c>
      <c r="R890" s="153">
        <v>0</v>
      </c>
      <c r="S890" s="153">
        <v>0</v>
      </c>
      <c r="T890" s="153">
        <v>0</v>
      </c>
    </row>
    <row r="891" spans="1:37" ht="24" customHeight="1">
      <c r="A891" s="263" t="s">
        <v>438</v>
      </c>
      <c r="B891" s="202"/>
      <c r="C891" s="202"/>
      <c r="D891" s="263" t="s">
        <v>223</v>
      </c>
      <c r="E891" s="202"/>
      <c r="F891" s="202"/>
      <c r="G891" s="202"/>
      <c r="H891" s="202"/>
      <c r="I891" s="202"/>
      <c r="J891" s="202"/>
      <c r="K891" s="202"/>
      <c r="L891" s="215">
        <v>1942</v>
      </c>
      <c r="M891" s="215">
        <v>2200</v>
      </c>
      <c r="N891" s="158">
        <v>2000</v>
      </c>
      <c r="O891" s="158">
        <v>1800</v>
      </c>
      <c r="P891" s="157">
        <v>2000</v>
      </c>
      <c r="Q891" s="157">
        <v>2000</v>
      </c>
      <c r="R891" s="157">
        <v>2000</v>
      </c>
      <c r="S891" s="157">
        <v>2000</v>
      </c>
      <c r="T891" s="157">
        <v>2000</v>
      </c>
    </row>
    <row r="892" spans="1:37" ht="24" customHeight="1">
      <c r="A892" s="263" t="s">
        <v>439</v>
      </c>
      <c r="B892" s="202"/>
      <c r="C892" s="202"/>
      <c r="D892" s="263" t="s">
        <v>440</v>
      </c>
      <c r="E892" s="283"/>
      <c r="F892" s="283"/>
      <c r="G892" s="283"/>
      <c r="H892" s="283"/>
      <c r="I892" s="283"/>
      <c r="J892" s="283"/>
      <c r="K892" s="283"/>
      <c r="L892" s="215">
        <v>2454</v>
      </c>
      <c r="M892" s="215">
        <v>2444</v>
      </c>
      <c r="N892" s="158">
        <v>2500</v>
      </c>
      <c r="O892" s="158">
        <v>2800</v>
      </c>
      <c r="P892" s="157">
        <v>2750</v>
      </c>
      <c r="Q892" s="157">
        <v>2750</v>
      </c>
      <c r="R892" s="157">
        <v>2750</v>
      </c>
      <c r="S892" s="157">
        <v>2750</v>
      </c>
      <c r="T892" s="157">
        <v>2750</v>
      </c>
    </row>
    <row r="893" spans="1:37" ht="24" customHeight="1">
      <c r="A893" s="263" t="s">
        <v>441</v>
      </c>
      <c r="B893" s="202"/>
      <c r="C893" s="202"/>
      <c r="D893" s="263" t="s">
        <v>7</v>
      </c>
      <c r="E893" s="202"/>
      <c r="F893" s="202"/>
      <c r="G893" s="202"/>
      <c r="H893" s="202"/>
      <c r="I893" s="202"/>
      <c r="J893" s="202"/>
      <c r="K893" s="202"/>
      <c r="L893" s="212">
        <v>844</v>
      </c>
      <c r="M893" s="212">
        <v>2455</v>
      </c>
      <c r="N893" s="156">
        <v>1000</v>
      </c>
      <c r="O893" s="156">
        <v>2150</v>
      </c>
      <c r="P893" s="153">
        <v>2000</v>
      </c>
      <c r="Q893" s="153">
        <v>2000</v>
      </c>
      <c r="R893" s="153">
        <v>2000</v>
      </c>
      <c r="S893" s="153">
        <v>2000</v>
      </c>
      <c r="T893" s="153">
        <v>2000</v>
      </c>
    </row>
    <row r="894" spans="1:37" ht="24" customHeight="1">
      <c r="A894" s="263" t="s">
        <v>490</v>
      </c>
      <c r="B894" s="202"/>
      <c r="C894" s="202"/>
      <c r="D894" s="404" t="s">
        <v>255</v>
      </c>
      <c r="E894" s="404"/>
      <c r="F894" s="404"/>
      <c r="G894" s="404"/>
      <c r="H894" s="404"/>
      <c r="I894" s="404"/>
      <c r="J894" s="404"/>
      <c r="K894" s="404"/>
      <c r="L894" s="248">
        <v>25928</v>
      </c>
      <c r="M894" s="248">
        <v>24044</v>
      </c>
      <c r="N894" s="162">
        <v>26440</v>
      </c>
      <c r="O894" s="162">
        <f t="shared" ref="O894" si="89">O907+O906</f>
        <v>23793</v>
      </c>
      <c r="P894" s="161">
        <v>25179</v>
      </c>
      <c r="Q894" s="161">
        <v>26645</v>
      </c>
      <c r="R894" s="161">
        <v>28199</v>
      </c>
      <c r="S894" s="161">
        <v>29846</v>
      </c>
      <c r="T894" s="161">
        <v>31592</v>
      </c>
      <c r="V894" s="148"/>
      <c r="Z894" s="196"/>
      <c r="AA894" s="196"/>
      <c r="AB894" s="196"/>
      <c r="AC894" s="196"/>
      <c r="AD894" s="196"/>
    </row>
    <row r="895" spans="1:37" ht="15" customHeight="1">
      <c r="A895" s="202"/>
      <c r="B895" s="202"/>
      <c r="C895" s="202"/>
      <c r="D895" s="202"/>
      <c r="E895" s="202"/>
      <c r="F895" s="202"/>
      <c r="G895" s="202"/>
      <c r="H895" s="202"/>
      <c r="I895" s="202"/>
      <c r="J895" s="202"/>
      <c r="K895" s="202"/>
      <c r="L895" s="218"/>
      <c r="M895" s="218"/>
      <c r="N895" s="164"/>
      <c r="O895" s="164"/>
      <c r="P895" s="163"/>
      <c r="Q895" s="163"/>
      <c r="R895" s="163"/>
      <c r="S895" s="163"/>
      <c r="T895" s="163"/>
    </row>
    <row r="896" spans="1:37" s="202" customFormat="1" ht="24" customHeight="1">
      <c r="K896" s="267" t="s">
        <v>481</v>
      </c>
      <c r="L896" s="220">
        <f t="shared" ref="L896:T896" si="90">SUM(L881:L895)</f>
        <v>1444624</v>
      </c>
      <c r="M896" s="220">
        <f t="shared" si="90"/>
        <v>1443490</v>
      </c>
      <c r="N896" s="221">
        <f t="shared" si="90"/>
        <v>1476453</v>
      </c>
      <c r="O896" s="221">
        <f t="shared" si="90"/>
        <v>1476581</v>
      </c>
      <c r="P896" s="220">
        <f t="shared" si="90"/>
        <v>1536635</v>
      </c>
      <c r="Q896" s="220">
        <f t="shared" si="90"/>
        <v>1556263</v>
      </c>
      <c r="R896" s="220">
        <f t="shared" si="90"/>
        <v>1601461</v>
      </c>
      <c r="S896" s="220">
        <f t="shared" si="90"/>
        <v>1630138</v>
      </c>
      <c r="T896" s="220">
        <f t="shared" si="90"/>
        <v>1653145</v>
      </c>
      <c r="U896" s="65"/>
      <c r="V896" s="838"/>
      <c r="W896" s="838"/>
      <c r="X896" s="838"/>
      <c r="Y896" s="838"/>
      <c r="Z896" s="838"/>
      <c r="AA896" s="838"/>
      <c r="AB896" s="838"/>
      <c r="AC896" s="838"/>
      <c r="AD896" s="838"/>
      <c r="AE896" s="838"/>
      <c r="AF896" s="838"/>
      <c r="AG896" s="838"/>
      <c r="AH896" s="838"/>
      <c r="AI896" s="838"/>
      <c r="AJ896" s="838"/>
      <c r="AK896" s="838"/>
    </row>
    <row r="897" spans="1:27" ht="15" customHeight="1">
      <c r="A897" s="202"/>
      <c r="B897" s="202"/>
      <c r="C897" s="202"/>
      <c r="D897" s="202"/>
      <c r="E897" s="202"/>
      <c r="F897" s="202"/>
      <c r="G897" s="202"/>
      <c r="H897" s="202"/>
      <c r="I897" s="202"/>
      <c r="J897" s="202"/>
      <c r="K897" s="202"/>
      <c r="L897" s="218"/>
      <c r="M897" s="218"/>
      <c r="N897" s="164"/>
      <c r="O897" s="164"/>
      <c r="P897" s="163"/>
      <c r="Q897" s="163"/>
      <c r="R897" s="163"/>
      <c r="S897" s="163"/>
      <c r="T897" s="163"/>
    </row>
    <row r="898" spans="1:27" ht="24" customHeight="1">
      <c r="A898" s="263" t="s">
        <v>442</v>
      </c>
      <c r="B898" s="264"/>
      <c r="C898" s="264"/>
      <c r="D898" s="263" t="s">
        <v>841</v>
      </c>
      <c r="E898" s="264"/>
      <c r="F898" s="264"/>
      <c r="G898" s="264"/>
      <c r="H898" s="264"/>
      <c r="I898" s="264"/>
      <c r="J898" s="264"/>
      <c r="K898" s="264"/>
      <c r="L898" s="211">
        <v>201312</v>
      </c>
      <c r="M898" s="211">
        <v>211185</v>
      </c>
      <c r="N898" s="158">
        <v>223828</v>
      </c>
      <c r="O898" s="158">
        <v>215000</v>
      </c>
      <c r="P898" s="157">
        <v>226998</v>
      </c>
      <c r="Q898" s="157">
        <v>233808</v>
      </c>
      <c r="R898" s="157">
        <v>240822</v>
      </c>
      <c r="S898" s="157">
        <v>248047</v>
      </c>
      <c r="T898" s="157">
        <v>255488</v>
      </c>
      <c r="V898" s="370"/>
      <c r="W898" s="371"/>
      <c r="X898" s="371"/>
      <c r="Y898" s="371"/>
    </row>
    <row r="899" spans="1:27" ht="24" customHeight="1">
      <c r="A899" s="263" t="s">
        <v>443</v>
      </c>
      <c r="B899" s="264"/>
      <c r="C899" s="264"/>
      <c r="D899" s="263" t="s">
        <v>69</v>
      </c>
      <c r="E899" s="264"/>
      <c r="F899" s="264"/>
      <c r="G899" s="264"/>
      <c r="H899" s="264"/>
      <c r="I899" s="264"/>
      <c r="J899" s="264"/>
      <c r="K899" s="264"/>
      <c r="L899" s="213">
        <v>190592</v>
      </c>
      <c r="M899" s="213">
        <v>200317</v>
      </c>
      <c r="N899" s="158">
        <v>232689</v>
      </c>
      <c r="O899" s="158">
        <v>190000</v>
      </c>
      <c r="P899" s="157">
        <v>195700</v>
      </c>
      <c r="Q899" s="157">
        <v>201571</v>
      </c>
      <c r="R899" s="157">
        <v>207618</v>
      </c>
      <c r="S899" s="157">
        <v>213847</v>
      </c>
      <c r="T899" s="157">
        <v>220262</v>
      </c>
      <c r="V899" s="370"/>
      <c r="W899" s="371"/>
      <c r="X899" s="371"/>
      <c r="Y899" s="371"/>
    </row>
    <row r="900" spans="1:27" ht="24" customHeight="1">
      <c r="A900" s="263" t="s">
        <v>444</v>
      </c>
      <c r="B900" s="264"/>
      <c r="C900" s="264"/>
      <c r="D900" s="263" t="s">
        <v>8</v>
      </c>
      <c r="E900" s="264"/>
      <c r="F900" s="264"/>
      <c r="G900" s="264"/>
      <c r="H900" s="264"/>
      <c r="I900" s="264"/>
      <c r="J900" s="264"/>
      <c r="K900" s="264"/>
      <c r="L900" s="212">
        <v>21767</v>
      </c>
      <c r="M900" s="212">
        <v>22558</v>
      </c>
      <c r="N900" s="158">
        <v>24435</v>
      </c>
      <c r="O900" s="158">
        <v>23500</v>
      </c>
      <c r="P900" s="149">
        <v>24252</v>
      </c>
      <c r="Q900" s="149">
        <v>25672</v>
      </c>
      <c r="R900" s="149">
        <v>27213</v>
      </c>
      <c r="S900" s="149">
        <v>28873</v>
      </c>
      <c r="T900" s="149">
        <v>30633</v>
      </c>
      <c r="V900" s="370"/>
      <c r="W900" s="371"/>
      <c r="X900" s="371"/>
      <c r="Y900" s="371"/>
    </row>
    <row r="901" spans="1:27" ht="24" customHeight="1">
      <c r="A901" s="263" t="s">
        <v>445</v>
      </c>
      <c r="B901" s="202"/>
      <c r="C901" s="202"/>
      <c r="D901" s="263" t="s">
        <v>9</v>
      </c>
      <c r="E901" s="202"/>
      <c r="F901" s="202"/>
      <c r="G901" s="202"/>
      <c r="H901" s="202"/>
      <c r="I901" s="202"/>
      <c r="J901" s="202"/>
      <c r="K901" s="202"/>
      <c r="L901" s="211">
        <v>29361</v>
      </c>
      <c r="M901" s="211">
        <v>30778</v>
      </c>
      <c r="N901" s="158">
        <v>34263</v>
      </c>
      <c r="O901" s="158">
        <v>31000</v>
      </c>
      <c r="P901" s="157">
        <v>31720</v>
      </c>
      <c r="Q901" s="157">
        <v>32672</v>
      </c>
      <c r="R901" s="157">
        <v>33652</v>
      </c>
      <c r="S901" s="157">
        <v>34662</v>
      </c>
      <c r="T901" s="157">
        <v>35702</v>
      </c>
      <c r="V901" s="370"/>
      <c r="W901" s="371"/>
      <c r="X901" s="371"/>
      <c r="Y901" s="371"/>
    </row>
    <row r="902" spans="1:27" ht="24" customHeight="1">
      <c r="A902" s="263" t="s">
        <v>446</v>
      </c>
      <c r="B902" s="264"/>
      <c r="C902" s="264"/>
      <c r="D902" s="263" t="s">
        <v>13</v>
      </c>
      <c r="E902" s="264"/>
      <c r="F902" s="264"/>
      <c r="G902" s="264"/>
      <c r="H902" s="264"/>
      <c r="I902" s="264"/>
      <c r="J902" s="264"/>
      <c r="K902" s="264"/>
      <c r="L902" s="211">
        <v>68514</v>
      </c>
      <c r="M902" s="211">
        <v>74462</v>
      </c>
      <c r="N902" s="155">
        <v>88996</v>
      </c>
      <c r="O902" s="158">
        <f>ROUND((52404.91)+(-335.55*5)+(5325.68*2)+(24*4),0)+6000</f>
        <v>67475</v>
      </c>
      <c r="P902" s="154">
        <v>79318</v>
      </c>
      <c r="Q902" s="154">
        <v>85663</v>
      </c>
      <c r="R902" s="154">
        <v>92516</v>
      </c>
      <c r="S902" s="154">
        <v>99917</v>
      </c>
      <c r="T902" s="154">
        <v>107910</v>
      </c>
      <c r="V902" s="370"/>
      <c r="W902" s="371"/>
      <c r="X902" s="370"/>
      <c r="Y902" s="371"/>
      <c r="AA902" s="148"/>
    </row>
    <row r="903" spans="1:27" ht="24" customHeight="1">
      <c r="A903" s="263" t="s">
        <v>447</v>
      </c>
      <c r="B903" s="202"/>
      <c r="C903" s="202"/>
      <c r="D903" s="263" t="s">
        <v>173</v>
      </c>
      <c r="E903" s="202"/>
      <c r="F903" s="202"/>
      <c r="G903" s="202"/>
      <c r="H903" s="202"/>
      <c r="I903" s="202"/>
      <c r="J903" s="202"/>
      <c r="K903" s="202"/>
      <c r="L903" s="211">
        <v>443</v>
      </c>
      <c r="M903" s="211">
        <v>403</v>
      </c>
      <c r="N903" s="155">
        <v>403</v>
      </c>
      <c r="O903" s="155">
        <v>381</v>
      </c>
      <c r="P903" s="154">
        <v>328</v>
      </c>
      <c r="Q903" s="154">
        <v>331</v>
      </c>
      <c r="R903" s="154">
        <v>334</v>
      </c>
      <c r="S903" s="154">
        <v>337</v>
      </c>
      <c r="T903" s="154">
        <v>340</v>
      </c>
      <c r="V903" s="370"/>
      <c r="W903" s="371"/>
      <c r="X903" s="370"/>
      <c r="Y903" s="371"/>
      <c r="AA903" s="148"/>
    </row>
    <row r="904" spans="1:27" ht="24" customHeight="1">
      <c r="A904" s="263" t="s">
        <v>448</v>
      </c>
      <c r="B904" s="202"/>
      <c r="C904" s="202"/>
      <c r="D904" s="263" t="s">
        <v>530</v>
      </c>
      <c r="E904" s="202"/>
      <c r="F904" s="202"/>
      <c r="G904" s="202"/>
      <c r="H904" s="202"/>
      <c r="I904" s="202"/>
      <c r="J904" s="202"/>
      <c r="K904" s="202"/>
      <c r="L904" s="212">
        <v>5034</v>
      </c>
      <c r="M904" s="212">
        <v>5286</v>
      </c>
      <c r="N904" s="155">
        <v>5550</v>
      </c>
      <c r="O904" s="155">
        <v>4673</v>
      </c>
      <c r="P904" s="154">
        <v>4652</v>
      </c>
      <c r="Q904" s="154">
        <v>4885</v>
      </c>
      <c r="R904" s="154">
        <v>5129</v>
      </c>
      <c r="S904" s="154">
        <v>5385</v>
      </c>
      <c r="T904" s="154">
        <v>5654</v>
      </c>
      <c r="V904" s="370"/>
      <c r="W904" s="371"/>
      <c r="X904" s="370"/>
      <c r="Y904" s="371"/>
      <c r="AA904" s="148"/>
    </row>
    <row r="905" spans="1:27" ht="24" customHeight="1">
      <c r="A905" s="263" t="s">
        <v>540</v>
      </c>
      <c r="B905" s="202"/>
      <c r="C905" s="202"/>
      <c r="D905" s="263" t="s">
        <v>532</v>
      </c>
      <c r="E905" s="202"/>
      <c r="F905" s="202"/>
      <c r="G905" s="202"/>
      <c r="H905" s="202"/>
      <c r="I905" s="202"/>
      <c r="J905" s="202"/>
      <c r="K905" s="202"/>
      <c r="L905" s="212">
        <v>651</v>
      </c>
      <c r="M905" s="212">
        <v>651</v>
      </c>
      <c r="N905" s="155">
        <v>670</v>
      </c>
      <c r="O905" s="155">
        <v>638</v>
      </c>
      <c r="P905" s="154">
        <v>701</v>
      </c>
      <c r="Q905" s="154">
        <v>701</v>
      </c>
      <c r="R905" s="154">
        <v>701</v>
      </c>
      <c r="S905" s="154">
        <v>722</v>
      </c>
      <c r="T905" s="154">
        <v>744</v>
      </c>
      <c r="V905" s="370"/>
      <c r="W905" s="371"/>
      <c r="X905" s="370"/>
      <c r="Y905" s="371"/>
      <c r="AA905" s="148"/>
    </row>
    <row r="906" spans="1:27" ht="24" customHeight="1">
      <c r="A906" s="263" t="s">
        <v>625</v>
      </c>
      <c r="B906" s="202"/>
      <c r="C906" s="202"/>
      <c r="D906" s="263" t="s">
        <v>172</v>
      </c>
      <c r="E906" s="202"/>
      <c r="F906" s="202"/>
      <c r="G906" s="202"/>
      <c r="H906" s="202"/>
      <c r="I906" s="202"/>
      <c r="J906" s="202"/>
      <c r="K906" s="202"/>
      <c r="L906" s="212">
        <v>420</v>
      </c>
      <c r="M906" s="212">
        <v>474</v>
      </c>
      <c r="N906" s="147">
        <v>1000</v>
      </c>
      <c r="O906" s="147">
        <f>549+198</f>
        <v>747</v>
      </c>
      <c r="P906" s="146">
        <v>750</v>
      </c>
      <c r="Q906" s="146">
        <v>750</v>
      </c>
      <c r="R906" s="146">
        <v>750</v>
      </c>
      <c r="S906" s="146">
        <v>750</v>
      </c>
      <c r="T906" s="146">
        <v>750</v>
      </c>
      <c r="V906" s="148"/>
    </row>
    <row r="907" spans="1:27" ht="24" customHeight="1">
      <c r="A907" s="263" t="s">
        <v>610</v>
      </c>
      <c r="B907" s="202"/>
      <c r="C907" s="202"/>
      <c r="D907" s="263" t="s">
        <v>229</v>
      </c>
      <c r="E907" s="202"/>
      <c r="F907" s="202"/>
      <c r="G907" s="202"/>
      <c r="H907" s="202"/>
      <c r="I907" s="202"/>
      <c r="J907" s="202"/>
      <c r="K907" s="202"/>
      <c r="L907" s="212">
        <v>25508</v>
      </c>
      <c r="M907" s="212">
        <v>23570</v>
      </c>
      <c r="N907" s="150">
        <v>25440</v>
      </c>
      <c r="O907" s="150">
        <f>16341+(916*3)+412+3545</f>
        <v>23046</v>
      </c>
      <c r="P907" s="149">
        <f>ROUND(O907*1.06,0)</f>
        <v>24429</v>
      </c>
      <c r="Q907" s="149">
        <f>ROUND(P907*1.06,0)</f>
        <v>25895</v>
      </c>
      <c r="R907" s="149">
        <f>ROUND(Q907*1.06,0)</f>
        <v>27449</v>
      </c>
      <c r="S907" s="149">
        <f>ROUND(R907*1.06,0)</f>
        <v>29096</v>
      </c>
      <c r="T907" s="149">
        <f>ROUND(S907*1.06,0)</f>
        <v>30842</v>
      </c>
      <c r="V907" s="370"/>
      <c r="W907" s="371"/>
      <c r="X907" s="664"/>
    </row>
    <row r="908" spans="1:27" ht="24" customHeight="1">
      <c r="A908" s="263" t="s">
        <v>449</v>
      </c>
      <c r="B908" s="264"/>
      <c r="C908" s="264"/>
      <c r="D908" s="263" t="s">
        <v>91</v>
      </c>
      <c r="E908" s="264"/>
      <c r="F908" s="264"/>
      <c r="G908" s="264"/>
      <c r="H908" s="264"/>
      <c r="I908" s="264"/>
      <c r="J908" s="264"/>
      <c r="K908" s="264"/>
      <c r="L908" s="211">
        <v>249</v>
      </c>
      <c r="M908" s="211">
        <v>330</v>
      </c>
      <c r="N908" s="150">
        <v>500</v>
      </c>
      <c r="O908" s="150">
        <v>500</v>
      </c>
      <c r="P908" s="149">
        <v>2500</v>
      </c>
      <c r="Q908" s="149">
        <v>500</v>
      </c>
      <c r="R908" s="149">
        <v>500</v>
      </c>
      <c r="S908" s="149">
        <v>500</v>
      </c>
      <c r="T908" s="149">
        <v>500</v>
      </c>
    </row>
    <row r="909" spans="1:27" ht="24" customHeight="1">
      <c r="A909" s="263" t="s">
        <v>450</v>
      </c>
      <c r="B909" s="264"/>
      <c r="C909" s="264"/>
      <c r="D909" s="263" t="s">
        <v>960</v>
      </c>
      <c r="E909" s="264"/>
      <c r="F909" s="264"/>
      <c r="G909" s="264"/>
      <c r="H909" s="264"/>
      <c r="I909" s="264"/>
      <c r="J909" s="264"/>
      <c r="K909" s="264"/>
      <c r="L909" s="212">
        <v>262</v>
      </c>
      <c r="M909" s="212">
        <v>365</v>
      </c>
      <c r="N909" s="147">
        <v>600</v>
      </c>
      <c r="O909" s="147">
        <v>600</v>
      </c>
      <c r="P909" s="146">
        <v>600</v>
      </c>
      <c r="Q909" s="146">
        <v>600</v>
      </c>
      <c r="R909" s="146">
        <v>600</v>
      </c>
      <c r="S909" s="146">
        <v>600</v>
      </c>
      <c r="T909" s="146">
        <v>600</v>
      </c>
    </row>
    <row r="910" spans="1:27" ht="24" customHeight="1">
      <c r="A910" s="580" t="s">
        <v>1233</v>
      </c>
      <c r="B910" s="579"/>
      <c r="C910" s="579"/>
      <c r="D910" s="580" t="s">
        <v>1217</v>
      </c>
      <c r="E910" s="579"/>
      <c r="F910" s="579"/>
      <c r="G910" s="579"/>
      <c r="H910" s="579"/>
      <c r="I910" s="579"/>
      <c r="J910" s="579"/>
      <c r="K910" s="579"/>
      <c r="L910" s="212">
        <v>678</v>
      </c>
      <c r="M910" s="212">
        <v>0</v>
      </c>
      <c r="N910" s="147">
        <v>0</v>
      </c>
      <c r="O910" s="147">
        <v>0</v>
      </c>
      <c r="P910" s="146">
        <v>0</v>
      </c>
      <c r="Q910" s="146">
        <v>0</v>
      </c>
      <c r="R910" s="146">
        <v>0</v>
      </c>
      <c r="S910" s="146">
        <v>0</v>
      </c>
      <c r="T910" s="146">
        <v>0</v>
      </c>
    </row>
    <row r="911" spans="1:27" ht="24" customHeight="1">
      <c r="A911" s="263" t="s">
        <v>451</v>
      </c>
      <c r="B911" s="264"/>
      <c r="C911" s="264"/>
      <c r="D911" s="263" t="s">
        <v>90</v>
      </c>
      <c r="E911" s="264"/>
      <c r="F911" s="264"/>
      <c r="G911" s="264"/>
      <c r="H911" s="264"/>
      <c r="I911" s="264"/>
      <c r="J911" s="264"/>
      <c r="K911" s="264"/>
      <c r="L911" s="211">
        <v>23</v>
      </c>
      <c r="M911" s="211">
        <v>277</v>
      </c>
      <c r="N911" s="150">
        <v>100</v>
      </c>
      <c r="O911" s="150">
        <v>100</v>
      </c>
      <c r="P911" s="149">
        <v>2000</v>
      </c>
      <c r="Q911" s="149">
        <v>2000</v>
      </c>
      <c r="R911" s="149">
        <v>2000</v>
      </c>
      <c r="S911" s="149">
        <v>2000</v>
      </c>
      <c r="T911" s="149">
        <v>2000</v>
      </c>
    </row>
    <row r="912" spans="1:27" ht="24" customHeight="1">
      <c r="A912" s="263" t="s">
        <v>452</v>
      </c>
      <c r="B912" s="202"/>
      <c r="C912" s="202"/>
      <c r="D912" s="263" t="s">
        <v>224</v>
      </c>
      <c r="E912" s="202"/>
      <c r="F912" s="202"/>
      <c r="G912" s="202"/>
      <c r="H912" s="202"/>
      <c r="I912" s="202"/>
      <c r="J912" s="202"/>
      <c r="K912" s="202"/>
      <c r="L912" s="211">
        <v>6007</v>
      </c>
      <c r="M912" s="211">
        <v>3524</v>
      </c>
      <c r="N912" s="150">
        <v>6000</v>
      </c>
      <c r="O912" s="150">
        <v>5000</v>
      </c>
      <c r="P912" s="149">
        <v>5000</v>
      </c>
      <c r="Q912" s="149">
        <v>5000</v>
      </c>
      <c r="R912" s="149">
        <v>5000</v>
      </c>
      <c r="S912" s="149">
        <v>5000</v>
      </c>
      <c r="T912" s="149">
        <v>5000</v>
      </c>
    </row>
    <row r="913" spans="1:23" ht="24" customHeight="1">
      <c r="A913" s="263" t="s">
        <v>453</v>
      </c>
      <c r="B913" s="264"/>
      <c r="C913" s="264"/>
      <c r="D913" s="263" t="s">
        <v>89</v>
      </c>
      <c r="E913" s="264"/>
      <c r="F913" s="264"/>
      <c r="G913" s="264"/>
      <c r="H913" s="264"/>
      <c r="I913" s="264"/>
      <c r="J913" s="264"/>
      <c r="K913" s="264"/>
      <c r="L913" s="211">
        <v>494</v>
      </c>
      <c r="M913" s="211">
        <v>398</v>
      </c>
      <c r="N913" s="150">
        <v>500</v>
      </c>
      <c r="O913" s="150">
        <v>500</v>
      </c>
      <c r="P913" s="149">
        <v>500</v>
      </c>
      <c r="Q913" s="149">
        <v>500</v>
      </c>
      <c r="R913" s="149">
        <v>500</v>
      </c>
      <c r="S913" s="149">
        <v>500</v>
      </c>
      <c r="T913" s="149">
        <v>500</v>
      </c>
    </row>
    <row r="914" spans="1:23" ht="24" customHeight="1">
      <c r="A914" s="263" t="s">
        <v>454</v>
      </c>
      <c r="B914" s="202"/>
      <c r="C914" s="202"/>
      <c r="D914" s="263" t="s">
        <v>962</v>
      </c>
      <c r="E914" s="202"/>
      <c r="F914" s="202"/>
      <c r="G914" s="202"/>
      <c r="H914" s="202"/>
      <c r="I914" s="202"/>
      <c r="J914" s="202"/>
      <c r="K914" s="202"/>
      <c r="L914" s="211">
        <v>9560</v>
      </c>
      <c r="M914" s="211">
        <v>9005</v>
      </c>
      <c r="N914" s="150">
        <v>12000</v>
      </c>
      <c r="O914" s="150">
        <v>10000</v>
      </c>
      <c r="P914" s="149">
        <v>11000</v>
      </c>
      <c r="Q914" s="149">
        <v>11000</v>
      </c>
      <c r="R914" s="149">
        <v>11000</v>
      </c>
      <c r="S914" s="149">
        <v>11000</v>
      </c>
      <c r="T914" s="149">
        <v>11000</v>
      </c>
    </row>
    <row r="915" spans="1:23" ht="24" customHeight="1">
      <c r="A915" s="263" t="s">
        <v>455</v>
      </c>
      <c r="B915" s="202"/>
      <c r="C915" s="202"/>
      <c r="D915" s="263" t="s">
        <v>10</v>
      </c>
      <c r="E915" s="202"/>
      <c r="F915" s="202"/>
      <c r="G915" s="202"/>
      <c r="H915" s="202"/>
      <c r="I915" s="202"/>
      <c r="J915" s="202"/>
      <c r="K915" s="202"/>
      <c r="L915" s="211">
        <v>31278</v>
      </c>
      <c r="M915" s="211">
        <v>38037</v>
      </c>
      <c r="N915" s="150">
        <v>40000</v>
      </c>
      <c r="O915" s="150">
        <v>35000</v>
      </c>
      <c r="P915" s="149">
        <v>40000</v>
      </c>
      <c r="Q915" s="149">
        <v>40000</v>
      </c>
      <c r="R915" s="149">
        <v>40000</v>
      </c>
      <c r="S915" s="149">
        <v>40000</v>
      </c>
      <c r="T915" s="149">
        <v>40000</v>
      </c>
    </row>
    <row r="916" spans="1:23" ht="24" customHeight="1">
      <c r="A916" s="263" t="s">
        <v>456</v>
      </c>
      <c r="B916" s="202"/>
      <c r="C916" s="202"/>
      <c r="D916" s="263" t="s">
        <v>127</v>
      </c>
      <c r="E916" s="202"/>
      <c r="F916" s="202"/>
      <c r="G916" s="264"/>
      <c r="H916" s="264"/>
      <c r="I916" s="264"/>
      <c r="J916" s="264"/>
      <c r="K916" s="264"/>
      <c r="L916" s="211">
        <v>0</v>
      </c>
      <c r="M916" s="211">
        <v>0</v>
      </c>
      <c r="N916" s="150">
        <v>2000</v>
      </c>
      <c r="O916" s="150">
        <v>0</v>
      </c>
      <c r="P916" s="149">
        <v>3000</v>
      </c>
      <c r="Q916" s="149">
        <v>3000</v>
      </c>
      <c r="R916" s="149">
        <v>3000</v>
      </c>
      <c r="S916" s="149">
        <v>3000</v>
      </c>
      <c r="T916" s="149">
        <v>3000</v>
      </c>
    </row>
    <row r="917" spans="1:23" ht="24" customHeight="1">
      <c r="A917" s="263" t="s">
        <v>457</v>
      </c>
      <c r="B917" s="202"/>
      <c r="C917" s="202"/>
      <c r="D917" s="263" t="s">
        <v>458</v>
      </c>
      <c r="E917" s="202"/>
      <c r="F917" s="202"/>
      <c r="G917" s="283"/>
      <c r="H917" s="283"/>
      <c r="I917" s="283"/>
      <c r="J917" s="283"/>
      <c r="K917" s="283"/>
      <c r="L917" s="211">
        <v>17890</v>
      </c>
      <c r="M917" s="211">
        <v>12633</v>
      </c>
      <c r="N917" s="150">
        <v>20000</v>
      </c>
      <c r="O917" s="150">
        <v>15000</v>
      </c>
      <c r="P917" s="149">
        <v>20000</v>
      </c>
      <c r="Q917" s="149">
        <v>20000</v>
      </c>
      <c r="R917" s="149">
        <v>20000</v>
      </c>
      <c r="S917" s="149">
        <v>20000</v>
      </c>
      <c r="T917" s="149">
        <v>20000</v>
      </c>
      <c r="V917" s="148"/>
    </row>
    <row r="918" spans="1:23" ht="24" customHeight="1">
      <c r="A918" s="263" t="s">
        <v>459</v>
      </c>
      <c r="B918" s="264"/>
      <c r="C918" s="264"/>
      <c r="D918" s="263" t="s">
        <v>17</v>
      </c>
      <c r="E918" s="264"/>
      <c r="F918" s="264"/>
      <c r="G918" s="264"/>
      <c r="H918" s="264"/>
      <c r="I918" s="264"/>
      <c r="J918" s="264"/>
      <c r="K918" s="264"/>
      <c r="L918" s="212">
        <v>6504</v>
      </c>
      <c r="M918" s="212">
        <v>10961</v>
      </c>
      <c r="N918" s="150">
        <v>8480</v>
      </c>
      <c r="O918" s="150">
        <v>9000</v>
      </c>
      <c r="P918" s="149">
        <f>ROUND(O918*1.06,0)</f>
        <v>9540</v>
      </c>
      <c r="Q918" s="149">
        <f>ROUND(P918*1.06,0)</f>
        <v>10112</v>
      </c>
      <c r="R918" s="149">
        <f>ROUND(Q918*1.06,0)</f>
        <v>10719</v>
      </c>
      <c r="S918" s="149">
        <f>ROUND(R918*1.06,0)</f>
        <v>11362</v>
      </c>
      <c r="T918" s="149">
        <f>ROUND(S918*1.06,0)</f>
        <v>12044</v>
      </c>
      <c r="V918" s="151"/>
    </row>
    <row r="919" spans="1:23" ht="24" customHeight="1">
      <c r="A919" s="263" t="s">
        <v>460</v>
      </c>
      <c r="B919" s="264"/>
      <c r="C919" s="264"/>
      <c r="D919" s="263" t="s">
        <v>964</v>
      </c>
      <c r="E919" s="264"/>
      <c r="F919" s="264"/>
      <c r="G919" s="264"/>
      <c r="H919" s="264"/>
      <c r="I919" s="264"/>
      <c r="J919" s="264"/>
      <c r="K919" s="264"/>
      <c r="L919" s="228">
        <v>19962</v>
      </c>
      <c r="M919" s="228">
        <v>27190</v>
      </c>
      <c r="N919" s="185">
        <v>50000</v>
      </c>
      <c r="O919" s="185">
        <v>65000</v>
      </c>
      <c r="P919" s="177">
        <v>50000</v>
      </c>
      <c r="Q919" s="177">
        <v>50000</v>
      </c>
      <c r="R919" s="177">
        <v>50000</v>
      </c>
      <c r="S919" s="177">
        <v>50000</v>
      </c>
      <c r="T919" s="177">
        <v>50000</v>
      </c>
    </row>
    <row r="920" spans="1:23" ht="24" customHeight="1">
      <c r="A920" s="263" t="s">
        <v>635</v>
      </c>
      <c r="B920" s="264"/>
      <c r="C920" s="264"/>
      <c r="D920" s="263" t="s">
        <v>290</v>
      </c>
      <c r="E920" s="264"/>
      <c r="F920" s="264"/>
      <c r="G920" s="264"/>
      <c r="H920" s="264"/>
      <c r="I920" s="264"/>
      <c r="J920" s="264"/>
      <c r="K920" s="264"/>
      <c r="L920" s="228">
        <v>1689</v>
      </c>
      <c r="M920" s="228">
        <v>1689</v>
      </c>
      <c r="N920" s="185">
        <v>1700</v>
      </c>
      <c r="O920" s="185">
        <v>1689</v>
      </c>
      <c r="P920" s="177">
        <v>1700</v>
      </c>
      <c r="Q920" s="177">
        <v>1700</v>
      </c>
      <c r="R920" s="177">
        <v>1700</v>
      </c>
      <c r="S920" s="177">
        <v>1700</v>
      </c>
      <c r="T920" s="177">
        <v>1700</v>
      </c>
    </row>
    <row r="921" spans="1:23" ht="24" customHeight="1">
      <c r="A921" s="263" t="s">
        <v>461</v>
      </c>
      <c r="B921" s="264"/>
      <c r="C921" s="264"/>
      <c r="D921" s="263" t="s">
        <v>11</v>
      </c>
      <c r="E921" s="264"/>
      <c r="F921" s="264"/>
      <c r="G921" s="264"/>
      <c r="H921" s="264"/>
      <c r="I921" s="264"/>
      <c r="J921" s="264"/>
      <c r="K921" s="264"/>
      <c r="L921" s="212">
        <v>9240</v>
      </c>
      <c r="M921" s="212">
        <v>8906</v>
      </c>
      <c r="N921" s="147">
        <v>8000</v>
      </c>
      <c r="O921" s="147">
        <v>8000</v>
      </c>
      <c r="P921" s="146">
        <v>8000</v>
      </c>
      <c r="Q921" s="146">
        <v>8000</v>
      </c>
      <c r="R921" s="146">
        <v>8000</v>
      </c>
      <c r="S921" s="146">
        <v>8000</v>
      </c>
      <c r="T921" s="146">
        <v>8000</v>
      </c>
    </row>
    <row r="922" spans="1:23" ht="24" customHeight="1">
      <c r="A922" s="263" t="s">
        <v>462</v>
      </c>
      <c r="B922" s="264"/>
      <c r="C922" s="264"/>
      <c r="D922" s="833" t="s">
        <v>1418</v>
      </c>
      <c r="E922" s="264"/>
      <c r="F922" s="264"/>
      <c r="G922" s="264"/>
      <c r="H922" s="264"/>
      <c r="I922" s="264"/>
      <c r="J922" s="264"/>
      <c r="K922" s="264"/>
      <c r="L922" s="211">
        <v>11210</v>
      </c>
      <c r="M922" s="211">
        <v>9654</v>
      </c>
      <c r="N922" s="150">
        <v>10000</v>
      </c>
      <c r="O922" s="150">
        <v>10000</v>
      </c>
      <c r="P922" s="149">
        <v>2000</v>
      </c>
      <c r="Q922" s="149">
        <v>2000</v>
      </c>
      <c r="R922" s="149">
        <v>2000</v>
      </c>
      <c r="S922" s="149">
        <v>2000</v>
      </c>
      <c r="T922" s="149">
        <v>2000</v>
      </c>
      <c r="U922" s="149"/>
      <c r="V922" s="148"/>
    </row>
    <row r="923" spans="1:23" ht="24" customHeight="1">
      <c r="A923" s="833" t="s">
        <v>1416</v>
      </c>
      <c r="B923" s="832"/>
      <c r="C923" s="832"/>
      <c r="D923" s="833" t="s">
        <v>1417</v>
      </c>
      <c r="E923" s="832"/>
      <c r="F923" s="832"/>
      <c r="G923" s="832"/>
      <c r="H923" s="832"/>
      <c r="I923" s="832"/>
      <c r="J923" s="832"/>
      <c r="K923" s="832"/>
      <c r="L923" s="212">
        <v>0</v>
      </c>
      <c r="M923" s="212">
        <v>0</v>
      </c>
      <c r="N923" s="156">
        <v>0</v>
      </c>
      <c r="O923" s="156">
        <v>0</v>
      </c>
      <c r="P923" s="153">
        <v>8000</v>
      </c>
      <c r="Q923" s="153">
        <v>8000</v>
      </c>
      <c r="R923" s="153">
        <v>8000</v>
      </c>
      <c r="S923" s="153">
        <v>8000</v>
      </c>
      <c r="T923" s="153">
        <v>8000</v>
      </c>
      <c r="U923" s="153"/>
      <c r="V923" s="148"/>
    </row>
    <row r="924" spans="1:23" ht="24" customHeight="1">
      <c r="A924" s="263" t="s">
        <v>463</v>
      </c>
      <c r="B924" s="264"/>
      <c r="C924" s="264"/>
      <c r="D924" s="263" t="s">
        <v>233</v>
      </c>
      <c r="E924" s="264"/>
      <c r="F924" s="264"/>
      <c r="G924" s="264"/>
      <c r="H924" s="264"/>
      <c r="I924" s="264"/>
      <c r="J924" s="264"/>
      <c r="K924" s="264"/>
      <c r="L924" s="212">
        <v>0</v>
      </c>
      <c r="M924" s="212">
        <v>0</v>
      </c>
      <c r="N924" s="147">
        <v>0</v>
      </c>
      <c r="O924" s="147">
        <v>0</v>
      </c>
      <c r="P924" s="146">
        <v>0</v>
      </c>
      <c r="Q924" s="146">
        <v>0</v>
      </c>
      <c r="R924" s="146">
        <v>0</v>
      </c>
      <c r="S924" s="146">
        <v>0</v>
      </c>
      <c r="T924" s="146">
        <v>0</v>
      </c>
      <c r="V924" s="148"/>
    </row>
    <row r="925" spans="1:23" ht="24" customHeight="1">
      <c r="A925" s="263" t="s">
        <v>464</v>
      </c>
      <c r="B925" s="264"/>
      <c r="C925" s="264"/>
      <c r="D925" s="263" t="s">
        <v>465</v>
      </c>
      <c r="E925" s="264"/>
      <c r="F925" s="264"/>
      <c r="G925" s="264"/>
      <c r="H925" s="264"/>
      <c r="I925" s="264"/>
      <c r="J925" s="264"/>
      <c r="K925" s="264"/>
      <c r="L925" s="213">
        <v>1030</v>
      </c>
      <c r="M925" s="213">
        <v>1243</v>
      </c>
      <c r="N925" s="155">
        <v>1000</v>
      </c>
      <c r="O925" s="155">
        <v>1000</v>
      </c>
      <c r="P925" s="154">
        <v>1000</v>
      </c>
      <c r="Q925" s="154">
        <v>1000</v>
      </c>
      <c r="R925" s="154">
        <v>1000</v>
      </c>
      <c r="S925" s="154">
        <v>1000</v>
      </c>
      <c r="T925" s="154">
        <v>1000</v>
      </c>
      <c r="V925" s="148"/>
    </row>
    <row r="926" spans="1:23" ht="24" customHeight="1">
      <c r="A926" s="263" t="s">
        <v>466</v>
      </c>
      <c r="B926" s="202"/>
      <c r="C926" s="202"/>
      <c r="D926" s="263" t="s">
        <v>467</v>
      </c>
      <c r="E926" s="455"/>
      <c r="F926" s="455"/>
      <c r="G926" s="455"/>
      <c r="H926" s="455"/>
      <c r="I926" s="455"/>
      <c r="J926" s="455"/>
      <c r="K926" s="455"/>
      <c r="L926" s="212">
        <v>0</v>
      </c>
      <c r="M926" s="212">
        <v>0</v>
      </c>
      <c r="N926" s="147">
        <v>0</v>
      </c>
      <c r="O926" s="147">
        <v>0</v>
      </c>
      <c r="P926" s="146">
        <v>200</v>
      </c>
      <c r="Q926" s="146">
        <v>200</v>
      </c>
      <c r="R926" s="146">
        <v>200</v>
      </c>
      <c r="S926" s="146">
        <v>200</v>
      </c>
      <c r="T926" s="146">
        <v>200</v>
      </c>
    </row>
    <row r="927" spans="1:23" ht="24" customHeight="1">
      <c r="A927" s="263" t="s">
        <v>469</v>
      </c>
      <c r="B927" s="202"/>
      <c r="C927" s="202"/>
      <c r="D927" s="263" t="s">
        <v>969</v>
      </c>
      <c r="E927" s="202"/>
      <c r="F927" s="202"/>
      <c r="G927" s="202"/>
      <c r="H927" s="202"/>
      <c r="I927" s="202"/>
      <c r="J927" s="202"/>
      <c r="K927" s="202"/>
      <c r="L927" s="213">
        <v>0</v>
      </c>
      <c r="M927" s="213">
        <v>0</v>
      </c>
      <c r="N927" s="155">
        <v>0</v>
      </c>
      <c r="O927" s="155">
        <v>0</v>
      </c>
      <c r="P927" s="154">
        <v>0</v>
      </c>
      <c r="Q927" s="154">
        <v>0</v>
      </c>
      <c r="R927" s="154">
        <v>0</v>
      </c>
      <c r="S927" s="154">
        <v>0</v>
      </c>
      <c r="T927" s="154">
        <v>0</v>
      </c>
    </row>
    <row r="928" spans="1:23" ht="24" customHeight="1">
      <c r="A928" s="263" t="s">
        <v>470</v>
      </c>
      <c r="B928" s="202"/>
      <c r="C928" s="202"/>
      <c r="D928" s="263" t="s">
        <v>471</v>
      </c>
      <c r="E928" s="202"/>
      <c r="F928" s="202"/>
      <c r="G928" s="202"/>
      <c r="H928" s="202"/>
      <c r="I928" s="202"/>
      <c r="J928" s="202"/>
      <c r="K928" s="202"/>
      <c r="L928" s="213">
        <v>2427</v>
      </c>
      <c r="M928" s="213">
        <v>1141</v>
      </c>
      <c r="N928" s="155">
        <v>500</v>
      </c>
      <c r="O928" s="155">
        <v>500</v>
      </c>
      <c r="P928" s="154">
        <v>500</v>
      </c>
      <c r="Q928" s="154">
        <v>500</v>
      </c>
      <c r="R928" s="154">
        <v>500</v>
      </c>
      <c r="S928" s="154">
        <v>500</v>
      </c>
      <c r="T928" s="154">
        <v>500</v>
      </c>
      <c r="V928" s="401"/>
      <c r="W928" s="401"/>
    </row>
    <row r="929" spans="1:37" ht="24" customHeight="1">
      <c r="A929" s="565" t="s">
        <v>1203</v>
      </c>
      <c r="B929" s="202"/>
      <c r="C929" s="202"/>
      <c r="D929" s="565" t="s">
        <v>822</v>
      </c>
      <c r="E929" s="202"/>
      <c r="F929" s="202"/>
      <c r="G929" s="202"/>
      <c r="H929" s="202"/>
      <c r="I929" s="202"/>
      <c r="J929" s="202"/>
      <c r="K929" s="202"/>
      <c r="L929" s="213">
        <v>0</v>
      </c>
      <c r="M929" s="213">
        <v>5983</v>
      </c>
      <c r="N929" s="155">
        <v>1500</v>
      </c>
      <c r="O929" s="155">
        <v>1500</v>
      </c>
      <c r="P929" s="154">
        <v>1500</v>
      </c>
      <c r="Q929" s="154">
        <v>1500</v>
      </c>
      <c r="R929" s="154">
        <v>1500</v>
      </c>
      <c r="S929" s="154">
        <v>1500</v>
      </c>
      <c r="T929" s="154">
        <v>1500</v>
      </c>
      <c r="V929" s="840"/>
      <c r="W929" s="840"/>
    </row>
    <row r="930" spans="1:37" ht="24" customHeight="1">
      <c r="A930" s="267" t="s">
        <v>472</v>
      </c>
      <c r="B930" s="267"/>
      <c r="C930" s="267"/>
      <c r="D930" s="267"/>
      <c r="E930" s="267"/>
      <c r="F930" s="267"/>
      <c r="G930" s="267"/>
      <c r="H930" s="267"/>
      <c r="I930" s="267"/>
      <c r="J930" s="267"/>
      <c r="K930" s="267"/>
      <c r="L930" s="218"/>
      <c r="M930" s="218"/>
      <c r="N930" s="164"/>
      <c r="O930" s="164"/>
      <c r="P930" s="163"/>
      <c r="Q930" s="163"/>
      <c r="R930" s="163"/>
      <c r="S930" s="163"/>
      <c r="T930" s="163"/>
      <c r="V930" s="403"/>
      <c r="W930" s="403"/>
    </row>
    <row r="931" spans="1:37" ht="24" customHeight="1">
      <c r="A931" s="704" t="s">
        <v>1324</v>
      </c>
      <c r="B931" s="697"/>
      <c r="C931" s="697"/>
      <c r="D931" s="699" t="s">
        <v>930</v>
      </c>
      <c r="E931" s="697"/>
      <c r="F931" s="697"/>
      <c r="G931" s="697"/>
      <c r="H931" s="697"/>
      <c r="I931" s="697"/>
      <c r="J931" s="697"/>
      <c r="K931" s="697"/>
      <c r="L931" s="212">
        <v>50000</v>
      </c>
      <c r="M931" s="212">
        <v>50000</v>
      </c>
      <c r="N931" s="147">
        <v>50000</v>
      </c>
      <c r="O931" s="147">
        <v>50000</v>
      </c>
      <c r="P931" s="146">
        <v>50000</v>
      </c>
      <c r="Q931" s="146">
        <v>50000</v>
      </c>
      <c r="R931" s="146">
        <v>75000</v>
      </c>
      <c r="S931" s="146">
        <v>75000</v>
      </c>
      <c r="T931" s="146">
        <v>75000</v>
      </c>
      <c r="V931" s="403"/>
      <c r="W931" s="403"/>
    </row>
    <row r="932" spans="1:37" ht="24" customHeight="1">
      <c r="A932" s="704" t="s">
        <v>1325</v>
      </c>
      <c r="B932" s="697"/>
      <c r="C932" s="697"/>
      <c r="D932" s="699" t="s">
        <v>273</v>
      </c>
      <c r="E932" s="697"/>
      <c r="F932" s="697"/>
      <c r="G932" s="697"/>
      <c r="H932" s="697"/>
      <c r="I932" s="697"/>
      <c r="J932" s="697"/>
      <c r="K932" s="697"/>
      <c r="L932" s="212">
        <v>32113</v>
      </c>
      <c r="M932" s="212">
        <v>29738</v>
      </c>
      <c r="N932" s="147">
        <v>27363</v>
      </c>
      <c r="O932" s="147">
        <v>27363</v>
      </c>
      <c r="P932" s="146">
        <v>24988</v>
      </c>
      <c r="Q932" s="146">
        <v>22613</v>
      </c>
      <c r="R932" s="146">
        <v>20238</v>
      </c>
      <c r="S932" s="146">
        <v>16675</v>
      </c>
      <c r="T932" s="146">
        <v>13113</v>
      </c>
      <c r="V932" s="403"/>
      <c r="W932" s="403"/>
    </row>
    <row r="933" spans="1:37" ht="24" customHeight="1">
      <c r="A933" s="267" t="s">
        <v>935</v>
      </c>
      <c r="B933" s="267"/>
      <c r="C933" s="267"/>
      <c r="D933" s="267"/>
      <c r="E933" s="267"/>
      <c r="F933" s="267"/>
      <c r="G933" s="267"/>
      <c r="H933" s="267"/>
      <c r="I933" s="267"/>
      <c r="J933" s="697"/>
      <c r="K933" s="697"/>
      <c r="L933" s="217"/>
      <c r="M933" s="217"/>
      <c r="N933" s="172"/>
      <c r="O933" s="172"/>
      <c r="P933" s="160"/>
      <c r="Q933" s="160"/>
      <c r="R933" s="160"/>
      <c r="S933" s="160"/>
      <c r="T933" s="160"/>
      <c r="V933" s="403"/>
      <c r="W933" s="403"/>
    </row>
    <row r="934" spans="1:37" ht="24" customHeight="1">
      <c r="A934" s="704" t="s">
        <v>1326</v>
      </c>
      <c r="B934" s="697"/>
      <c r="C934" s="697"/>
      <c r="D934" s="699" t="s">
        <v>930</v>
      </c>
      <c r="E934" s="697"/>
      <c r="F934" s="697"/>
      <c r="G934" s="697"/>
      <c r="H934" s="697"/>
      <c r="I934" s="697"/>
      <c r="J934" s="697"/>
      <c r="K934" s="697"/>
      <c r="L934" s="212">
        <v>485000</v>
      </c>
      <c r="M934" s="212">
        <v>500000</v>
      </c>
      <c r="N934" s="156">
        <v>520000</v>
      </c>
      <c r="O934" s="156">
        <v>520000</v>
      </c>
      <c r="P934" s="153">
        <v>565000</v>
      </c>
      <c r="Q934" s="153">
        <v>585000</v>
      </c>
      <c r="R934" s="153">
        <v>610000</v>
      </c>
      <c r="S934" s="153">
        <v>645000</v>
      </c>
      <c r="T934" s="153">
        <v>675000</v>
      </c>
      <c r="V934" s="403"/>
      <c r="W934" s="403"/>
    </row>
    <row r="935" spans="1:37" ht="24" customHeight="1">
      <c r="A935" s="704" t="s">
        <v>1327</v>
      </c>
      <c r="B935" s="697"/>
      <c r="C935" s="697"/>
      <c r="D935" s="699" t="s">
        <v>273</v>
      </c>
      <c r="E935" s="697"/>
      <c r="F935" s="697"/>
      <c r="G935" s="697"/>
      <c r="H935" s="697"/>
      <c r="I935" s="697"/>
      <c r="J935" s="697"/>
      <c r="K935" s="697"/>
      <c r="L935" s="217">
        <v>182733</v>
      </c>
      <c r="M935" s="217">
        <v>173033</v>
      </c>
      <c r="N935" s="162">
        <v>163033</v>
      </c>
      <c r="O935" s="162">
        <v>163033</v>
      </c>
      <c r="P935" s="161">
        <v>152113</v>
      </c>
      <c r="Q935" s="161">
        <v>139400</v>
      </c>
      <c r="R935" s="161">
        <v>121850</v>
      </c>
      <c r="S935" s="161">
        <v>103550</v>
      </c>
      <c r="T935" s="161">
        <v>84200</v>
      </c>
      <c r="V935" s="403"/>
      <c r="W935" s="403"/>
    </row>
    <row r="936" spans="1:37" ht="15" customHeight="1">
      <c r="A936" s="202"/>
      <c r="B936" s="202"/>
      <c r="C936" s="202"/>
      <c r="D936" s="202"/>
      <c r="E936" s="202"/>
      <c r="F936" s="202"/>
      <c r="G936" s="202"/>
      <c r="H936" s="202"/>
      <c r="I936" s="202"/>
      <c r="J936" s="202"/>
      <c r="K936" s="202"/>
      <c r="L936" s="218"/>
      <c r="M936" s="218"/>
      <c r="N936" s="164"/>
      <c r="O936" s="164"/>
      <c r="P936" s="163"/>
      <c r="Q936" s="163"/>
      <c r="R936" s="163"/>
      <c r="S936" s="163"/>
      <c r="T936" s="163"/>
    </row>
    <row r="937" spans="1:37" s="202" customFormat="1" ht="24" customHeight="1">
      <c r="K937" s="267" t="s">
        <v>484</v>
      </c>
      <c r="L937" s="220">
        <f>SUM(L898:L936)</f>
        <v>1411951</v>
      </c>
      <c r="M937" s="220">
        <f t="shared" ref="M937:T937" si="91">SUM(M898:M936)</f>
        <v>1453791</v>
      </c>
      <c r="N937" s="221">
        <f t="shared" si="91"/>
        <v>1560550</v>
      </c>
      <c r="O937" s="221">
        <f t="shared" si="91"/>
        <v>1480245</v>
      </c>
      <c r="P937" s="220">
        <f t="shared" si="91"/>
        <v>1547989</v>
      </c>
      <c r="Q937" s="220">
        <f t="shared" si="91"/>
        <v>1574573</v>
      </c>
      <c r="R937" s="220">
        <f t="shared" si="91"/>
        <v>1629491</v>
      </c>
      <c r="S937" s="220">
        <f t="shared" si="91"/>
        <v>1668723</v>
      </c>
      <c r="T937" s="220">
        <f t="shared" si="91"/>
        <v>1703182</v>
      </c>
      <c r="U937" s="65"/>
      <c r="V937" s="845"/>
      <c r="W937" s="845"/>
      <c r="X937" s="844"/>
      <c r="Y937" s="838"/>
      <c r="Z937" s="838"/>
      <c r="AA937" s="838"/>
      <c r="AB937" s="838"/>
      <c r="AC937" s="838"/>
      <c r="AD937" s="838"/>
      <c r="AE937" s="838"/>
      <c r="AF937" s="838"/>
      <c r="AG937" s="838"/>
      <c r="AH937" s="838"/>
      <c r="AI937" s="838"/>
      <c r="AJ937" s="838"/>
      <c r="AK937" s="838"/>
    </row>
    <row r="938" spans="1:37" s="202" customFormat="1" ht="15" customHeight="1">
      <c r="L938" s="218"/>
      <c r="M938" s="218"/>
      <c r="N938" s="219"/>
      <c r="O938" s="219"/>
      <c r="P938" s="218"/>
      <c r="Q938" s="218"/>
      <c r="R938" s="218"/>
      <c r="S938" s="218"/>
      <c r="T938" s="218"/>
      <c r="U938" s="65"/>
      <c r="V938" s="838"/>
      <c r="W938" s="838"/>
      <c r="X938" s="838"/>
      <c r="Y938" s="838"/>
      <c r="Z938" s="838"/>
      <c r="AA938" s="838"/>
      <c r="AB938" s="838"/>
      <c r="AC938" s="838"/>
      <c r="AD938" s="838"/>
      <c r="AE938" s="838"/>
      <c r="AF938" s="838"/>
      <c r="AG938" s="838"/>
      <c r="AH938" s="838"/>
      <c r="AI938" s="838"/>
      <c r="AJ938" s="838"/>
      <c r="AK938" s="838"/>
    </row>
    <row r="939" spans="1:37" s="202" customFormat="1" ht="24" customHeight="1">
      <c r="K939" s="267" t="s">
        <v>485</v>
      </c>
      <c r="L939" s="220">
        <f>L896-L937</f>
        <v>32673</v>
      </c>
      <c r="M939" s="220">
        <f t="shared" ref="M939:T939" si="92">M896-M937</f>
        <v>-10301</v>
      </c>
      <c r="N939" s="221">
        <f t="shared" si="92"/>
        <v>-84097</v>
      </c>
      <c r="O939" s="221">
        <f t="shared" si="92"/>
        <v>-3664</v>
      </c>
      <c r="P939" s="220">
        <f t="shared" si="92"/>
        <v>-11354</v>
      </c>
      <c r="Q939" s="220">
        <f t="shared" si="92"/>
        <v>-18310</v>
      </c>
      <c r="R939" s="220">
        <f t="shared" si="92"/>
        <v>-28030</v>
      </c>
      <c r="S939" s="220">
        <f t="shared" si="92"/>
        <v>-38585</v>
      </c>
      <c r="T939" s="220">
        <f t="shared" si="92"/>
        <v>-50037</v>
      </c>
      <c r="U939" s="65"/>
      <c r="V939" s="838"/>
      <c r="W939" s="838"/>
      <c r="X939" s="838"/>
      <c r="Y939" s="838"/>
      <c r="Z939" s="838"/>
      <c r="AA939" s="838"/>
      <c r="AB939" s="838"/>
      <c r="AC939" s="838"/>
      <c r="AD939" s="838"/>
      <c r="AE939" s="838"/>
      <c r="AF939" s="838"/>
      <c r="AG939" s="838"/>
      <c r="AH939" s="838"/>
      <c r="AI939" s="838"/>
      <c r="AJ939" s="838"/>
      <c r="AK939" s="838"/>
    </row>
    <row r="940" spans="1:37" s="202" customFormat="1" ht="15" customHeight="1">
      <c r="L940" s="218"/>
      <c r="M940" s="218"/>
      <c r="N940" s="219"/>
      <c r="O940" s="219"/>
      <c r="P940" s="218"/>
      <c r="Q940" s="218"/>
      <c r="R940" s="218"/>
      <c r="S940" s="218"/>
      <c r="T940" s="218"/>
      <c r="U940" s="65"/>
      <c r="V940" s="838"/>
      <c r="W940" s="838"/>
      <c r="X940" s="838"/>
      <c r="Y940" s="838"/>
      <c r="Z940" s="838"/>
      <c r="AA940" s="838"/>
      <c r="AB940" s="838"/>
      <c r="AC940" s="838"/>
      <c r="AD940" s="838"/>
      <c r="AE940" s="838"/>
      <c r="AF940" s="838"/>
      <c r="AG940" s="838"/>
      <c r="AH940" s="838"/>
      <c r="AI940" s="838"/>
      <c r="AJ940" s="838"/>
      <c r="AK940" s="838"/>
    </row>
    <row r="941" spans="1:37" s="202" customFormat="1" ht="24" customHeight="1">
      <c r="K941" s="272" t="s">
        <v>487</v>
      </c>
      <c r="L941" s="237">
        <v>499355</v>
      </c>
      <c r="M941" s="237">
        <v>489057</v>
      </c>
      <c r="N941" s="238">
        <v>396472</v>
      </c>
      <c r="O941" s="238">
        <f>M941+O939</f>
        <v>485393</v>
      </c>
      <c r="P941" s="237">
        <f>O941+P939</f>
        <v>474039</v>
      </c>
      <c r="Q941" s="237">
        <f>P941+Q939</f>
        <v>455729</v>
      </c>
      <c r="R941" s="237">
        <f>Q941+R939</f>
        <v>427699</v>
      </c>
      <c r="S941" s="237">
        <f>R941+S939</f>
        <v>389114</v>
      </c>
      <c r="T941" s="237">
        <f>S941+T939</f>
        <v>339077</v>
      </c>
      <c r="U941" s="65"/>
      <c r="V941" s="838"/>
      <c r="W941" s="838"/>
      <c r="X941" s="838"/>
      <c r="Y941" s="838"/>
      <c r="Z941" s="838"/>
      <c r="AA941" s="838"/>
      <c r="AB941" s="838"/>
      <c r="AC941" s="838"/>
      <c r="AD941" s="838"/>
      <c r="AE941" s="838"/>
      <c r="AF941" s="838"/>
      <c r="AG941" s="838"/>
      <c r="AH941" s="838"/>
      <c r="AI941" s="838"/>
      <c r="AJ941" s="838"/>
      <c r="AK941" s="838"/>
    </row>
    <row r="942" spans="1:37" s="276" customFormat="1" ht="24" customHeight="1">
      <c r="L942" s="239">
        <f t="shared" ref="L942:T942" si="93">L941/L937</f>
        <v>0.35366312287041124</v>
      </c>
      <c r="M942" s="239">
        <f t="shared" si="93"/>
        <v>0.33640117458424218</v>
      </c>
      <c r="N942" s="240">
        <f t="shared" si="93"/>
        <v>0.25405914581397582</v>
      </c>
      <c r="O942" s="240">
        <f t="shared" si="93"/>
        <v>0.32791396018902275</v>
      </c>
      <c r="P942" s="239">
        <f t="shared" si="93"/>
        <v>0.30622892023134529</v>
      </c>
      <c r="Q942" s="239">
        <f t="shared" si="93"/>
        <v>0.28943021377859268</v>
      </c>
      <c r="R942" s="239">
        <f t="shared" si="93"/>
        <v>0.2624739872757812</v>
      </c>
      <c r="S942" s="239">
        <f t="shared" si="93"/>
        <v>0.23318070165030386</v>
      </c>
      <c r="T942" s="239">
        <f t="shared" si="93"/>
        <v>0.19908441963336859</v>
      </c>
      <c r="U942" s="801"/>
    </row>
    <row r="943" spans="1:37" s="276" customFormat="1" ht="15" customHeight="1">
      <c r="L943" s="239"/>
      <c r="M943" s="239"/>
      <c r="N943" s="240"/>
      <c r="O943" s="240"/>
      <c r="P943" s="239"/>
      <c r="Q943" s="239"/>
      <c r="R943" s="239"/>
      <c r="S943" s="239"/>
      <c r="T943" s="239"/>
      <c r="U943" s="801"/>
    </row>
    <row r="944" spans="1:37" s="769" customFormat="1" ht="24" customHeight="1">
      <c r="H944" s="770"/>
      <c r="I944" s="770"/>
      <c r="J944" s="770"/>
      <c r="K944" s="831" t="s">
        <v>1414</v>
      </c>
      <c r="L944" s="570">
        <f>L941/(L937-L935-L934-L932-L931)</f>
        <v>0.75419306605447778</v>
      </c>
      <c r="M944" s="570">
        <f t="shared" ref="M944:T944" si="94">M941/(M937-M935-M934-M932-M931)</f>
        <v>0.69763630138940402</v>
      </c>
      <c r="N944" s="570">
        <f t="shared" si="94"/>
        <v>0.49549461728617239</v>
      </c>
      <c r="O944" s="570">
        <f t="shared" si="94"/>
        <v>0.67429835979490138</v>
      </c>
      <c r="P944" s="569">
        <f t="shared" si="94"/>
        <v>0.6271286222297483</v>
      </c>
      <c r="Q944" s="569">
        <f t="shared" si="94"/>
        <v>0.58610139410463502</v>
      </c>
      <c r="R944" s="569">
        <f t="shared" si="94"/>
        <v>0.53302268311559153</v>
      </c>
      <c r="S944" s="569">
        <f t="shared" si="94"/>
        <v>0.46966196659497067</v>
      </c>
      <c r="T944" s="569">
        <f t="shared" si="94"/>
        <v>0.39617862079360278</v>
      </c>
      <c r="U944" s="804"/>
    </row>
    <row r="945" spans="1:37" ht="15" customHeight="1">
      <c r="A945" s="202"/>
      <c r="B945" s="202"/>
      <c r="C945" s="202"/>
      <c r="D945" s="202"/>
      <c r="E945" s="202"/>
      <c r="F945" s="202"/>
      <c r="G945" s="202"/>
      <c r="H945" s="202"/>
      <c r="I945" s="202"/>
      <c r="J945" s="202"/>
      <c r="K945" s="202"/>
      <c r="L945" s="354"/>
      <c r="M945" s="354"/>
      <c r="N945" s="358"/>
      <c r="O945" s="358"/>
      <c r="P945" s="359"/>
      <c r="Q945" s="359"/>
      <c r="R945" s="359"/>
      <c r="S945" s="359"/>
      <c r="T945" s="359"/>
    </row>
    <row r="946" spans="1:37" ht="15" customHeight="1">
      <c r="A946" s="202"/>
      <c r="B946" s="202"/>
      <c r="C946" s="202"/>
      <c r="D946" s="202"/>
      <c r="E946" s="202"/>
      <c r="F946" s="202"/>
      <c r="G946" s="202"/>
      <c r="H946" s="202"/>
      <c r="I946" s="202"/>
      <c r="J946" s="202"/>
      <c r="K946" s="202"/>
      <c r="L946" s="261"/>
      <c r="M946" s="261"/>
      <c r="N946" s="352"/>
      <c r="O946" s="352"/>
      <c r="P946" s="353"/>
      <c r="Q946" s="353"/>
      <c r="R946" s="353"/>
      <c r="S946" s="353"/>
      <c r="T946" s="353"/>
    </row>
    <row r="947" spans="1:37" ht="24" customHeight="1">
      <c r="A947" s="274" t="s">
        <v>840</v>
      </c>
      <c r="B947" s="202"/>
      <c r="C947" s="202"/>
      <c r="D947" s="202"/>
      <c r="E947" s="202"/>
      <c r="F947" s="202"/>
      <c r="G947" s="202"/>
      <c r="H947" s="202"/>
      <c r="I947" s="202"/>
      <c r="J947" s="202"/>
      <c r="K947" s="202"/>
      <c r="L947" s="261"/>
      <c r="M947" s="261"/>
      <c r="N947" s="352"/>
      <c r="O947" s="352"/>
      <c r="P947" s="353"/>
      <c r="Q947" s="353"/>
      <c r="R947" s="353"/>
      <c r="S947" s="353"/>
      <c r="T947" s="353"/>
      <c r="V947" s="370"/>
      <c r="W947" s="371"/>
      <c r="X947" s="371"/>
      <c r="Y947" s="871"/>
    </row>
    <row r="948" spans="1:37" ht="15" customHeight="1">
      <c r="A948" s="202"/>
      <c r="B948" s="202"/>
      <c r="C948" s="202"/>
      <c r="D948" s="202"/>
      <c r="E948" s="202"/>
      <c r="F948" s="202"/>
      <c r="G948" s="202"/>
      <c r="H948" s="202"/>
      <c r="I948" s="202"/>
      <c r="J948" s="202"/>
      <c r="K948" s="202"/>
      <c r="L948" s="261"/>
      <c r="M948" s="261"/>
      <c r="N948" s="352"/>
      <c r="O948" s="352"/>
      <c r="P948" s="353"/>
      <c r="Q948" s="353"/>
      <c r="R948" s="353"/>
      <c r="S948" s="353"/>
      <c r="T948" s="353"/>
    </row>
    <row r="949" spans="1:37" ht="24" customHeight="1">
      <c r="A949" s="263" t="s">
        <v>640</v>
      </c>
      <c r="B949" s="264"/>
      <c r="C949" s="264"/>
      <c r="D949" s="263" t="s">
        <v>639</v>
      </c>
      <c r="E949" s="511"/>
      <c r="F949" s="511"/>
      <c r="G949" s="511"/>
      <c r="H949" s="511"/>
      <c r="I949" s="511"/>
      <c r="J949" s="511"/>
      <c r="K949" s="511"/>
      <c r="L949" s="211">
        <v>35350</v>
      </c>
      <c r="M949" s="211">
        <v>53450</v>
      </c>
      <c r="N949" s="150">
        <v>35000</v>
      </c>
      <c r="O949" s="150">
        <v>70000</v>
      </c>
      <c r="P949" s="169">
        <f>((120*500)*0.6)+((120*150)*0.4)</f>
        <v>43200</v>
      </c>
      <c r="Q949" s="169">
        <f>((110*500)*0.6)+((110*150)*0.4)</f>
        <v>39600</v>
      </c>
      <c r="R949" s="169">
        <f>((110*500)*0.6)+((110*150)*0.4)</f>
        <v>39600</v>
      </c>
      <c r="S949" s="169">
        <f>((110*500)*0.6)+((110*150)*0.4)</f>
        <v>39600</v>
      </c>
      <c r="T949" s="169">
        <f>((110*500)*0.6)+((110*150)*0.4)</f>
        <v>39600</v>
      </c>
    </row>
    <row r="950" spans="1:37" ht="24" customHeight="1">
      <c r="A950" s="580" t="s">
        <v>1234</v>
      </c>
      <c r="B950" s="579"/>
      <c r="C950" s="579"/>
      <c r="D950" s="624" t="s">
        <v>1213</v>
      </c>
      <c r="E950" s="581"/>
      <c r="F950" s="581"/>
      <c r="G950" s="581"/>
      <c r="H950" s="581"/>
      <c r="I950" s="581"/>
      <c r="J950" s="581"/>
      <c r="K950" s="581"/>
      <c r="L950" s="211">
        <v>750</v>
      </c>
      <c r="M950" s="211">
        <v>200</v>
      </c>
      <c r="N950" s="150">
        <v>0</v>
      </c>
      <c r="O950" s="150">
        <v>0</v>
      </c>
      <c r="P950" s="149">
        <v>0</v>
      </c>
      <c r="Q950" s="149">
        <v>0</v>
      </c>
      <c r="R950" s="149">
        <v>0</v>
      </c>
      <c r="S950" s="149">
        <v>0</v>
      </c>
      <c r="T950" s="149">
        <v>0</v>
      </c>
    </row>
    <row r="951" spans="1:37" ht="24" customHeight="1">
      <c r="A951" s="263" t="s">
        <v>609</v>
      </c>
      <c r="B951" s="264"/>
      <c r="C951" s="264"/>
      <c r="D951" s="911" t="s">
        <v>6</v>
      </c>
      <c r="E951" s="911"/>
      <c r="F951" s="911"/>
      <c r="G951" s="911"/>
      <c r="H951" s="911"/>
      <c r="I951" s="911"/>
      <c r="J951" s="911"/>
      <c r="K951" s="911"/>
      <c r="L951" s="211">
        <v>8</v>
      </c>
      <c r="M951" s="211">
        <v>12</v>
      </c>
      <c r="N951" s="150">
        <v>10</v>
      </c>
      <c r="O951" s="150">
        <v>10</v>
      </c>
      <c r="P951" s="149">
        <v>10</v>
      </c>
      <c r="Q951" s="149">
        <v>10</v>
      </c>
      <c r="R951" s="149">
        <v>10</v>
      </c>
      <c r="S951" s="149">
        <v>10</v>
      </c>
      <c r="T951" s="149">
        <v>10</v>
      </c>
    </row>
    <row r="952" spans="1:37" ht="24" customHeight="1">
      <c r="A952" s="263" t="s">
        <v>1182</v>
      </c>
      <c r="B952" s="487"/>
      <c r="C952" s="487"/>
      <c r="D952" s="263" t="s">
        <v>7</v>
      </c>
      <c r="E952" s="488"/>
      <c r="F952" s="488"/>
      <c r="G952" s="488"/>
      <c r="H952" s="488"/>
      <c r="I952" s="488"/>
      <c r="J952" s="488"/>
      <c r="K952" s="488"/>
      <c r="L952" s="217">
        <v>10</v>
      </c>
      <c r="M952" s="217">
        <v>130</v>
      </c>
      <c r="N952" s="162">
        <v>0</v>
      </c>
      <c r="O952" s="162">
        <v>0</v>
      </c>
      <c r="P952" s="161">
        <v>0</v>
      </c>
      <c r="Q952" s="161">
        <v>0</v>
      </c>
      <c r="R952" s="161">
        <v>0</v>
      </c>
      <c r="S952" s="161">
        <v>0</v>
      </c>
      <c r="T952" s="161">
        <v>0</v>
      </c>
    </row>
    <row r="953" spans="1:37" ht="15" customHeight="1">
      <c r="A953" s="202"/>
      <c r="B953" s="202"/>
      <c r="C953" s="202"/>
      <c r="D953" s="202"/>
      <c r="E953" s="202"/>
      <c r="F953" s="202"/>
      <c r="G953" s="202"/>
      <c r="H953" s="202"/>
      <c r="I953" s="202"/>
      <c r="J953" s="202"/>
      <c r="K953" s="202"/>
      <c r="L953" s="218"/>
      <c r="M953" s="218"/>
      <c r="N953" s="164"/>
      <c r="O953" s="164"/>
      <c r="P953" s="163"/>
      <c r="Q953" s="163"/>
      <c r="R953" s="163"/>
      <c r="S953" s="163"/>
      <c r="T953" s="163"/>
    </row>
    <row r="954" spans="1:37" s="202" customFormat="1" ht="24" customHeight="1">
      <c r="K954" s="267" t="s">
        <v>481</v>
      </c>
      <c r="L954" s="220">
        <f>SUM(L949:L952)</f>
        <v>36118</v>
      </c>
      <c r="M954" s="220">
        <f>SUM(M949:M952)</f>
        <v>53792</v>
      </c>
      <c r="N954" s="221">
        <f t="shared" ref="N954:S954" si="95">SUM(N949:N952)</f>
        <v>35010</v>
      </c>
      <c r="O954" s="221">
        <f t="shared" si="95"/>
        <v>70010</v>
      </c>
      <c r="P954" s="220">
        <f t="shared" si="95"/>
        <v>43210</v>
      </c>
      <c r="Q954" s="220">
        <f t="shared" si="95"/>
        <v>39610</v>
      </c>
      <c r="R954" s="220">
        <f t="shared" si="95"/>
        <v>39610</v>
      </c>
      <c r="S954" s="220">
        <f t="shared" si="95"/>
        <v>39610</v>
      </c>
      <c r="T954" s="220">
        <f>SUM(T949:T952)</f>
        <v>39610</v>
      </c>
      <c r="U954" s="65"/>
      <c r="V954" s="838"/>
      <c r="W954" s="838"/>
      <c r="X954" s="838"/>
      <c r="Y954" s="838"/>
      <c r="Z954" s="838"/>
      <c r="AA954" s="838"/>
      <c r="AB954" s="838"/>
      <c r="AC954" s="838"/>
      <c r="AD954" s="838"/>
      <c r="AE954" s="838"/>
      <c r="AF954" s="838"/>
      <c r="AG954" s="838"/>
      <c r="AH954" s="838"/>
      <c r="AI954" s="838"/>
      <c r="AJ954" s="838"/>
      <c r="AK954" s="838"/>
    </row>
    <row r="955" spans="1:37" ht="15" customHeight="1">
      <c r="A955" s="202"/>
      <c r="B955" s="202"/>
      <c r="C955" s="202"/>
      <c r="D955" s="202"/>
      <c r="E955" s="202"/>
      <c r="F955" s="202"/>
      <c r="G955" s="202"/>
      <c r="H955" s="202"/>
      <c r="I955" s="202"/>
      <c r="J955" s="202"/>
      <c r="K955" s="267"/>
      <c r="L955" s="220"/>
      <c r="M955" s="220"/>
      <c r="N955" s="167"/>
      <c r="O955" s="167"/>
      <c r="P955" s="166"/>
      <c r="Q955" s="166"/>
      <c r="R955" s="166"/>
      <c r="S955" s="166"/>
      <c r="T955" s="166"/>
    </row>
    <row r="956" spans="1:37" ht="24" customHeight="1">
      <c r="A956" s="580" t="s">
        <v>1235</v>
      </c>
      <c r="B956" s="581"/>
      <c r="C956" s="581"/>
      <c r="D956" s="580" t="s">
        <v>1215</v>
      </c>
      <c r="E956" s="581"/>
      <c r="F956" s="581"/>
      <c r="G956" s="581"/>
      <c r="H956" s="581"/>
      <c r="I956" s="581"/>
      <c r="J956" s="581"/>
      <c r="K956" s="267"/>
      <c r="L956" s="232">
        <v>750</v>
      </c>
      <c r="M956" s="232">
        <v>200</v>
      </c>
      <c r="N956" s="184">
        <v>0</v>
      </c>
      <c r="O956" s="184">
        <v>0</v>
      </c>
      <c r="P956" s="183">
        <v>0</v>
      </c>
      <c r="Q956" s="183">
        <v>0</v>
      </c>
      <c r="R956" s="183">
        <v>0</v>
      </c>
      <c r="S956" s="183">
        <v>0</v>
      </c>
      <c r="T956" s="183">
        <v>0</v>
      </c>
      <c r="V956" s="148"/>
    </row>
    <row r="957" spans="1:37" ht="24" customHeight="1">
      <c r="A957" s="263" t="s">
        <v>884</v>
      </c>
      <c r="B957" s="202"/>
      <c r="C957" s="202"/>
      <c r="D957" s="263" t="s">
        <v>996</v>
      </c>
      <c r="E957" s="320"/>
      <c r="F957" s="320"/>
      <c r="G957" s="320"/>
      <c r="H957" s="320"/>
      <c r="I957" s="320"/>
      <c r="J957" s="320"/>
      <c r="K957" s="267"/>
      <c r="L957" s="232">
        <v>3508</v>
      </c>
      <c r="M957" s="232">
        <v>3644</v>
      </c>
      <c r="N957" s="184">
        <v>3500</v>
      </c>
      <c r="O957" s="184">
        <v>3500</v>
      </c>
      <c r="P957" s="183">
        <v>3500</v>
      </c>
      <c r="Q957" s="183">
        <v>3500</v>
      </c>
      <c r="R957" s="183">
        <v>3500</v>
      </c>
      <c r="S957" s="183">
        <v>3500</v>
      </c>
      <c r="T957" s="183">
        <v>3500</v>
      </c>
      <c r="V957" s="148"/>
    </row>
    <row r="958" spans="1:37" ht="24" customHeight="1">
      <c r="A958" s="263" t="s">
        <v>821</v>
      </c>
      <c r="B958" s="264"/>
      <c r="C958" s="264"/>
      <c r="D958" s="263" t="s">
        <v>233</v>
      </c>
      <c r="E958" s="264"/>
      <c r="F958" s="264"/>
      <c r="G958" s="264"/>
      <c r="H958" s="264"/>
      <c r="I958" s="264"/>
      <c r="J958" s="202"/>
      <c r="K958" s="267"/>
      <c r="L958" s="232">
        <v>1311</v>
      </c>
      <c r="M958" s="232">
        <v>15444</v>
      </c>
      <c r="N958" s="184">
        <v>15000</v>
      </c>
      <c r="O958" s="184">
        <v>15000</v>
      </c>
      <c r="P958" s="183">
        <v>15000</v>
      </c>
      <c r="Q958" s="183">
        <v>15000</v>
      </c>
      <c r="R958" s="183">
        <v>15000</v>
      </c>
      <c r="S958" s="183">
        <v>15000</v>
      </c>
      <c r="T958" s="183">
        <v>15000</v>
      </c>
      <c r="V958" s="148"/>
    </row>
    <row r="959" spans="1:37" ht="24" customHeight="1">
      <c r="A959" s="263" t="s">
        <v>818</v>
      </c>
      <c r="B959" s="202"/>
      <c r="C959" s="202"/>
      <c r="D959" s="263" t="s">
        <v>468</v>
      </c>
      <c r="E959" s="202"/>
      <c r="F959" s="202"/>
      <c r="G959" s="202"/>
      <c r="H959" s="202"/>
      <c r="I959" s="202"/>
      <c r="J959" s="202"/>
      <c r="K959" s="202"/>
      <c r="L959" s="232">
        <v>1237</v>
      </c>
      <c r="M959" s="232">
        <v>2758</v>
      </c>
      <c r="N959" s="184">
        <v>0</v>
      </c>
      <c r="O959" s="184">
        <v>1600</v>
      </c>
      <c r="P959" s="183">
        <v>1600</v>
      </c>
      <c r="Q959" s="183">
        <v>1600</v>
      </c>
      <c r="R959" s="183">
        <v>1600</v>
      </c>
      <c r="S959" s="183">
        <v>1600</v>
      </c>
      <c r="T959" s="183">
        <v>1600</v>
      </c>
      <c r="V959" s="148"/>
    </row>
    <row r="960" spans="1:37" ht="24" customHeight="1">
      <c r="A960" s="263" t="s">
        <v>819</v>
      </c>
      <c r="B960" s="202"/>
      <c r="C960" s="202"/>
      <c r="D960" s="263" t="s">
        <v>969</v>
      </c>
      <c r="E960" s="202"/>
      <c r="F960" s="202"/>
      <c r="G960" s="202"/>
      <c r="H960" s="202"/>
      <c r="I960" s="202"/>
      <c r="J960" s="202"/>
      <c r="K960" s="202"/>
      <c r="L960" s="232">
        <v>0</v>
      </c>
      <c r="M960" s="232">
        <v>0</v>
      </c>
      <c r="N960" s="184">
        <v>0</v>
      </c>
      <c r="O960" s="184">
        <v>150</v>
      </c>
      <c r="P960" s="183">
        <v>500</v>
      </c>
      <c r="Q960" s="183">
        <v>500</v>
      </c>
      <c r="R960" s="183">
        <v>500</v>
      </c>
      <c r="S960" s="183">
        <v>500</v>
      </c>
      <c r="T960" s="183">
        <v>500</v>
      </c>
    </row>
    <row r="961" spans="1:37" ht="24" customHeight="1">
      <c r="A961" s="263" t="s">
        <v>820</v>
      </c>
      <c r="B961" s="202"/>
      <c r="C961" s="202"/>
      <c r="D961" s="263" t="s">
        <v>471</v>
      </c>
      <c r="E961" s="202"/>
      <c r="F961" s="202"/>
      <c r="G961" s="202"/>
      <c r="H961" s="202"/>
      <c r="I961" s="202"/>
      <c r="J961" s="202"/>
      <c r="K961" s="202"/>
      <c r="L961" s="232">
        <v>394</v>
      </c>
      <c r="M961" s="232">
        <v>1843</v>
      </c>
      <c r="N961" s="184">
        <v>0</v>
      </c>
      <c r="O961" s="184">
        <v>1500</v>
      </c>
      <c r="P961" s="183">
        <v>1500</v>
      </c>
      <c r="Q961" s="183">
        <v>1500</v>
      </c>
      <c r="R961" s="183">
        <v>1500</v>
      </c>
      <c r="S961" s="183">
        <v>1500</v>
      </c>
      <c r="T961" s="183">
        <v>1500</v>
      </c>
      <c r="V961" s="148"/>
    </row>
    <row r="962" spans="1:37" ht="24" customHeight="1">
      <c r="A962" s="263" t="s">
        <v>823</v>
      </c>
      <c r="B962" s="202"/>
      <c r="C962" s="202"/>
      <c r="D962" s="263" t="s">
        <v>822</v>
      </c>
      <c r="E962" s="202"/>
      <c r="F962" s="202"/>
      <c r="G962" s="202"/>
      <c r="H962" s="202"/>
      <c r="I962" s="202"/>
      <c r="J962" s="202"/>
      <c r="K962" s="202"/>
      <c r="L962" s="248">
        <v>26826</v>
      </c>
      <c r="M962" s="248">
        <v>24806</v>
      </c>
      <c r="N962" s="195">
        <v>16500</v>
      </c>
      <c r="O962" s="195">
        <v>28000</v>
      </c>
      <c r="P962" s="823">
        <v>30000</v>
      </c>
      <c r="Q962" s="823">
        <v>30000</v>
      </c>
      <c r="R962" s="823">
        <v>30000</v>
      </c>
      <c r="S962" s="823">
        <v>30000</v>
      </c>
      <c r="T962" s="823">
        <v>30000</v>
      </c>
      <c r="V962" s="370"/>
      <c r="W962" s="370"/>
      <c r="X962" s="370"/>
      <c r="Y962" s="148"/>
    </row>
    <row r="963" spans="1:37" ht="15" customHeight="1">
      <c r="A963" s="263"/>
      <c r="B963" s="202"/>
      <c r="C963" s="202"/>
      <c r="D963" s="202"/>
      <c r="E963" s="202"/>
      <c r="F963" s="202"/>
      <c r="G963" s="202"/>
      <c r="H963" s="202"/>
      <c r="I963" s="202"/>
      <c r="J963" s="202"/>
      <c r="K963" s="202"/>
      <c r="L963" s="218"/>
      <c r="M963" s="218"/>
      <c r="N963" s="164"/>
      <c r="O963" s="164"/>
      <c r="P963" s="163"/>
      <c r="Q963" s="163"/>
      <c r="R963" s="163"/>
      <c r="S963" s="163"/>
      <c r="T963" s="163"/>
    </row>
    <row r="964" spans="1:37" s="202" customFormat="1" ht="24" customHeight="1">
      <c r="A964" s="263"/>
      <c r="K964" s="267" t="s">
        <v>484</v>
      </c>
      <c r="L964" s="220">
        <f>SUM(L956:L963)</f>
        <v>34026</v>
      </c>
      <c r="M964" s="220">
        <f t="shared" ref="M964:T964" si="96">SUM(M956:M963)</f>
        <v>48695</v>
      </c>
      <c r="N964" s="221">
        <f t="shared" si="96"/>
        <v>35000</v>
      </c>
      <c r="O964" s="221">
        <f t="shared" si="96"/>
        <v>49750</v>
      </c>
      <c r="P964" s="220">
        <f t="shared" si="96"/>
        <v>52100</v>
      </c>
      <c r="Q964" s="220">
        <f t="shared" si="96"/>
        <v>52100</v>
      </c>
      <c r="R964" s="220">
        <f t="shared" si="96"/>
        <v>52100</v>
      </c>
      <c r="S964" s="220">
        <f t="shared" si="96"/>
        <v>52100</v>
      </c>
      <c r="T964" s="220">
        <f t="shared" si="96"/>
        <v>52100</v>
      </c>
      <c r="U964" s="65"/>
      <c r="V964" s="845"/>
      <c r="W964" s="845"/>
      <c r="X964" s="844"/>
      <c r="Y964" s="838"/>
      <c r="Z964" s="838"/>
      <c r="AA964" s="838"/>
      <c r="AB964" s="838"/>
      <c r="AC964" s="838"/>
      <c r="AD964" s="838"/>
      <c r="AE964" s="838"/>
      <c r="AF964" s="838"/>
      <c r="AG964" s="838"/>
      <c r="AH964" s="838"/>
      <c r="AI964" s="838"/>
      <c r="AJ964" s="838"/>
      <c r="AK964" s="838"/>
    </row>
    <row r="965" spans="1:37" s="202" customFormat="1" ht="15" customHeight="1">
      <c r="A965" s="263"/>
      <c r="L965" s="218"/>
      <c r="M965" s="218"/>
      <c r="N965" s="219"/>
      <c r="O965" s="219"/>
      <c r="P965" s="218"/>
      <c r="Q965" s="218"/>
      <c r="R965" s="218"/>
      <c r="S965" s="218"/>
      <c r="T965" s="218"/>
      <c r="U965" s="65"/>
      <c r="V965" s="838"/>
      <c r="W965" s="838"/>
      <c r="X965" s="838"/>
      <c r="Y965" s="838"/>
      <c r="Z965" s="838"/>
      <c r="AA965" s="838"/>
      <c r="AB965" s="838"/>
      <c r="AC965" s="838"/>
      <c r="AD965" s="838"/>
      <c r="AE965" s="838"/>
      <c r="AF965" s="838"/>
      <c r="AG965" s="838"/>
      <c r="AH965" s="838"/>
      <c r="AI965" s="838"/>
      <c r="AJ965" s="838"/>
      <c r="AK965" s="838"/>
    </row>
    <row r="966" spans="1:37" s="202" customFormat="1" ht="24" customHeight="1">
      <c r="K966" s="267" t="s">
        <v>485</v>
      </c>
      <c r="L966" s="220">
        <f>L954-L964</f>
        <v>2092</v>
      </c>
      <c r="M966" s="220">
        <f>M954-M964</f>
        <v>5097</v>
      </c>
      <c r="N966" s="221">
        <f t="shared" ref="N966:S966" si="97">N954-N964</f>
        <v>10</v>
      </c>
      <c r="O966" s="221">
        <f t="shared" si="97"/>
        <v>20260</v>
      </c>
      <c r="P966" s="220">
        <f t="shared" si="97"/>
        <v>-8890</v>
      </c>
      <c r="Q966" s="220">
        <f t="shared" si="97"/>
        <v>-12490</v>
      </c>
      <c r="R966" s="220">
        <f t="shared" si="97"/>
        <v>-12490</v>
      </c>
      <c r="S966" s="220">
        <f t="shared" si="97"/>
        <v>-12490</v>
      </c>
      <c r="T966" s="220">
        <f>T954-T964</f>
        <v>-12490</v>
      </c>
      <c r="U966" s="65"/>
      <c r="V966" s="838"/>
      <c r="W966" s="838"/>
      <c r="X966" s="838"/>
      <c r="Y966" s="838"/>
      <c r="Z966" s="838"/>
      <c r="AA966" s="838"/>
      <c r="AB966" s="838"/>
      <c r="AC966" s="838"/>
      <c r="AD966" s="838"/>
      <c r="AE966" s="838"/>
      <c r="AF966" s="838"/>
      <c r="AG966" s="838"/>
      <c r="AH966" s="838"/>
      <c r="AI966" s="838"/>
      <c r="AJ966" s="838"/>
      <c r="AK966" s="838"/>
    </row>
    <row r="967" spans="1:37" s="202" customFormat="1" ht="15" customHeight="1">
      <c r="L967" s="218"/>
      <c r="M967" s="218"/>
      <c r="N967" s="219"/>
      <c r="O967" s="219"/>
      <c r="P967" s="218"/>
      <c r="Q967" s="218"/>
      <c r="R967" s="218"/>
      <c r="S967" s="218"/>
      <c r="T967" s="218"/>
      <c r="U967" s="65"/>
      <c r="V967" s="838"/>
      <c r="W967" s="838"/>
      <c r="X967" s="838"/>
      <c r="Y967" s="838"/>
      <c r="Z967" s="838"/>
      <c r="AA967" s="838"/>
      <c r="AB967" s="838"/>
      <c r="AC967" s="838"/>
      <c r="AD967" s="838"/>
      <c r="AE967" s="838"/>
      <c r="AF967" s="838"/>
      <c r="AG967" s="838"/>
      <c r="AH967" s="838"/>
      <c r="AI967" s="838"/>
      <c r="AJ967" s="838"/>
      <c r="AK967" s="838"/>
    </row>
    <row r="968" spans="1:37" s="202" customFormat="1" ht="24" customHeight="1">
      <c r="K968" s="272" t="s">
        <v>487</v>
      </c>
      <c r="L968" s="220">
        <v>14807</v>
      </c>
      <c r="M968" s="220">
        <v>19904</v>
      </c>
      <c r="N968" s="221">
        <v>23999</v>
      </c>
      <c r="O968" s="221">
        <f>M968+O966</f>
        <v>40164</v>
      </c>
      <c r="P968" s="220">
        <f>O968+P966</f>
        <v>31274</v>
      </c>
      <c r="Q968" s="220">
        <f>P968+Q966</f>
        <v>18784</v>
      </c>
      <c r="R968" s="220">
        <f>Q968+R966</f>
        <v>6294</v>
      </c>
      <c r="S968" s="220">
        <f>R968+S966</f>
        <v>-6196</v>
      </c>
      <c r="T968" s="220">
        <f>S968+T966</f>
        <v>-18686</v>
      </c>
      <c r="U968" s="65"/>
      <c r="V968" s="401"/>
      <c r="W968" s="401"/>
      <c r="X968" s="401"/>
      <c r="Y968" s="401"/>
      <c r="Z968" s="401"/>
      <c r="AA968" s="401"/>
      <c r="AB968" s="401"/>
      <c r="AC968" s="401"/>
      <c r="AD968" s="401"/>
      <c r="AE968" s="401"/>
      <c r="AF968" s="401"/>
      <c r="AG968" s="401"/>
      <c r="AH968" s="401"/>
      <c r="AI968" s="838"/>
      <c r="AJ968" s="838"/>
      <c r="AK968" s="838"/>
    </row>
    <row r="969" spans="1:37" ht="15" customHeight="1">
      <c r="A969" s="202"/>
      <c r="B969" s="202"/>
      <c r="C969" s="202"/>
      <c r="D969" s="202"/>
      <c r="E969" s="202"/>
      <c r="F969" s="202"/>
      <c r="G969" s="202"/>
      <c r="H969" s="202"/>
      <c r="I969" s="202"/>
      <c r="J969" s="202"/>
      <c r="K969" s="202"/>
      <c r="L969" s="261"/>
      <c r="M969" s="261"/>
      <c r="N969" s="352"/>
      <c r="O969" s="352"/>
      <c r="P969" s="353"/>
      <c r="Q969" s="353"/>
      <c r="R969" s="353"/>
      <c r="S969" s="353"/>
      <c r="T969" s="353"/>
    </row>
    <row r="970" spans="1:37" ht="24" customHeight="1">
      <c r="A970" s="274" t="s">
        <v>475</v>
      </c>
      <c r="B970" s="202"/>
      <c r="C970" s="202"/>
      <c r="D970" s="202"/>
      <c r="E970" s="202"/>
      <c r="F970" s="202"/>
      <c r="G970" s="202"/>
      <c r="H970" s="202"/>
      <c r="I970" s="202"/>
      <c r="J970" s="202"/>
      <c r="K970" s="202"/>
      <c r="L970" s="261"/>
      <c r="M970" s="261"/>
      <c r="N970" s="352"/>
      <c r="O970" s="352"/>
      <c r="P970" s="353"/>
      <c r="Q970" s="353"/>
      <c r="R970" s="353"/>
      <c r="S970" s="353"/>
      <c r="T970" s="353"/>
      <c r="V970" s="840"/>
      <c r="W970" s="840"/>
      <c r="X970" s="840"/>
      <c r="Y970" s="840"/>
      <c r="Z970" s="840"/>
      <c r="AA970" s="840"/>
      <c r="AB970" s="840"/>
      <c r="AC970" s="840"/>
      <c r="AD970" s="840"/>
      <c r="AE970" s="840"/>
      <c r="AF970" s="840"/>
      <c r="AG970" s="840"/>
    </row>
    <row r="971" spans="1:37" ht="15" customHeight="1">
      <c r="A971" s="202"/>
      <c r="B971" s="202"/>
      <c r="C971" s="202"/>
      <c r="D971" s="202"/>
      <c r="E971" s="202"/>
      <c r="F971" s="202"/>
      <c r="G971" s="202"/>
      <c r="H971" s="202"/>
      <c r="I971" s="202"/>
      <c r="J971" s="202"/>
      <c r="K971" s="202"/>
      <c r="L971" s="261"/>
      <c r="M971" s="261"/>
      <c r="N971" s="352"/>
      <c r="O971" s="352"/>
      <c r="P971" s="353"/>
      <c r="Q971" s="353"/>
      <c r="R971" s="353"/>
      <c r="S971" s="353"/>
      <c r="T971" s="353"/>
    </row>
    <row r="972" spans="1:37" ht="24" customHeight="1">
      <c r="A972" s="329" t="s">
        <v>1006</v>
      </c>
      <c r="B972" s="202"/>
      <c r="C972" s="202"/>
      <c r="D972" s="571" t="s">
        <v>1005</v>
      </c>
      <c r="E972" s="571"/>
      <c r="F972" s="571"/>
      <c r="G972" s="571"/>
      <c r="H972" s="571"/>
      <c r="I972" s="571"/>
      <c r="J972" s="571"/>
      <c r="K972" s="571"/>
      <c r="L972" s="211">
        <v>143784</v>
      </c>
      <c r="M972" s="211">
        <v>215360</v>
      </c>
      <c r="N972" s="150">
        <v>225000</v>
      </c>
      <c r="O972" s="150">
        <v>198294</v>
      </c>
      <c r="P972" s="149">
        <v>246261</v>
      </c>
      <c r="Q972" s="149">
        <f>ROUND((P972*1.03)+((112000+69000)*1/12),0)</f>
        <v>268732</v>
      </c>
      <c r="R972" s="149">
        <f>ROUND((253649*1.03)+(112000+69000),0)</f>
        <v>442258</v>
      </c>
      <c r="S972" s="149">
        <f>ROUND(R972*1.03,0)</f>
        <v>455526</v>
      </c>
      <c r="T972" s="149">
        <f>ROUND(S972*1.03,0)</f>
        <v>469192</v>
      </c>
      <c r="V972" s="872"/>
      <c r="W972" s="872"/>
      <c r="X972" s="872"/>
      <c r="Y972" s="872"/>
      <c r="Z972" s="872"/>
      <c r="AA972" s="872"/>
      <c r="AB972" s="872"/>
      <c r="AC972" s="433"/>
      <c r="AD972" s="433"/>
      <c r="AE972" s="433"/>
      <c r="AF972" s="433"/>
      <c r="AG972" s="433"/>
    </row>
    <row r="973" spans="1:37" ht="24" customHeight="1">
      <c r="A973" s="263" t="s">
        <v>474</v>
      </c>
      <c r="B973" s="264"/>
      <c r="C973" s="264"/>
      <c r="D973" s="907" t="s">
        <v>6</v>
      </c>
      <c r="E973" s="907"/>
      <c r="F973" s="907"/>
      <c r="G973" s="907"/>
      <c r="H973" s="907"/>
      <c r="I973" s="907"/>
      <c r="J973" s="907"/>
      <c r="K973" s="907"/>
      <c r="L973" s="211">
        <v>5</v>
      </c>
      <c r="M973" s="211">
        <v>0</v>
      </c>
      <c r="N973" s="150">
        <v>0</v>
      </c>
      <c r="O973" s="150">
        <v>0</v>
      </c>
      <c r="P973" s="149">
        <v>0</v>
      </c>
      <c r="Q973" s="149">
        <v>0</v>
      </c>
      <c r="R973" s="149">
        <v>0</v>
      </c>
      <c r="S973" s="149">
        <v>0</v>
      </c>
      <c r="T973" s="149">
        <v>0</v>
      </c>
    </row>
    <row r="974" spans="1:37" ht="24" customHeight="1">
      <c r="A974" s="263" t="s">
        <v>1086</v>
      </c>
      <c r="B974" s="394"/>
      <c r="C974" s="394"/>
      <c r="D974" s="907" t="s">
        <v>1087</v>
      </c>
      <c r="E974" s="907"/>
      <c r="F974" s="907"/>
      <c r="G974" s="907"/>
      <c r="H974" s="907"/>
      <c r="I974" s="907"/>
      <c r="J974" s="907"/>
      <c r="K974" s="907"/>
      <c r="L974" s="211">
        <v>1475000</v>
      </c>
      <c r="M974" s="211">
        <v>0</v>
      </c>
      <c r="N974" s="150">
        <v>0</v>
      </c>
      <c r="O974" s="150">
        <v>0</v>
      </c>
      <c r="P974" s="149">
        <v>0</v>
      </c>
      <c r="Q974" s="149">
        <v>0</v>
      </c>
      <c r="R974" s="149">
        <v>0</v>
      </c>
      <c r="S974" s="149">
        <v>0</v>
      </c>
      <c r="T974" s="149">
        <v>0</v>
      </c>
    </row>
    <row r="975" spans="1:37" ht="24" customHeight="1">
      <c r="A975" s="534" t="s">
        <v>1196</v>
      </c>
      <c r="B975" s="533"/>
      <c r="C975" s="533"/>
      <c r="D975" s="534" t="s">
        <v>1108</v>
      </c>
      <c r="E975" s="533"/>
      <c r="F975" s="533"/>
      <c r="G975" s="533"/>
      <c r="H975" s="533"/>
      <c r="I975" s="533"/>
      <c r="J975" s="533"/>
      <c r="K975" s="533"/>
      <c r="L975" s="217">
        <v>122288</v>
      </c>
      <c r="M975" s="217">
        <v>0</v>
      </c>
      <c r="N975" s="162">
        <v>0</v>
      </c>
      <c r="O975" s="162">
        <v>0</v>
      </c>
      <c r="P975" s="161">
        <v>0</v>
      </c>
      <c r="Q975" s="161">
        <v>0</v>
      </c>
      <c r="R975" s="161">
        <v>0</v>
      </c>
      <c r="S975" s="161">
        <v>0</v>
      </c>
      <c r="T975" s="161">
        <v>0</v>
      </c>
    </row>
    <row r="976" spans="1:37" ht="15" customHeight="1">
      <c r="A976" s="202"/>
      <c r="B976" s="202"/>
      <c r="C976" s="202"/>
      <c r="D976" s="202"/>
      <c r="E976" s="202"/>
      <c r="F976" s="202"/>
      <c r="G976" s="202"/>
      <c r="H976" s="202"/>
      <c r="I976" s="202"/>
      <c r="J976" s="202"/>
      <c r="K976" s="202"/>
      <c r="L976" s="218"/>
      <c r="M976" s="218"/>
      <c r="N976" s="164"/>
      <c r="O976" s="164"/>
      <c r="P976" s="163"/>
      <c r="Q976" s="163"/>
      <c r="R976" s="163"/>
      <c r="S976" s="163"/>
      <c r="T976" s="163"/>
    </row>
    <row r="977" spans="1:37" s="202" customFormat="1" ht="24" customHeight="1">
      <c r="K977" s="267" t="s">
        <v>481</v>
      </c>
      <c r="L977" s="220">
        <f t="shared" ref="L977:T977" si="98">SUM(L972:L976)</f>
        <v>1741077</v>
      </c>
      <c r="M977" s="220">
        <f t="shared" si="98"/>
        <v>215360</v>
      </c>
      <c r="N977" s="221">
        <f t="shared" si="98"/>
        <v>225000</v>
      </c>
      <c r="O977" s="221">
        <f t="shared" si="98"/>
        <v>198294</v>
      </c>
      <c r="P977" s="220">
        <f t="shared" si="98"/>
        <v>246261</v>
      </c>
      <c r="Q977" s="220">
        <f t="shared" si="98"/>
        <v>268732</v>
      </c>
      <c r="R977" s="220">
        <f t="shared" si="98"/>
        <v>442258</v>
      </c>
      <c r="S977" s="220">
        <f t="shared" si="98"/>
        <v>455526</v>
      </c>
      <c r="T977" s="220">
        <f t="shared" si="98"/>
        <v>469192</v>
      </c>
      <c r="U977" s="65"/>
      <c r="V977" s="607"/>
      <c r="W977" s="607"/>
      <c r="X977" s="607"/>
      <c r="Y977" s="607"/>
      <c r="Z977" s="607"/>
      <c r="AA977" s="607"/>
      <c r="AB977" s="607"/>
      <c r="AC977" s="300"/>
      <c r="AD977" s="300"/>
      <c r="AE977" s="300"/>
      <c r="AF977" s="300"/>
      <c r="AG977" s="300"/>
      <c r="AH977" s="838"/>
      <c r="AI977" s="838"/>
      <c r="AJ977" s="838"/>
      <c r="AK977" s="838"/>
    </row>
    <row r="978" spans="1:37" ht="15" customHeight="1">
      <c r="A978" s="202"/>
      <c r="B978" s="202"/>
      <c r="C978" s="202"/>
      <c r="D978" s="202"/>
      <c r="E978" s="202"/>
      <c r="F978" s="202"/>
      <c r="G978" s="202"/>
      <c r="H978" s="202"/>
      <c r="I978" s="202"/>
      <c r="J978" s="202"/>
      <c r="K978" s="202"/>
      <c r="L978" s="218"/>
      <c r="M978" s="218"/>
      <c r="N978" s="164"/>
      <c r="O978" s="164"/>
      <c r="P978" s="163"/>
      <c r="Q978" s="163"/>
      <c r="R978" s="163"/>
      <c r="S978" s="163"/>
      <c r="T978" s="163"/>
    </row>
    <row r="979" spans="1:37" ht="24" customHeight="1">
      <c r="A979" s="669" t="s">
        <v>1298</v>
      </c>
      <c r="B979" s="668"/>
      <c r="C979" s="668"/>
      <c r="D979" s="670" t="s">
        <v>1295</v>
      </c>
      <c r="E979" s="668"/>
      <c r="F979" s="668"/>
      <c r="G979" s="668"/>
      <c r="H979" s="668"/>
      <c r="I979" s="668"/>
      <c r="J979" s="668"/>
      <c r="K979" s="670"/>
      <c r="L979" s="209">
        <v>0</v>
      </c>
      <c r="M979" s="209">
        <v>0</v>
      </c>
      <c r="N979" s="147">
        <v>10701</v>
      </c>
      <c r="O979" s="147">
        <v>10701</v>
      </c>
      <c r="P979" s="146">
        <v>11049</v>
      </c>
      <c r="Q979" s="153">
        <f>ROUND(P979*(1+$Y$59),0)</f>
        <v>11049</v>
      </c>
      <c r="R979" s="153">
        <f>ROUND(Q979*(1+$Y$60),0)</f>
        <v>11049</v>
      </c>
      <c r="S979" s="153">
        <f>ROUND(R979*(1+$Y$61),0)</f>
        <v>11049</v>
      </c>
      <c r="T979" s="153">
        <f>ROUND(S979*(1+$Y$62),0)</f>
        <v>11049</v>
      </c>
      <c r="V979" s="446"/>
      <c r="W979" s="446"/>
      <c r="X979" s="446"/>
      <c r="Y979" s="446"/>
      <c r="Z979" s="446"/>
      <c r="AA979" s="446"/>
      <c r="AB979" s="433"/>
      <c r="AC979" s="433"/>
      <c r="AD979" s="433"/>
      <c r="AE979" s="433"/>
      <c r="AF979" s="433"/>
      <c r="AG979" s="433"/>
    </row>
    <row r="980" spans="1:37" ht="24" customHeight="1">
      <c r="A980" s="263" t="s">
        <v>1088</v>
      </c>
      <c r="B980" s="394"/>
      <c r="C980" s="394"/>
      <c r="D980" s="263" t="s">
        <v>1089</v>
      </c>
      <c r="E980" s="394"/>
      <c r="F980" s="394"/>
      <c r="G980" s="394"/>
      <c r="H980" s="394"/>
      <c r="I980" s="394"/>
      <c r="J980" s="394"/>
      <c r="K980" s="395"/>
      <c r="L980" s="209">
        <v>15304</v>
      </c>
      <c r="M980" s="209">
        <v>0</v>
      </c>
      <c r="N980" s="147">
        <v>0</v>
      </c>
      <c r="O980" s="147">
        <v>0</v>
      </c>
      <c r="P980" s="146">
        <v>0</v>
      </c>
      <c r="Q980" s="146">
        <v>0</v>
      </c>
      <c r="R980" s="146">
        <v>0</v>
      </c>
      <c r="S980" s="146">
        <v>0</v>
      </c>
      <c r="T980" s="146">
        <v>0</v>
      </c>
      <c r="V980" s="433"/>
      <c r="W980" s="433"/>
      <c r="X980" s="433"/>
      <c r="Y980" s="433"/>
      <c r="Z980" s="433"/>
      <c r="AA980" s="433"/>
      <c r="AB980" s="433"/>
      <c r="AC980" s="433"/>
      <c r="AD980" s="433"/>
      <c r="AE980" s="433"/>
      <c r="AF980" s="433"/>
      <c r="AG980" s="433"/>
    </row>
    <row r="981" spans="1:37" ht="24" customHeight="1">
      <c r="A981" s="719" t="s">
        <v>1354</v>
      </c>
      <c r="B981" s="720"/>
      <c r="C981" s="720"/>
      <c r="D981" s="719" t="s">
        <v>933</v>
      </c>
      <c r="E981" s="720"/>
      <c r="F981" s="720"/>
      <c r="G981" s="720"/>
      <c r="H981" s="720"/>
      <c r="I981" s="720"/>
      <c r="J981" s="720"/>
      <c r="K981" s="721"/>
      <c r="L981" s="209">
        <v>0</v>
      </c>
      <c r="M981" s="209">
        <v>0</v>
      </c>
      <c r="N981" s="147">
        <v>0</v>
      </c>
      <c r="O981" s="147">
        <v>0</v>
      </c>
      <c r="P981" s="146">
        <v>700000</v>
      </c>
      <c r="Q981" s="146">
        <v>0</v>
      </c>
      <c r="R981" s="146">
        <v>0</v>
      </c>
      <c r="S981" s="146">
        <v>0</v>
      </c>
      <c r="T981" s="146">
        <v>0</v>
      </c>
      <c r="V981" s="433"/>
      <c r="W981" s="433"/>
      <c r="X981" s="433"/>
      <c r="Y981" s="433"/>
      <c r="Z981" s="433"/>
      <c r="AA981" s="433"/>
      <c r="AB981" s="433"/>
      <c r="AC981" s="433"/>
      <c r="AD981" s="433"/>
      <c r="AE981" s="433"/>
      <c r="AF981" s="433"/>
      <c r="AG981" s="433"/>
    </row>
    <row r="982" spans="1:37" ht="24" customHeight="1">
      <c r="A982" s="263" t="s">
        <v>1155</v>
      </c>
      <c r="B982" s="469"/>
      <c r="C982" s="469"/>
      <c r="D982" s="263" t="s">
        <v>10</v>
      </c>
      <c r="E982" s="469"/>
      <c r="F982" s="469"/>
      <c r="G982" s="469"/>
      <c r="H982" s="469"/>
      <c r="I982" s="469"/>
      <c r="J982" s="469"/>
      <c r="K982" s="470"/>
      <c r="L982" s="209">
        <v>638</v>
      </c>
      <c r="M982" s="209">
        <v>1281</v>
      </c>
      <c r="N982" s="147">
        <v>2000</v>
      </c>
      <c r="O982" s="147">
        <v>2000</v>
      </c>
      <c r="P982" s="146">
        <v>2000</v>
      </c>
      <c r="Q982" s="146">
        <v>2000</v>
      </c>
      <c r="R982" s="146">
        <v>2000</v>
      </c>
      <c r="S982" s="146">
        <v>2000</v>
      </c>
      <c r="T982" s="146">
        <v>2000</v>
      </c>
      <c r="V982" s="664"/>
      <c r="W982" s="664"/>
      <c r="X982" s="664"/>
      <c r="Y982" s="664"/>
      <c r="Z982" s="664"/>
      <c r="AA982" s="664"/>
      <c r="AB982" s="433"/>
      <c r="AC982" s="433"/>
      <c r="AD982" s="433"/>
      <c r="AE982" s="433"/>
      <c r="AF982" s="433"/>
      <c r="AG982" s="433"/>
    </row>
    <row r="983" spans="1:37" ht="24" customHeight="1">
      <c r="A983" s="263" t="s">
        <v>476</v>
      </c>
      <c r="B983" s="264"/>
      <c r="C983" s="264"/>
      <c r="D983" s="263" t="s">
        <v>290</v>
      </c>
      <c r="E983" s="264"/>
      <c r="F983" s="264"/>
      <c r="G983" s="264"/>
      <c r="H983" s="264"/>
      <c r="I983" s="264"/>
      <c r="J983" s="264"/>
      <c r="K983" s="202"/>
      <c r="L983" s="212">
        <v>535</v>
      </c>
      <c r="M983" s="212">
        <v>659</v>
      </c>
      <c r="N983" s="156">
        <v>1140</v>
      </c>
      <c r="O983" s="156">
        <v>661</v>
      </c>
      <c r="P983" s="153">
        <v>700</v>
      </c>
      <c r="Q983" s="153">
        <v>700</v>
      </c>
      <c r="R983" s="153">
        <v>700</v>
      </c>
      <c r="S983" s="153">
        <v>700</v>
      </c>
      <c r="T983" s="153">
        <v>700</v>
      </c>
      <c r="V983" s="664"/>
      <c r="W983" s="664"/>
      <c r="X983" s="664"/>
      <c r="Y983" s="664"/>
      <c r="Z983" s="664"/>
      <c r="AA983" s="664"/>
      <c r="AB983" s="433"/>
      <c r="AC983" s="433"/>
      <c r="AD983" s="433"/>
      <c r="AE983" s="433"/>
      <c r="AF983" s="433"/>
      <c r="AG983" s="433"/>
      <c r="AH983" s="401"/>
      <c r="AI983" s="401"/>
    </row>
    <row r="984" spans="1:37" ht="24" customHeight="1">
      <c r="A984" s="269" t="s">
        <v>1176</v>
      </c>
      <c r="B984" s="489"/>
      <c r="C984" s="489"/>
      <c r="D984" s="263"/>
      <c r="E984" s="489"/>
      <c r="F984" s="489"/>
      <c r="G984" s="489"/>
      <c r="H984" s="489"/>
      <c r="I984" s="489"/>
      <c r="J984" s="489"/>
      <c r="K984" s="489"/>
      <c r="L984" s="211"/>
      <c r="M984" s="211"/>
      <c r="N984" s="150"/>
      <c r="O984" s="150"/>
      <c r="P984" s="149"/>
      <c r="Q984" s="149"/>
      <c r="R984" s="149"/>
      <c r="S984" s="149"/>
      <c r="T984" s="149"/>
      <c r="V984" s="840"/>
      <c r="W984" s="840"/>
      <c r="X984" s="840"/>
      <c r="Y984" s="840"/>
      <c r="Z984" s="840"/>
      <c r="AA984" s="840"/>
      <c r="AB984" s="840"/>
      <c r="AC984" s="840"/>
      <c r="AD984" s="840"/>
      <c r="AE984" s="840"/>
      <c r="AF984" s="840"/>
      <c r="AG984" s="401"/>
      <c r="AH984" s="879"/>
      <c r="AI984" s="879"/>
    </row>
    <row r="985" spans="1:37" ht="24" customHeight="1">
      <c r="A985" s="574" t="s">
        <v>1207</v>
      </c>
      <c r="B985" s="489"/>
      <c r="C985" s="489"/>
      <c r="D985" s="263" t="s">
        <v>930</v>
      </c>
      <c r="E985" s="489"/>
      <c r="F985" s="489"/>
      <c r="G985" s="489"/>
      <c r="H985" s="489"/>
      <c r="I985" s="489"/>
      <c r="J985" s="489"/>
      <c r="K985" s="489"/>
      <c r="L985" s="211">
        <v>0</v>
      </c>
      <c r="M985" s="211">
        <v>26457</v>
      </c>
      <c r="N985" s="150">
        <v>41013</v>
      </c>
      <c r="O985" s="150">
        <v>41013</v>
      </c>
      <c r="P985" s="149">
        <f>ROUND(160000*0.2646,0)</f>
        <v>42336</v>
      </c>
      <c r="Q985" s="149">
        <f>ROUND(395000*0.2646,0)</f>
        <v>104517</v>
      </c>
      <c r="R985" s="149">
        <f>ROUND(405000*0.2646,0)</f>
        <v>107163</v>
      </c>
      <c r="S985" s="149">
        <f>ROUND(425000*0.2646,0)</f>
        <v>112455</v>
      </c>
      <c r="T985" s="149">
        <f>ROUND(440000*0.2646,0)</f>
        <v>116424</v>
      </c>
      <c r="V985" s="491"/>
      <c r="W985" s="491"/>
      <c r="X985" s="491"/>
      <c r="Y985" s="491"/>
      <c r="Z985" s="491"/>
      <c r="AA985" s="491"/>
      <c r="AB985" s="491"/>
      <c r="AC985" s="491"/>
      <c r="AD985" s="491"/>
      <c r="AE985" s="491"/>
      <c r="AF985" s="491"/>
      <c r="AG985" s="491"/>
      <c r="AH985" s="491"/>
      <c r="AI985" s="872"/>
    </row>
    <row r="986" spans="1:37" ht="24" customHeight="1">
      <c r="A986" s="574" t="s">
        <v>1208</v>
      </c>
      <c r="B986" s="489"/>
      <c r="C986" s="489"/>
      <c r="D986" s="263" t="s">
        <v>273</v>
      </c>
      <c r="E986" s="489"/>
      <c r="F986" s="489"/>
      <c r="G986" s="489"/>
      <c r="H986" s="489"/>
      <c r="I986" s="489"/>
      <c r="J986" s="489"/>
      <c r="K986" s="489"/>
      <c r="L986" s="212">
        <v>0</v>
      </c>
      <c r="M986" s="212">
        <v>82055</v>
      </c>
      <c r="N986" s="150">
        <v>57947</v>
      </c>
      <c r="O986" s="150">
        <v>57947</v>
      </c>
      <c r="P986" s="149">
        <f>ROUND((106400*2)*0.2646,0)</f>
        <v>56307</v>
      </c>
      <c r="Q986" s="149">
        <f>ROUND((103200*2)*0.2646,0)</f>
        <v>54613</v>
      </c>
      <c r="R986" s="149">
        <f>ROUND((95300*2)*0.2646,0)</f>
        <v>50433</v>
      </c>
      <c r="S986" s="149">
        <f>ROUND((174400)*0.2646,0)</f>
        <v>46146</v>
      </c>
      <c r="T986" s="149">
        <f>ROUND((157400)*0.2646,0)</f>
        <v>41648</v>
      </c>
      <c r="V986" s="491"/>
      <c r="W986" s="491"/>
      <c r="X986" s="491"/>
      <c r="Y986" s="491"/>
      <c r="Z986" s="491"/>
      <c r="AA986" s="491"/>
      <c r="AB986" s="491"/>
      <c r="AC986" s="491"/>
      <c r="AD986" s="491"/>
      <c r="AE986" s="491"/>
      <c r="AF986" s="491"/>
      <c r="AG986" s="491"/>
      <c r="AH986" s="491"/>
      <c r="AI986" s="872"/>
    </row>
    <row r="987" spans="1:37" ht="24" customHeight="1">
      <c r="A987" s="267" t="s">
        <v>477</v>
      </c>
      <c r="B987" s="267"/>
      <c r="C987" s="267"/>
      <c r="D987" s="267"/>
      <c r="E987" s="267"/>
      <c r="F987" s="267"/>
      <c r="G987" s="267"/>
      <c r="H987" s="267"/>
      <c r="I987" s="267"/>
      <c r="J987" s="267"/>
      <c r="K987" s="343"/>
      <c r="L987" s="218"/>
      <c r="M987" s="218"/>
      <c r="N987" s="164"/>
      <c r="O987" s="164"/>
      <c r="P987" s="163"/>
      <c r="Q987" s="163"/>
      <c r="R987" s="163"/>
      <c r="S987" s="163"/>
      <c r="T987" s="163"/>
      <c r="V987" s="840"/>
      <c r="W987" s="840"/>
      <c r="X987" s="840"/>
      <c r="Y987" s="840"/>
      <c r="Z987" s="840"/>
      <c r="AA987" s="840"/>
      <c r="AB987" s="840"/>
      <c r="AC987" s="433"/>
      <c r="AD987" s="433"/>
      <c r="AE987" s="433"/>
      <c r="AF987" s="433"/>
      <c r="AG987" s="433"/>
      <c r="AH987" s="433"/>
      <c r="AI987" s="873"/>
    </row>
    <row r="988" spans="1:37" ht="24" customHeight="1">
      <c r="A988" s="263" t="s">
        <v>478</v>
      </c>
      <c r="B988" s="342"/>
      <c r="C988" s="342"/>
      <c r="D988" s="263" t="s">
        <v>273</v>
      </c>
      <c r="E988" s="342"/>
      <c r="F988" s="342"/>
      <c r="G988" s="342"/>
      <c r="H988" s="342"/>
      <c r="I988" s="342"/>
      <c r="J988" s="342"/>
      <c r="K988" s="343"/>
      <c r="L988" s="212">
        <v>68073</v>
      </c>
      <c r="M988" s="212">
        <v>0</v>
      </c>
      <c r="N988" s="156">
        <v>0</v>
      </c>
      <c r="O988" s="156">
        <v>0</v>
      </c>
      <c r="P988" s="153">
        <v>0</v>
      </c>
      <c r="Q988" s="153">
        <v>0</v>
      </c>
      <c r="R988" s="153">
        <v>0</v>
      </c>
      <c r="S988" s="153">
        <v>0</v>
      </c>
      <c r="T988" s="153">
        <v>0</v>
      </c>
      <c r="V988" s="403"/>
      <c r="W988" s="403"/>
      <c r="X988" s="403"/>
      <c r="Y988" s="403"/>
      <c r="Z988" s="403"/>
      <c r="AA988" s="490"/>
      <c r="AB988" s="490"/>
      <c r="AC988" s="433"/>
      <c r="AD988" s="433"/>
      <c r="AE988" s="433"/>
      <c r="AF988" s="433"/>
      <c r="AG988" s="433"/>
      <c r="AI988" s="433"/>
      <c r="AJ988" s="433"/>
    </row>
    <row r="989" spans="1:37" ht="24" customHeight="1">
      <c r="A989" s="267" t="s">
        <v>1103</v>
      </c>
      <c r="B989" s="267"/>
      <c r="C989" s="267"/>
      <c r="D989" s="267"/>
      <c r="E989" s="267"/>
      <c r="F989" s="267"/>
      <c r="G989" s="267"/>
      <c r="H989" s="267"/>
      <c r="I989" s="267"/>
      <c r="J989" s="267"/>
      <c r="K989" s="202"/>
      <c r="L989" s="218"/>
      <c r="M989" s="218"/>
      <c r="N989" s="164"/>
      <c r="O989" s="164"/>
      <c r="P989" s="163"/>
      <c r="Q989" s="163"/>
      <c r="R989" s="163"/>
      <c r="S989" s="163"/>
      <c r="T989" s="163"/>
      <c r="V989" s="403"/>
      <c r="W989" s="403"/>
      <c r="X989" s="403"/>
      <c r="Y989" s="403"/>
      <c r="Z989" s="403"/>
      <c r="AA989" s="403"/>
      <c r="AB989" s="371"/>
      <c r="AC989" s="433"/>
      <c r="AD989" s="433"/>
      <c r="AE989" s="433"/>
      <c r="AF989" s="433"/>
      <c r="AG989" s="433"/>
      <c r="AI989" s="433"/>
      <c r="AJ989" s="433"/>
    </row>
    <row r="990" spans="1:37" ht="24" customHeight="1">
      <c r="A990" s="263" t="s">
        <v>936</v>
      </c>
      <c r="B990" s="330"/>
      <c r="C990" s="330"/>
      <c r="D990" s="263" t="s">
        <v>930</v>
      </c>
      <c r="E990" s="330"/>
      <c r="F990" s="330"/>
      <c r="G990" s="330"/>
      <c r="H990" s="330"/>
      <c r="I990" s="330"/>
      <c r="J990" s="264"/>
      <c r="K990" s="202"/>
      <c r="L990" s="212">
        <v>0</v>
      </c>
      <c r="M990" s="212">
        <v>0</v>
      </c>
      <c r="N990" s="156">
        <v>0</v>
      </c>
      <c r="O990" s="156">
        <v>0</v>
      </c>
      <c r="P990" s="153">
        <v>0</v>
      </c>
      <c r="Q990" s="153">
        <v>0</v>
      </c>
      <c r="R990" s="153">
        <v>0</v>
      </c>
      <c r="S990" s="153">
        <v>0</v>
      </c>
      <c r="T990" s="153">
        <v>0</v>
      </c>
      <c r="V990" s="403"/>
      <c r="W990" s="403"/>
      <c r="X990" s="403"/>
      <c r="Y990" s="403"/>
      <c r="Z990" s="403"/>
      <c r="AA990" s="403"/>
      <c r="AB990" s="403"/>
      <c r="AC990" s="433"/>
      <c r="AD990" s="433"/>
      <c r="AE990" s="433"/>
      <c r="AF990" s="433"/>
      <c r="AG990" s="433"/>
      <c r="AI990" s="433"/>
      <c r="AJ990" s="433"/>
    </row>
    <row r="991" spans="1:37" ht="24" customHeight="1">
      <c r="A991" s="263" t="s">
        <v>937</v>
      </c>
      <c r="B991" s="330"/>
      <c r="C991" s="330"/>
      <c r="D991" s="263" t="s">
        <v>273</v>
      </c>
      <c r="E991" s="330"/>
      <c r="F991" s="330"/>
      <c r="G991" s="330"/>
      <c r="H991" s="330"/>
      <c r="I991" s="330"/>
      <c r="J991" s="264"/>
      <c r="K991" s="202"/>
      <c r="L991" s="212">
        <v>19670</v>
      </c>
      <c r="M991" s="212">
        <v>50715</v>
      </c>
      <c r="N991" s="156">
        <v>50715</v>
      </c>
      <c r="O991" s="156">
        <v>50715</v>
      </c>
      <c r="P991" s="153">
        <v>50715</v>
      </c>
      <c r="Q991" s="153">
        <v>50715</v>
      </c>
      <c r="R991" s="153">
        <v>50715</v>
      </c>
      <c r="S991" s="153">
        <v>50715</v>
      </c>
      <c r="T991" s="153">
        <v>50715</v>
      </c>
      <c r="U991" s="311"/>
      <c r="V991" s="403"/>
      <c r="W991" s="403"/>
      <c r="X991" s="403"/>
      <c r="Y991" s="403"/>
      <c r="Z991" s="403"/>
      <c r="AA991" s="403"/>
      <c r="AB991" s="403"/>
      <c r="AC991" s="433"/>
      <c r="AD991" s="433"/>
      <c r="AE991" s="433"/>
      <c r="AF991" s="433"/>
      <c r="AG991" s="433"/>
      <c r="AI991" s="433"/>
      <c r="AJ991" s="433"/>
    </row>
    <row r="992" spans="1:37" ht="6.95" customHeight="1">
      <c r="A992" s="263"/>
      <c r="B992" s="405"/>
      <c r="C992" s="405"/>
      <c r="D992" s="263"/>
      <c r="E992" s="405"/>
      <c r="F992" s="405"/>
      <c r="G992" s="405"/>
      <c r="H992" s="405"/>
      <c r="I992" s="405"/>
      <c r="J992" s="405"/>
      <c r="K992" s="404"/>
      <c r="L992" s="212"/>
      <c r="M992" s="212"/>
      <c r="N992" s="156"/>
      <c r="O992" s="156"/>
      <c r="P992" s="153"/>
      <c r="Q992" s="153"/>
      <c r="R992" s="153"/>
      <c r="S992" s="153"/>
      <c r="T992" s="153"/>
      <c r="U992" s="313"/>
      <c r="V992" s="403"/>
      <c r="W992" s="403"/>
      <c r="X992" s="403"/>
      <c r="Y992" s="403"/>
      <c r="Z992" s="403"/>
      <c r="AA992" s="403"/>
      <c r="AB992" s="403"/>
      <c r="AC992" s="403"/>
      <c r="AD992" s="403"/>
      <c r="AE992" s="403"/>
      <c r="AF992" s="490"/>
    </row>
    <row r="993" spans="1:37" ht="24" customHeight="1">
      <c r="A993" s="263" t="s">
        <v>1090</v>
      </c>
      <c r="B993" s="394"/>
      <c r="C993" s="394"/>
      <c r="D993" s="561" t="s">
        <v>1091</v>
      </c>
      <c r="E993" s="558"/>
      <c r="F993" s="558"/>
      <c r="G993" s="558"/>
      <c r="H993" s="558"/>
      <c r="I993" s="558"/>
      <c r="J993" s="558"/>
      <c r="K993" s="560"/>
      <c r="L993" s="216">
        <v>1581984</v>
      </c>
      <c r="M993" s="216">
        <v>0</v>
      </c>
      <c r="N993" s="172">
        <v>0</v>
      </c>
      <c r="O993" s="172">
        <v>0</v>
      </c>
      <c r="P993" s="160">
        <v>0</v>
      </c>
      <c r="Q993" s="160">
        <v>0</v>
      </c>
      <c r="R993" s="160">
        <v>0</v>
      </c>
      <c r="S993" s="160">
        <v>0</v>
      </c>
      <c r="T993" s="160">
        <v>0</v>
      </c>
      <c r="V993" s="151"/>
    </row>
    <row r="994" spans="1:37" ht="15" customHeight="1">
      <c r="A994" s="202"/>
      <c r="B994" s="202"/>
      <c r="C994" s="202"/>
      <c r="D994" s="202"/>
      <c r="E994" s="202"/>
      <c r="F994" s="202"/>
      <c r="G994" s="202"/>
      <c r="H994" s="202"/>
      <c r="I994" s="202"/>
      <c r="J994" s="202"/>
      <c r="K994" s="202"/>
      <c r="L994" s="218"/>
      <c r="M994" s="218"/>
      <c r="N994" s="164"/>
      <c r="O994" s="164"/>
      <c r="P994" s="163"/>
      <c r="Q994" s="163"/>
      <c r="R994" s="163"/>
      <c r="S994" s="163"/>
      <c r="T994" s="163"/>
      <c r="V994" s="193"/>
      <c r="W994" s="193"/>
      <c r="X994" s="193"/>
      <c r="Y994" s="193"/>
      <c r="Z994" s="193"/>
      <c r="AA994" s="193"/>
      <c r="AB994" s="193"/>
      <c r="AC994" s="193"/>
      <c r="AD994" s="193"/>
      <c r="AE994" s="193"/>
      <c r="AF994" s="193"/>
    </row>
    <row r="995" spans="1:37" s="202" customFormat="1" ht="24" customHeight="1">
      <c r="K995" s="267" t="s">
        <v>484</v>
      </c>
      <c r="L995" s="220">
        <f>SUM(L979:L994)</f>
        <v>1686204</v>
      </c>
      <c r="M995" s="220">
        <f t="shared" ref="M995:T995" si="99">SUM(M979:M994)</f>
        <v>161167</v>
      </c>
      <c r="N995" s="221">
        <f t="shared" si="99"/>
        <v>163516</v>
      </c>
      <c r="O995" s="221">
        <f t="shared" si="99"/>
        <v>163037</v>
      </c>
      <c r="P995" s="220">
        <f t="shared" si="99"/>
        <v>863107</v>
      </c>
      <c r="Q995" s="220">
        <f t="shared" si="99"/>
        <v>223594</v>
      </c>
      <c r="R995" s="220">
        <f t="shared" si="99"/>
        <v>222060</v>
      </c>
      <c r="S995" s="220">
        <f t="shared" si="99"/>
        <v>223065</v>
      </c>
      <c r="T995" s="220">
        <f t="shared" si="99"/>
        <v>222536</v>
      </c>
      <c r="U995" s="65"/>
      <c r="V995" s="607"/>
      <c r="W995" s="607"/>
      <c r="X995" s="607"/>
      <c r="Y995" s="607"/>
      <c r="Z995" s="607"/>
      <c r="AA995" s="607"/>
      <c r="AB995" s="607"/>
      <c r="AC995" s="874"/>
      <c r="AD995" s="874"/>
      <c r="AE995" s="874"/>
      <c r="AF995" s="874"/>
      <c r="AG995" s="300"/>
      <c r="AH995" s="300"/>
      <c r="AI995" s="838"/>
      <c r="AJ995" s="838"/>
      <c r="AK995" s="838"/>
    </row>
    <row r="996" spans="1:37" s="202" customFormat="1" ht="15" customHeight="1">
      <c r="L996" s="218"/>
      <c r="M996" s="218"/>
      <c r="N996" s="219"/>
      <c r="O996" s="219"/>
      <c r="P996" s="218"/>
      <c r="Q996" s="218"/>
      <c r="R996" s="218"/>
      <c r="S996" s="218"/>
      <c r="T996" s="218"/>
      <c r="U996" s="65"/>
      <c r="V996" s="301"/>
      <c r="W996" s="301"/>
      <c r="X996" s="301"/>
      <c r="Y996" s="301"/>
      <c r="Z996" s="301"/>
      <c r="AA996" s="301"/>
      <c r="AB996" s="300"/>
      <c r="AC996" s="874"/>
      <c r="AD996" s="874"/>
      <c r="AE996" s="874"/>
      <c r="AF996" s="874"/>
      <c r="AG996" s="300"/>
      <c r="AH996" s="300"/>
      <c r="AI996" s="838"/>
      <c r="AJ996" s="838"/>
      <c r="AK996" s="838"/>
    </row>
    <row r="997" spans="1:37" s="202" customFormat="1" ht="24" customHeight="1">
      <c r="K997" s="267" t="s">
        <v>485</v>
      </c>
      <c r="L997" s="220">
        <f t="shared" ref="L997:T997" si="100">L977-L995</f>
        <v>54873</v>
      </c>
      <c r="M997" s="220">
        <f t="shared" si="100"/>
        <v>54193</v>
      </c>
      <c r="N997" s="221">
        <f t="shared" si="100"/>
        <v>61484</v>
      </c>
      <c r="O997" s="221">
        <f t="shared" si="100"/>
        <v>35257</v>
      </c>
      <c r="P997" s="220">
        <f t="shared" si="100"/>
        <v>-616846</v>
      </c>
      <c r="Q997" s="220">
        <f t="shared" si="100"/>
        <v>45138</v>
      </c>
      <c r="R997" s="220">
        <f t="shared" si="100"/>
        <v>220198</v>
      </c>
      <c r="S997" s="220">
        <f t="shared" si="100"/>
        <v>232461</v>
      </c>
      <c r="T997" s="220">
        <f t="shared" si="100"/>
        <v>246656</v>
      </c>
      <c r="U997" s="65"/>
      <c r="V997" s="607"/>
      <c r="W997" s="607"/>
      <c r="X997" s="607"/>
      <c r="Y997" s="607"/>
      <c r="Z997" s="607"/>
      <c r="AA997" s="607"/>
      <c r="AB997" s="607"/>
      <c r="AC997" s="300"/>
      <c r="AD997" s="300"/>
      <c r="AE997" s="300"/>
      <c r="AF997" s="300"/>
      <c r="AG997" s="300"/>
      <c r="AH997" s="300"/>
      <c r="AI997" s="838"/>
      <c r="AJ997" s="838"/>
      <c r="AK997" s="838"/>
    </row>
    <row r="998" spans="1:37" s="202" customFormat="1" ht="15" customHeight="1">
      <c r="L998" s="218"/>
      <c r="M998" s="218"/>
      <c r="N998" s="219"/>
      <c r="O998" s="219"/>
      <c r="P998" s="218"/>
      <c r="Q998" s="218"/>
      <c r="R998" s="218"/>
      <c r="S998" s="218"/>
      <c r="T998" s="218"/>
      <c r="U998" s="65"/>
      <c r="V998" s="301"/>
      <c r="W998" s="301"/>
      <c r="X998" s="301"/>
      <c r="Y998" s="301"/>
      <c r="Z998" s="301"/>
      <c r="AA998" s="301"/>
      <c r="AB998" s="300"/>
      <c r="AC998" s="300"/>
      <c r="AD998" s="300"/>
      <c r="AE998" s="300"/>
      <c r="AF998" s="300"/>
      <c r="AG998" s="300"/>
      <c r="AH998" s="300"/>
      <c r="AI998" s="838"/>
      <c r="AJ998" s="838"/>
      <c r="AK998" s="838"/>
    </row>
    <row r="999" spans="1:37" s="202" customFormat="1" ht="24" customHeight="1">
      <c r="K999" s="272" t="s">
        <v>487</v>
      </c>
      <c r="L999" s="237">
        <v>-549946</v>
      </c>
      <c r="M999" s="237">
        <v>-495754</v>
      </c>
      <c r="N999" s="238">
        <v>-434861</v>
      </c>
      <c r="O999" s="238">
        <f>M999+O997</f>
        <v>-460497</v>
      </c>
      <c r="P999" s="237">
        <f>O999+P997</f>
        <v>-1077343</v>
      </c>
      <c r="Q999" s="237">
        <f>P999+Q997</f>
        <v>-1032205</v>
      </c>
      <c r="R999" s="237">
        <f>Q999+R997</f>
        <v>-812007</v>
      </c>
      <c r="S999" s="237">
        <f>R999+S997</f>
        <v>-579546</v>
      </c>
      <c r="T999" s="237">
        <f>S999+T997</f>
        <v>-332890</v>
      </c>
      <c r="U999" s="65"/>
      <c r="V999" s="302"/>
      <c r="W999" s="302"/>
      <c r="X999" s="302"/>
      <c r="Y999" s="302"/>
      <c r="Z999" s="302"/>
      <c r="AA999" s="302"/>
      <c r="AB999" s="302"/>
      <c r="AC999" s="300"/>
      <c r="AD999" s="300"/>
      <c r="AE999" s="300"/>
      <c r="AF999" s="300"/>
      <c r="AG999" s="300"/>
      <c r="AH999" s="300"/>
      <c r="AI999" s="838"/>
      <c r="AJ999" s="838"/>
      <c r="AK999" s="838"/>
    </row>
    <row r="1000" spans="1:37" ht="15" customHeight="1">
      <c r="A1000" s="202"/>
      <c r="B1000" s="202"/>
      <c r="C1000" s="202"/>
      <c r="D1000" s="202"/>
      <c r="E1000" s="202"/>
      <c r="F1000" s="202"/>
      <c r="G1000" s="202"/>
      <c r="H1000" s="202"/>
      <c r="I1000" s="202"/>
      <c r="J1000" s="202"/>
      <c r="K1000" s="202"/>
      <c r="L1000" s="354"/>
      <c r="M1000" s="354"/>
      <c r="N1000" s="358"/>
      <c r="O1000" s="358"/>
      <c r="P1000" s="359"/>
      <c r="Q1000" s="359"/>
      <c r="R1000" s="359"/>
      <c r="S1000" s="359"/>
      <c r="T1000" s="359"/>
    </row>
    <row r="1001" spans="1:37" ht="24" customHeight="1">
      <c r="A1001" s="274" t="s">
        <v>479</v>
      </c>
      <c r="B1001" s="202"/>
      <c r="C1001" s="202"/>
      <c r="D1001" s="202"/>
      <c r="E1001" s="202"/>
      <c r="F1001" s="202"/>
      <c r="G1001" s="202"/>
      <c r="H1001" s="202"/>
      <c r="I1001" s="202"/>
      <c r="J1001" s="202"/>
      <c r="K1001" s="202"/>
      <c r="L1001" s="354"/>
      <c r="M1001" s="354"/>
      <c r="N1001" s="358"/>
      <c r="O1001" s="358"/>
      <c r="P1001" s="359"/>
      <c r="Q1001" s="359"/>
      <c r="R1001" s="359"/>
      <c r="S1001" s="359"/>
      <c r="T1001" s="359"/>
      <c r="W1001" s="603"/>
      <c r="X1001" s="603"/>
      <c r="Y1001" s="603"/>
      <c r="Z1001" s="603"/>
    </row>
    <row r="1002" spans="1:37" ht="15" customHeight="1">
      <c r="A1002" s="202"/>
      <c r="B1002" s="202"/>
      <c r="C1002" s="202"/>
      <c r="D1002" s="202"/>
      <c r="E1002" s="202"/>
      <c r="F1002" s="202"/>
      <c r="G1002" s="202"/>
      <c r="H1002" s="202"/>
      <c r="I1002" s="202"/>
      <c r="J1002" s="202"/>
      <c r="K1002" s="202"/>
      <c r="L1002" s="261"/>
      <c r="M1002" s="261"/>
      <c r="N1002" s="352"/>
      <c r="O1002" s="352"/>
      <c r="P1002" s="353"/>
      <c r="Q1002" s="353"/>
      <c r="R1002" s="353"/>
      <c r="S1002" s="353"/>
      <c r="T1002" s="353"/>
      <c r="W1002" s="447"/>
      <c r="X1002" s="840"/>
      <c r="Y1002" s="840"/>
    </row>
    <row r="1003" spans="1:37" ht="24" customHeight="1">
      <c r="A1003" s="329" t="s">
        <v>1007</v>
      </c>
      <c r="B1003" s="202"/>
      <c r="C1003" s="202"/>
      <c r="D1003" s="329" t="s">
        <v>1000</v>
      </c>
      <c r="E1003" s="202"/>
      <c r="F1003" s="202"/>
      <c r="G1003" s="202"/>
      <c r="H1003" s="202"/>
      <c r="I1003" s="202"/>
      <c r="J1003" s="202"/>
      <c r="K1003" s="202"/>
      <c r="L1003" s="211">
        <v>68868</v>
      </c>
      <c r="M1003" s="211">
        <v>67307</v>
      </c>
      <c r="N1003" s="150">
        <v>70000</v>
      </c>
      <c r="O1003" s="150">
        <v>76186</v>
      </c>
      <c r="P1003" s="149">
        <v>80000</v>
      </c>
      <c r="Q1003" s="149">
        <v>85000</v>
      </c>
      <c r="R1003" s="149">
        <v>85000</v>
      </c>
      <c r="S1003" s="149">
        <v>90000</v>
      </c>
      <c r="T1003" s="149">
        <v>90000</v>
      </c>
      <c r="V1003" s="151"/>
      <c r="W1003" s="447"/>
      <c r="X1003" s="432"/>
      <c r="Y1003" s="846"/>
    </row>
    <row r="1004" spans="1:37" ht="24" customHeight="1">
      <c r="A1004" s="785" t="s">
        <v>1383</v>
      </c>
      <c r="B1004" s="785"/>
      <c r="C1004" s="785"/>
      <c r="D1004" s="786" t="s">
        <v>1382</v>
      </c>
      <c r="E1004" s="785"/>
      <c r="F1004" s="785"/>
      <c r="G1004" s="785"/>
      <c r="H1004" s="785"/>
      <c r="I1004" s="785"/>
      <c r="J1004" s="785"/>
      <c r="K1004" s="785"/>
      <c r="L1004" s="211">
        <v>0</v>
      </c>
      <c r="M1004" s="211">
        <v>0</v>
      </c>
      <c r="N1004" s="150">
        <v>0</v>
      </c>
      <c r="O1004" s="150">
        <v>0</v>
      </c>
      <c r="P1004" s="149">
        <f>ROUND(63170*0.8,0)</f>
        <v>50536</v>
      </c>
      <c r="Q1004" s="149">
        <f>ROUND(50540*0.8,0)</f>
        <v>40432</v>
      </c>
      <c r="R1004" s="149">
        <v>0</v>
      </c>
      <c r="S1004" s="149">
        <v>0</v>
      </c>
      <c r="T1004" s="149">
        <v>0</v>
      </c>
      <c r="V1004" s="151"/>
      <c r="W1004" s="447"/>
      <c r="X1004" s="432"/>
      <c r="Y1004" s="846"/>
    </row>
    <row r="1005" spans="1:37" ht="24" customHeight="1">
      <c r="A1005" s="263" t="s">
        <v>608</v>
      </c>
      <c r="B1005" s="303"/>
      <c r="C1005" s="345"/>
      <c r="D1005" s="304" t="s">
        <v>6</v>
      </c>
      <c r="E1005" s="303"/>
      <c r="F1005" s="303"/>
      <c r="G1005" s="303"/>
      <c r="H1005" s="303"/>
      <c r="I1005" s="303"/>
      <c r="J1005" s="303"/>
      <c r="K1005" s="303"/>
      <c r="L1005" s="211">
        <v>3</v>
      </c>
      <c r="M1005" s="211">
        <v>0</v>
      </c>
      <c r="N1005" s="150">
        <v>0</v>
      </c>
      <c r="O1005" s="150">
        <v>0</v>
      </c>
      <c r="P1005" s="149">
        <v>0</v>
      </c>
      <c r="Q1005" s="149">
        <v>0</v>
      </c>
      <c r="R1005" s="149">
        <v>0</v>
      </c>
      <c r="S1005" s="149">
        <v>0</v>
      </c>
      <c r="T1005" s="149">
        <v>0</v>
      </c>
      <c r="V1005" s="344"/>
      <c r="W1005" s="447"/>
      <c r="X1005" s="432"/>
      <c r="Y1005" s="846"/>
    </row>
    <row r="1006" spans="1:37" ht="24" customHeight="1">
      <c r="A1006" s="263" t="s">
        <v>1092</v>
      </c>
      <c r="B1006" s="394"/>
      <c r="C1006" s="394"/>
      <c r="D1006" s="395" t="s">
        <v>7</v>
      </c>
      <c r="E1006" s="394"/>
      <c r="F1006" s="394"/>
      <c r="G1006" s="394"/>
      <c r="H1006" s="394"/>
      <c r="I1006" s="394"/>
      <c r="J1006" s="394"/>
      <c r="K1006" s="394"/>
      <c r="L1006" s="226">
        <v>236</v>
      </c>
      <c r="M1006" s="226">
        <v>1456</v>
      </c>
      <c r="N1006" s="174">
        <v>0</v>
      </c>
      <c r="O1006" s="174">
        <v>0</v>
      </c>
      <c r="P1006" s="173">
        <v>0</v>
      </c>
      <c r="Q1006" s="173">
        <v>0</v>
      </c>
      <c r="R1006" s="173">
        <v>0</v>
      </c>
      <c r="S1006" s="173">
        <v>0</v>
      </c>
      <c r="T1006" s="173">
        <v>0</v>
      </c>
      <c r="V1006" s="344"/>
      <c r="W1006" s="447"/>
      <c r="X1006" s="432"/>
      <c r="Y1006" s="846"/>
    </row>
    <row r="1007" spans="1:37" ht="15" customHeight="1">
      <c r="A1007" s="202"/>
      <c r="B1007" s="202"/>
      <c r="C1007" s="202"/>
      <c r="D1007" s="202"/>
      <c r="E1007" s="202"/>
      <c r="F1007" s="202"/>
      <c r="G1007" s="202"/>
      <c r="H1007" s="202"/>
      <c r="I1007" s="202"/>
      <c r="J1007" s="202"/>
      <c r="K1007" s="202"/>
      <c r="L1007" s="218"/>
      <c r="M1007" s="218"/>
      <c r="N1007" s="164"/>
      <c r="O1007" s="164"/>
      <c r="P1007" s="163"/>
      <c r="Q1007" s="163"/>
      <c r="R1007" s="163"/>
      <c r="S1007" s="163"/>
      <c r="T1007" s="163"/>
      <c r="V1007" s="344"/>
      <c r="W1007" s="300"/>
      <c r="X1007" s="392"/>
      <c r="Y1007" s="300"/>
      <c r="Z1007" s="838"/>
    </row>
    <row r="1008" spans="1:37" s="202" customFormat="1" ht="24" customHeight="1">
      <c r="K1008" s="267" t="s">
        <v>481</v>
      </c>
      <c r="L1008" s="220">
        <f>SUM(L1003:L1007)</f>
        <v>69107</v>
      </c>
      <c r="M1008" s="220">
        <f t="shared" ref="M1008:T1008" si="101">SUM(M1003:M1007)</f>
        <v>68763</v>
      </c>
      <c r="N1008" s="221">
        <f t="shared" si="101"/>
        <v>70000</v>
      </c>
      <c r="O1008" s="221">
        <f t="shared" si="101"/>
        <v>76186</v>
      </c>
      <c r="P1008" s="220">
        <f>SUM(P1003:P1007)</f>
        <v>130536</v>
      </c>
      <c r="Q1008" s="220">
        <f t="shared" si="101"/>
        <v>125432</v>
      </c>
      <c r="R1008" s="220">
        <f t="shared" si="101"/>
        <v>85000</v>
      </c>
      <c r="S1008" s="220">
        <f t="shared" si="101"/>
        <v>90000</v>
      </c>
      <c r="T1008" s="220">
        <f t="shared" si="101"/>
        <v>90000</v>
      </c>
      <c r="U1008" s="65"/>
      <c r="V1008" s="839"/>
      <c r="W1008" s="447"/>
      <c r="X1008" s="432"/>
      <c r="Y1008" s="846"/>
      <c r="Z1008" s="200"/>
      <c r="AA1008" s="838"/>
      <c r="AB1008" s="838"/>
      <c r="AC1008" s="838"/>
      <c r="AD1008" s="838"/>
      <c r="AE1008" s="838"/>
      <c r="AF1008" s="838"/>
      <c r="AG1008" s="838"/>
      <c r="AH1008" s="838"/>
      <c r="AI1008" s="838"/>
      <c r="AJ1008" s="838"/>
      <c r="AK1008" s="838"/>
    </row>
    <row r="1009" spans="1:37" ht="15" customHeight="1">
      <c r="A1009" s="202"/>
      <c r="B1009" s="202"/>
      <c r="C1009" s="202"/>
      <c r="D1009" s="202"/>
      <c r="E1009" s="202"/>
      <c r="F1009" s="202"/>
      <c r="G1009" s="202"/>
      <c r="H1009" s="202"/>
      <c r="I1009" s="202"/>
      <c r="J1009" s="202"/>
      <c r="K1009" s="202"/>
      <c r="L1009" s="218"/>
      <c r="M1009" s="218"/>
      <c r="N1009" s="164"/>
      <c r="O1009" s="164"/>
      <c r="P1009" s="163"/>
      <c r="Q1009" s="163"/>
      <c r="R1009" s="163"/>
      <c r="S1009" s="163"/>
      <c r="T1009" s="163"/>
      <c r="V1009" s="344"/>
      <c r="W1009" s="371"/>
      <c r="X1009" s="432"/>
      <c r="Y1009" s="371"/>
    </row>
    <row r="1010" spans="1:37" ht="24" customHeight="1">
      <c r="A1010" s="669" t="s">
        <v>1299</v>
      </c>
      <c r="B1010" s="668"/>
      <c r="C1010" s="668"/>
      <c r="D1010" s="670" t="s">
        <v>1295</v>
      </c>
      <c r="E1010" s="668"/>
      <c r="F1010" s="668"/>
      <c r="G1010" s="668"/>
      <c r="H1010" s="668"/>
      <c r="I1010" s="668"/>
      <c r="J1010" s="668"/>
      <c r="K1010" s="670"/>
      <c r="L1010" s="209">
        <v>0</v>
      </c>
      <c r="M1010" s="209">
        <v>0</v>
      </c>
      <c r="N1010" s="147">
        <v>30284</v>
      </c>
      <c r="O1010" s="147">
        <v>30284</v>
      </c>
      <c r="P1010" s="146">
        <v>31533</v>
      </c>
      <c r="Q1010" s="153">
        <f>ROUND(P1010*(1+$Y$59),0)</f>
        <v>31533</v>
      </c>
      <c r="R1010" s="153">
        <f>ROUND(Q1010*(1+$Y$60),0)</f>
        <v>31533</v>
      </c>
      <c r="S1010" s="153">
        <f>ROUND(R1010*(1+$Y$61),0)</f>
        <v>31533</v>
      </c>
      <c r="T1010" s="153">
        <f>ROUND(S1010*(1+$Y$62),0)</f>
        <v>31533</v>
      </c>
      <c r="V1010" s="370"/>
      <c r="W1010" s="371"/>
      <c r="X1010" s="432"/>
      <c r="Y1010" s="371"/>
    </row>
    <row r="1011" spans="1:37" ht="24" customHeight="1">
      <c r="A1011" s="263" t="s">
        <v>934</v>
      </c>
      <c r="B1011" s="394"/>
      <c r="C1011" s="394"/>
      <c r="D1011" s="263" t="s">
        <v>933</v>
      </c>
      <c r="E1011" s="523"/>
      <c r="F1011" s="523"/>
      <c r="G1011" s="523"/>
      <c r="H1011" s="523"/>
      <c r="I1011" s="523"/>
      <c r="J1011" s="523"/>
      <c r="K1011" s="524"/>
      <c r="L1011" s="209">
        <v>15223</v>
      </c>
      <c r="M1011" s="209">
        <v>20558</v>
      </c>
      <c r="N1011" s="147">
        <v>20000</v>
      </c>
      <c r="O1011" s="147">
        <v>20000</v>
      </c>
      <c r="P1011" s="146">
        <v>20000</v>
      </c>
      <c r="Q1011" s="146">
        <v>20000</v>
      </c>
      <c r="R1011" s="146">
        <v>20000</v>
      </c>
      <c r="S1011" s="146">
        <v>20000</v>
      </c>
      <c r="T1011" s="146">
        <v>20000</v>
      </c>
      <c r="V1011" s="151"/>
      <c r="W1011" s="371"/>
      <c r="X1011" s="432"/>
      <c r="Y1011" s="371"/>
    </row>
    <row r="1012" spans="1:37" ht="24" customHeight="1">
      <c r="A1012" s="263" t="s">
        <v>1156</v>
      </c>
      <c r="B1012" s="469"/>
      <c r="C1012" s="469"/>
      <c r="D1012" s="263" t="s">
        <v>10</v>
      </c>
      <c r="E1012" s="469"/>
      <c r="F1012" s="469"/>
      <c r="G1012" s="469"/>
      <c r="H1012" s="469"/>
      <c r="I1012" s="469"/>
      <c r="J1012" s="469"/>
      <c r="K1012" s="469"/>
      <c r="L1012" s="211">
        <v>2051</v>
      </c>
      <c r="M1012" s="211">
        <v>304</v>
      </c>
      <c r="N1012" s="150">
        <v>375</v>
      </c>
      <c r="O1012" s="150">
        <v>1004</v>
      </c>
      <c r="P1012" s="149">
        <v>6000</v>
      </c>
      <c r="Q1012" s="149">
        <v>1000</v>
      </c>
      <c r="R1012" s="149">
        <v>1000</v>
      </c>
      <c r="S1012" s="149">
        <v>1000</v>
      </c>
      <c r="T1012" s="149">
        <v>1000</v>
      </c>
      <c r="V1012" s="151"/>
    </row>
    <row r="1013" spans="1:37" ht="24" customHeight="1">
      <c r="A1013" s="263" t="s">
        <v>596</v>
      </c>
      <c r="B1013" s="469"/>
      <c r="C1013" s="469"/>
      <c r="D1013" s="263" t="s">
        <v>127</v>
      </c>
      <c r="E1013" s="469"/>
      <c r="F1013" s="469"/>
      <c r="G1013" s="469"/>
      <c r="H1013" s="469"/>
      <c r="I1013" s="469"/>
      <c r="J1013" s="469"/>
      <c r="K1013" s="469"/>
      <c r="L1013" s="212">
        <v>556</v>
      </c>
      <c r="M1013" s="212">
        <v>11154</v>
      </c>
      <c r="N1013" s="156">
        <v>15000</v>
      </c>
      <c r="O1013" s="156">
        <v>20000</v>
      </c>
      <c r="P1013" s="153">
        <v>15000</v>
      </c>
      <c r="Q1013" s="153">
        <v>15000</v>
      </c>
      <c r="R1013" s="153">
        <v>15000</v>
      </c>
      <c r="S1013" s="153">
        <v>15000</v>
      </c>
      <c r="T1013" s="153">
        <v>15000</v>
      </c>
      <c r="X1013" s="182"/>
    </row>
    <row r="1014" spans="1:37" ht="24" customHeight="1">
      <c r="A1014" s="263" t="s">
        <v>597</v>
      </c>
      <c r="B1014" s="264"/>
      <c r="C1014" s="264"/>
      <c r="D1014" s="263" t="s">
        <v>598</v>
      </c>
      <c r="E1014" s="264"/>
      <c r="F1014" s="264"/>
      <c r="G1014" s="264"/>
      <c r="H1014" s="264"/>
      <c r="I1014" s="264"/>
      <c r="J1014" s="264"/>
      <c r="K1014" s="264"/>
      <c r="L1014" s="212">
        <v>29248</v>
      </c>
      <c r="M1014" s="212">
        <v>71970</v>
      </c>
      <c r="N1014" s="147">
        <v>306663</v>
      </c>
      <c r="O1014" s="147">
        <v>306663</v>
      </c>
      <c r="P1014" s="153">
        <f>10320+10000</f>
        <v>20320</v>
      </c>
      <c r="Q1014" s="153">
        <f>25000</f>
        <v>25000</v>
      </c>
      <c r="R1014" s="153">
        <v>10000</v>
      </c>
      <c r="S1014" s="153">
        <v>10000</v>
      </c>
      <c r="T1014" s="153">
        <v>10000</v>
      </c>
      <c r="V1014" s="148"/>
    </row>
    <row r="1015" spans="1:37" ht="24" customHeight="1">
      <c r="A1015" s="672" t="s">
        <v>1300</v>
      </c>
      <c r="B1015" s="671"/>
      <c r="C1015" s="671"/>
      <c r="D1015" s="1" t="s">
        <v>1269</v>
      </c>
      <c r="E1015" s="671"/>
      <c r="F1015" s="671"/>
      <c r="G1015" s="671"/>
      <c r="H1015" s="671"/>
      <c r="I1015" s="671"/>
      <c r="J1015" s="671"/>
      <c r="K1015" s="671"/>
      <c r="L1015" s="212">
        <v>0</v>
      </c>
      <c r="M1015" s="212">
        <v>10000</v>
      </c>
      <c r="N1015" s="156">
        <v>363000</v>
      </c>
      <c r="O1015" s="156">
        <v>364449</v>
      </c>
      <c r="P1015" s="153">
        <v>0</v>
      </c>
      <c r="Q1015" s="153">
        <v>0</v>
      </c>
      <c r="R1015" s="153">
        <v>0</v>
      </c>
      <c r="S1015" s="153">
        <v>0</v>
      </c>
      <c r="T1015" s="153">
        <v>0</v>
      </c>
    </row>
    <row r="1016" spans="1:37" ht="24" customHeight="1">
      <c r="A1016" s="788" t="s">
        <v>1384</v>
      </c>
      <c r="B1016" s="787"/>
      <c r="C1016" s="787"/>
      <c r="D1016" s="1" t="s">
        <v>1385</v>
      </c>
      <c r="E1016" s="787"/>
      <c r="F1016" s="787"/>
      <c r="G1016" s="787"/>
      <c r="H1016" s="787"/>
      <c r="I1016" s="787"/>
      <c r="J1016" s="787"/>
      <c r="K1016" s="787"/>
      <c r="L1016" s="212">
        <v>0</v>
      </c>
      <c r="M1016" s="212">
        <v>0</v>
      </c>
      <c r="N1016" s="147">
        <v>0</v>
      </c>
      <c r="O1016" s="147">
        <v>0</v>
      </c>
      <c r="P1016" s="153">
        <f>63170</f>
        <v>63170</v>
      </c>
      <c r="Q1016" s="153">
        <f>101064+50540+60720</f>
        <v>212324</v>
      </c>
      <c r="R1016" s="153">
        <v>0</v>
      </c>
      <c r="S1016" s="153">
        <v>0</v>
      </c>
      <c r="T1016" s="153">
        <v>0</v>
      </c>
      <c r="V1016" s="151"/>
    </row>
    <row r="1017" spans="1:37" ht="24" customHeight="1">
      <c r="A1017" s="699" t="s">
        <v>1320</v>
      </c>
      <c r="B1017" s="697"/>
      <c r="C1017" s="697"/>
      <c r="D1017" s="1" t="s">
        <v>395</v>
      </c>
      <c r="E1017" s="697"/>
      <c r="F1017" s="697"/>
      <c r="G1017" s="697"/>
      <c r="H1017" s="697"/>
      <c r="I1017" s="697"/>
      <c r="J1017" s="697"/>
      <c r="K1017" s="697"/>
      <c r="L1017" s="212">
        <v>0</v>
      </c>
      <c r="M1017" s="212">
        <v>0</v>
      </c>
      <c r="N1017" s="156">
        <v>360000</v>
      </c>
      <c r="O1017" s="156">
        <v>329495</v>
      </c>
      <c r="P1017" s="153">
        <v>0</v>
      </c>
      <c r="Q1017" s="153">
        <v>0</v>
      </c>
      <c r="R1017" s="153">
        <v>0</v>
      </c>
      <c r="S1017" s="153">
        <v>0</v>
      </c>
      <c r="T1017" s="153">
        <v>0</v>
      </c>
    </row>
    <row r="1018" spans="1:37" ht="24" customHeight="1">
      <c r="A1018" s="742" t="s">
        <v>1013</v>
      </c>
      <c r="B1018" s="266"/>
      <c r="C1018" s="266"/>
      <c r="D1018" s="265" t="s">
        <v>1039</v>
      </c>
      <c r="E1018" s="266"/>
      <c r="F1018" s="266"/>
      <c r="G1018" s="266"/>
      <c r="H1018" s="266"/>
      <c r="I1018" s="266"/>
      <c r="J1018" s="266"/>
      <c r="K1018" s="266"/>
      <c r="L1018" s="224">
        <v>0</v>
      </c>
      <c r="M1018" s="224">
        <v>103504</v>
      </c>
      <c r="N1018" s="147">
        <v>30000</v>
      </c>
      <c r="O1018" s="147">
        <v>0</v>
      </c>
      <c r="P1018" s="146">
        <v>30000</v>
      </c>
      <c r="Q1018" s="146">
        <v>0</v>
      </c>
      <c r="R1018" s="146">
        <v>0</v>
      </c>
      <c r="S1018" s="146">
        <v>0</v>
      </c>
      <c r="T1018" s="146">
        <v>0</v>
      </c>
      <c r="V1018" s="148"/>
    </row>
    <row r="1019" spans="1:37" ht="24" customHeight="1">
      <c r="A1019" s="263" t="s">
        <v>480</v>
      </c>
      <c r="B1019" s="264"/>
      <c r="C1019" s="264"/>
      <c r="D1019" s="666" t="s">
        <v>268</v>
      </c>
      <c r="E1019" s="665"/>
      <c r="F1019" s="665"/>
      <c r="G1019" s="665"/>
      <c r="H1019" s="665"/>
      <c r="I1019" s="665"/>
      <c r="J1019" s="665"/>
      <c r="K1019" s="665"/>
      <c r="L1019" s="212">
        <v>7420</v>
      </c>
      <c r="M1019" s="212">
        <v>7420</v>
      </c>
      <c r="N1019" s="150">
        <v>7420</v>
      </c>
      <c r="O1019" s="150">
        <v>7420</v>
      </c>
      <c r="P1019" s="149">
        <f>ROUND((618.36*12),0)</f>
        <v>7420</v>
      </c>
      <c r="Q1019" s="149">
        <f>ROUND((618.36*12),0)</f>
        <v>7420</v>
      </c>
      <c r="R1019" s="149">
        <f>ROUND((618.36*12),0)</f>
        <v>7420</v>
      </c>
      <c r="S1019" s="149">
        <f>ROUND((618.36*12),0)</f>
        <v>7420</v>
      </c>
      <c r="T1019" s="209">
        <f>ROUND(((7420/12)*4),0)</f>
        <v>2473</v>
      </c>
      <c r="U1019" s="310"/>
      <c r="V1019" s="186"/>
    </row>
    <row r="1020" spans="1:37" ht="24" customHeight="1">
      <c r="A1020" s="269" t="s">
        <v>1308</v>
      </c>
      <c r="B1020" s="734"/>
      <c r="C1020" s="734"/>
      <c r="D1020" s="735"/>
      <c r="E1020" s="734"/>
      <c r="F1020" s="734"/>
      <c r="G1020" s="734"/>
      <c r="H1020" s="734"/>
      <c r="I1020" s="734"/>
      <c r="J1020" s="685"/>
      <c r="K1020" s="685"/>
      <c r="L1020" s="211"/>
      <c r="M1020" s="211"/>
      <c r="N1020" s="150"/>
      <c r="O1020" s="150"/>
      <c r="P1020" s="149"/>
      <c r="Q1020" s="149"/>
      <c r="R1020" s="149"/>
      <c r="S1020" s="149"/>
      <c r="T1020" s="149"/>
      <c r="U1020" s="310"/>
      <c r="V1020" s="186"/>
    </row>
    <row r="1021" spans="1:37" ht="24" customHeight="1">
      <c r="A1021" s="659" t="s">
        <v>1275</v>
      </c>
      <c r="B1021" s="657"/>
      <c r="C1021" s="657"/>
      <c r="D1021" s="659" t="s">
        <v>930</v>
      </c>
      <c r="E1021" s="657"/>
      <c r="F1021" s="657"/>
      <c r="G1021" s="657"/>
      <c r="H1021" s="657"/>
      <c r="I1021" s="657"/>
      <c r="J1021" s="657"/>
      <c r="K1021" s="657"/>
      <c r="L1021" s="211">
        <v>0</v>
      </c>
      <c r="M1021" s="211">
        <v>0</v>
      </c>
      <c r="N1021" s="150">
        <v>0</v>
      </c>
      <c r="O1021" s="150">
        <v>0</v>
      </c>
      <c r="P1021" s="149">
        <v>200000</v>
      </c>
      <c r="Q1021" s="149">
        <v>200000</v>
      </c>
      <c r="R1021" s="149">
        <v>200000</v>
      </c>
      <c r="S1021" s="149">
        <v>200000</v>
      </c>
      <c r="T1021" s="149">
        <v>0</v>
      </c>
      <c r="U1021" s="310"/>
      <c r="V1021" s="875"/>
      <c r="W1021" s="370"/>
      <c r="X1021" s="148"/>
    </row>
    <row r="1022" spans="1:37" ht="24" customHeight="1">
      <c r="A1022" s="659" t="s">
        <v>1276</v>
      </c>
      <c r="B1022" s="657"/>
      <c r="C1022" s="657"/>
      <c r="D1022" s="659" t="s">
        <v>273</v>
      </c>
      <c r="E1022" s="657"/>
      <c r="F1022" s="657"/>
      <c r="G1022" s="657"/>
      <c r="H1022" s="657"/>
      <c r="I1022" s="657"/>
      <c r="J1022" s="657"/>
      <c r="K1022" s="657"/>
      <c r="L1022" s="217">
        <v>0</v>
      </c>
      <c r="M1022" s="217">
        <v>0</v>
      </c>
      <c r="N1022" s="162">
        <v>0</v>
      </c>
      <c r="O1022" s="162">
        <v>0</v>
      </c>
      <c r="P1022" s="161">
        <v>25800</v>
      </c>
      <c r="Q1022" s="161">
        <v>18250</v>
      </c>
      <c r="R1022" s="161">
        <v>12200</v>
      </c>
      <c r="S1022" s="161">
        <v>6084</v>
      </c>
      <c r="T1022" s="161">
        <v>0</v>
      </c>
      <c r="U1022" s="310"/>
      <c r="V1022" s="875"/>
      <c r="W1022" s="370"/>
      <c r="X1022" s="148"/>
    </row>
    <row r="1023" spans="1:37" ht="15" customHeight="1">
      <c r="A1023" s="202"/>
      <c r="B1023" s="202"/>
      <c r="C1023" s="202"/>
      <c r="D1023" s="202"/>
      <c r="E1023" s="202"/>
      <c r="F1023" s="202"/>
      <c r="G1023" s="202"/>
      <c r="H1023" s="202"/>
      <c r="I1023" s="202"/>
      <c r="J1023" s="202"/>
      <c r="K1023" s="202"/>
      <c r="L1023" s="218"/>
      <c r="M1023" s="218"/>
      <c r="N1023" s="164"/>
      <c r="O1023" s="164"/>
      <c r="P1023" s="163"/>
      <c r="Q1023" s="163"/>
      <c r="R1023" s="163"/>
      <c r="S1023" s="163"/>
      <c r="T1023" s="163"/>
    </row>
    <row r="1024" spans="1:37" s="202" customFormat="1" ht="24" customHeight="1">
      <c r="K1024" s="267" t="s">
        <v>484</v>
      </c>
      <c r="L1024" s="220">
        <f t="shared" ref="L1024:T1024" si="102">SUM(L1010:L1023)</f>
        <v>54498</v>
      </c>
      <c r="M1024" s="220">
        <f t="shared" si="102"/>
        <v>224910</v>
      </c>
      <c r="N1024" s="221">
        <f t="shared" si="102"/>
        <v>1132742</v>
      </c>
      <c r="O1024" s="221">
        <f t="shared" si="102"/>
        <v>1079315</v>
      </c>
      <c r="P1024" s="220">
        <f t="shared" si="102"/>
        <v>419243</v>
      </c>
      <c r="Q1024" s="220">
        <f t="shared" si="102"/>
        <v>530527</v>
      </c>
      <c r="R1024" s="220">
        <f t="shared" si="102"/>
        <v>297153</v>
      </c>
      <c r="S1024" s="220">
        <f t="shared" si="102"/>
        <v>291037</v>
      </c>
      <c r="T1024" s="220">
        <f t="shared" si="102"/>
        <v>80006</v>
      </c>
      <c r="U1024" s="65"/>
      <c r="V1024" s="845"/>
      <c r="W1024" s="845"/>
      <c r="X1024" s="844"/>
      <c r="Y1024" s="838"/>
      <c r="Z1024" s="838"/>
      <c r="AA1024" s="838"/>
      <c r="AB1024" s="838"/>
      <c r="AC1024" s="838"/>
      <c r="AD1024" s="838"/>
      <c r="AE1024" s="838"/>
      <c r="AF1024" s="838"/>
      <c r="AG1024" s="838"/>
      <c r="AH1024" s="838"/>
      <c r="AI1024" s="838"/>
      <c r="AJ1024" s="838"/>
      <c r="AK1024" s="838"/>
    </row>
    <row r="1025" spans="1:37" s="202" customFormat="1" ht="15" customHeight="1">
      <c r="L1025" s="218"/>
      <c r="M1025" s="218"/>
      <c r="N1025" s="219"/>
      <c r="O1025" s="219"/>
      <c r="P1025" s="218"/>
      <c r="Q1025" s="218"/>
      <c r="R1025" s="218"/>
      <c r="S1025" s="218"/>
      <c r="T1025" s="218"/>
      <c r="U1025" s="65"/>
      <c r="V1025" s="838"/>
      <c r="W1025" s="838"/>
      <c r="X1025" s="838"/>
      <c r="Y1025" s="838"/>
      <c r="Z1025" s="838"/>
      <c r="AA1025" s="838"/>
      <c r="AB1025" s="838"/>
      <c r="AC1025" s="838"/>
      <c r="AD1025" s="838"/>
      <c r="AE1025" s="838"/>
      <c r="AF1025" s="838"/>
      <c r="AG1025" s="838"/>
      <c r="AH1025" s="838"/>
      <c r="AI1025" s="838"/>
      <c r="AJ1025" s="838"/>
      <c r="AK1025" s="838"/>
    </row>
    <row r="1026" spans="1:37" s="202" customFormat="1" ht="24" customHeight="1">
      <c r="K1026" s="267" t="s">
        <v>485</v>
      </c>
      <c r="L1026" s="237">
        <f t="shared" ref="L1026:T1026" si="103">L1008-L1024</f>
        <v>14609</v>
      </c>
      <c r="M1026" s="237">
        <f t="shared" si="103"/>
        <v>-156147</v>
      </c>
      <c r="N1026" s="238">
        <f t="shared" si="103"/>
        <v>-1062742</v>
      </c>
      <c r="O1026" s="238">
        <f t="shared" si="103"/>
        <v>-1003129</v>
      </c>
      <c r="P1026" s="237">
        <f t="shared" si="103"/>
        <v>-288707</v>
      </c>
      <c r="Q1026" s="237">
        <f t="shared" si="103"/>
        <v>-405095</v>
      </c>
      <c r="R1026" s="237">
        <f t="shared" si="103"/>
        <v>-212153</v>
      </c>
      <c r="S1026" s="237">
        <f t="shared" si="103"/>
        <v>-201037</v>
      </c>
      <c r="T1026" s="237">
        <f t="shared" si="103"/>
        <v>9994</v>
      </c>
      <c r="U1026" s="65"/>
      <c r="V1026" s="838"/>
      <c r="W1026" s="838"/>
      <c r="X1026" s="838"/>
      <c r="Y1026" s="838"/>
      <c r="Z1026" s="838"/>
      <c r="AA1026" s="838"/>
      <c r="AB1026" s="838"/>
      <c r="AC1026" s="838"/>
      <c r="AD1026" s="838"/>
      <c r="AE1026" s="838"/>
      <c r="AF1026" s="838"/>
      <c r="AG1026" s="838"/>
      <c r="AH1026" s="838"/>
      <c r="AI1026" s="838"/>
      <c r="AJ1026" s="838"/>
      <c r="AK1026" s="838"/>
    </row>
    <row r="1027" spans="1:37" s="202" customFormat="1" ht="15" customHeight="1">
      <c r="L1027" s="237"/>
      <c r="M1027" s="237"/>
      <c r="N1027" s="238"/>
      <c r="O1027" s="238"/>
      <c r="P1027" s="237"/>
      <c r="Q1027" s="237"/>
      <c r="R1027" s="237"/>
      <c r="S1027" s="237"/>
      <c r="T1027" s="237"/>
      <c r="U1027" s="65"/>
      <c r="V1027" s="838"/>
      <c r="W1027" s="838"/>
      <c r="X1027" s="838"/>
      <c r="Y1027" s="838"/>
      <c r="Z1027" s="838"/>
      <c r="AA1027" s="838"/>
      <c r="AB1027" s="838"/>
      <c r="AC1027" s="838"/>
      <c r="AD1027" s="838"/>
      <c r="AE1027" s="838"/>
      <c r="AF1027" s="838"/>
      <c r="AG1027" s="838"/>
      <c r="AH1027" s="838"/>
      <c r="AI1027" s="838"/>
      <c r="AJ1027" s="838"/>
      <c r="AK1027" s="838"/>
    </row>
    <row r="1028" spans="1:37" s="202" customFormat="1" ht="24" customHeight="1">
      <c r="K1028" s="272" t="s">
        <v>487</v>
      </c>
      <c r="L1028" s="237">
        <v>253703</v>
      </c>
      <c r="M1028" s="237">
        <v>97556</v>
      </c>
      <c r="N1028" s="238">
        <v>-681353</v>
      </c>
      <c r="O1028" s="238">
        <f>M1028+O1026</f>
        <v>-905573</v>
      </c>
      <c r="P1028" s="237">
        <f>O1028+P1026</f>
        <v>-1194280</v>
      </c>
      <c r="Q1028" s="237">
        <f>P1028+Q1026</f>
        <v>-1599375</v>
      </c>
      <c r="R1028" s="237">
        <f>Q1028+R1026</f>
        <v>-1811528</v>
      </c>
      <c r="S1028" s="237">
        <f>R1028+S1026</f>
        <v>-2012565</v>
      </c>
      <c r="T1028" s="237">
        <f>S1028+T1026</f>
        <v>-2002571</v>
      </c>
      <c r="U1028" s="65"/>
      <c r="V1028" s="838"/>
      <c r="W1028" s="838"/>
      <c r="X1028" s="838"/>
      <c r="Y1028" s="838"/>
      <c r="Z1028" s="838"/>
      <c r="AA1028" s="838"/>
      <c r="AB1028" s="838"/>
      <c r="AC1028" s="838"/>
      <c r="AD1028" s="838"/>
      <c r="AE1028" s="838"/>
      <c r="AF1028" s="838"/>
      <c r="AG1028" s="838"/>
      <c r="AH1028" s="838"/>
      <c r="AI1028" s="838"/>
      <c r="AJ1028" s="838"/>
      <c r="AK1028" s="838"/>
    </row>
    <row r="1029" spans="1:37" ht="15" customHeight="1">
      <c r="A1029" s="714"/>
      <c r="B1029" s="714"/>
      <c r="C1029" s="714"/>
      <c r="D1029" s="714"/>
      <c r="E1029" s="714"/>
      <c r="F1029" s="714"/>
      <c r="G1029" s="714"/>
      <c r="H1029" s="714"/>
      <c r="I1029" s="714"/>
      <c r="J1029" s="714"/>
      <c r="K1029" s="714"/>
      <c r="L1029" s="354"/>
      <c r="M1029" s="354"/>
      <c r="N1029" s="358"/>
      <c r="O1029" s="358"/>
      <c r="P1029" s="359"/>
      <c r="Q1029" s="359"/>
      <c r="R1029" s="359"/>
      <c r="S1029" s="359"/>
      <c r="T1029" s="359"/>
    </row>
    <row r="1030" spans="1:37" s="714" customFormat="1" ht="24" customHeight="1">
      <c r="A1030" s="274" t="s">
        <v>1330</v>
      </c>
      <c r="L1030" s="354"/>
      <c r="M1030" s="354"/>
      <c r="N1030" s="358"/>
      <c r="O1030" s="358"/>
      <c r="P1030" s="359"/>
      <c r="Q1030" s="359"/>
      <c r="R1030" s="359"/>
      <c r="S1030" s="359"/>
      <c r="T1030" s="359"/>
      <c r="U1030" s="65"/>
      <c r="V1030" s="838"/>
      <c r="W1030" s="838"/>
      <c r="X1030" s="838"/>
      <c r="Y1030" s="838"/>
      <c r="Z1030" s="838"/>
      <c r="AA1030" s="838"/>
      <c r="AB1030" s="838"/>
      <c r="AC1030" s="838"/>
      <c r="AD1030" s="838"/>
      <c r="AE1030" s="838"/>
      <c r="AF1030" s="838"/>
      <c r="AG1030" s="838"/>
      <c r="AH1030" s="838"/>
      <c r="AI1030" s="838"/>
      <c r="AJ1030" s="838"/>
      <c r="AK1030" s="838"/>
    </row>
    <row r="1031" spans="1:37" s="714" customFormat="1" ht="24" customHeight="1">
      <c r="L1031" s="261"/>
      <c r="M1031" s="261"/>
      <c r="N1031" s="352"/>
      <c r="O1031" s="352"/>
      <c r="P1031" s="353"/>
      <c r="Q1031" s="353"/>
      <c r="R1031" s="353"/>
      <c r="S1031" s="353"/>
      <c r="T1031" s="353"/>
      <c r="U1031" s="65"/>
      <c r="V1031" s="838"/>
      <c r="W1031" s="838"/>
      <c r="X1031" s="838"/>
      <c r="Y1031" s="838"/>
      <c r="Z1031" s="838"/>
      <c r="AA1031" s="838"/>
      <c r="AB1031" s="838"/>
      <c r="AC1031" s="838"/>
      <c r="AD1031" s="838"/>
      <c r="AE1031" s="838"/>
      <c r="AF1031" s="838"/>
      <c r="AG1031" s="838"/>
      <c r="AH1031" s="838"/>
      <c r="AI1031" s="838"/>
      <c r="AJ1031" s="838"/>
      <c r="AK1031" s="838"/>
    </row>
    <row r="1032" spans="1:37" s="714" customFormat="1" ht="24" customHeight="1">
      <c r="A1032" s="714" t="s">
        <v>1331</v>
      </c>
      <c r="D1032" s="714" t="s">
        <v>1000</v>
      </c>
      <c r="L1032" s="211">
        <v>0</v>
      </c>
      <c r="M1032" s="211">
        <v>0</v>
      </c>
      <c r="N1032" s="150">
        <v>0</v>
      </c>
      <c r="O1032" s="150">
        <v>0</v>
      </c>
      <c r="P1032" s="149">
        <v>0</v>
      </c>
      <c r="Q1032" s="149">
        <v>0</v>
      </c>
      <c r="R1032" s="149">
        <v>0</v>
      </c>
      <c r="S1032" s="149">
        <v>0</v>
      </c>
      <c r="T1032" s="149">
        <v>0</v>
      </c>
      <c r="U1032" s="65"/>
      <c r="V1032" s="838"/>
      <c r="W1032" s="838"/>
      <c r="X1032" s="838"/>
      <c r="Y1032" s="838"/>
      <c r="Z1032" s="838"/>
      <c r="AA1032" s="838"/>
      <c r="AB1032" s="838"/>
      <c r="AC1032" s="838"/>
      <c r="AD1032" s="838"/>
      <c r="AE1032" s="838"/>
      <c r="AF1032" s="838"/>
      <c r="AG1032" s="838"/>
      <c r="AH1032" s="838"/>
      <c r="AI1032" s="838"/>
      <c r="AJ1032" s="838"/>
      <c r="AK1032" s="838"/>
    </row>
    <row r="1033" spans="1:37" s="714" customFormat="1" ht="24" customHeight="1">
      <c r="A1033" s="715" t="s">
        <v>1332</v>
      </c>
      <c r="B1033" s="713"/>
      <c r="C1033" s="713"/>
      <c r="D1033" s="714" t="s">
        <v>6</v>
      </c>
      <c r="E1033" s="713"/>
      <c r="F1033" s="713"/>
      <c r="G1033" s="713"/>
      <c r="H1033" s="713"/>
      <c r="I1033" s="713"/>
      <c r="J1033" s="713"/>
      <c r="K1033" s="713"/>
      <c r="L1033" s="226">
        <v>0</v>
      </c>
      <c r="M1033" s="226">
        <v>0</v>
      </c>
      <c r="N1033" s="174">
        <v>0</v>
      </c>
      <c r="O1033" s="174">
        <v>0</v>
      </c>
      <c r="P1033" s="173">
        <v>0</v>
      </c>
      <c r="Q1033" s="173">
        <v>0</v>
      </c>
      <c r="R1033" s="173">
        <v>0</v>
      </c>
      <c r="S1033" s="173">
        <v>0</v>
      </c>
      <c r="T1033" s="173">
        <v>0</v>
      </c>
      <c r="U1033" s="65"/>
      <c r="V1033" s="838"/>
      <c r="W1033" s="838"/>
      <c r="X1033" s="838"/>
      <c r="Y1033" s="838"/>
      <c r="Z1033" s="838"/>
      <c r="AA1033" s="838"/>
      <c r="AB1033" s="838"/>
      <c r="AC1033" s="838"/>
      <c r="AD1033" s="838"/>
      <c r="AE1033" s="838"/>
      <c r="AF1033" s="838"/>
      <c r="AG1033" s="838"/>
      <c r="AH1033" s="838"/>
      <c r="AI1033" s="838"/>
      <c r="AJ1033" s="838"/>
      <c r="AK1033" s="838"/>
    </row>
    <row r="1034" spans="1:37" s="714" customFormat="1" ht="15" customHeight="1">
      <c r="L1034" s="218"/>
      <c r="M1034" s="218"/>
      <c r="N1034" s="164"/>
      <c r="O1034" s="164"/>
      <c r="P1034" s="163"/>
      <c r="Q1034" s="163"/>
      <c r="R1034" s="163"/>
      <c r="S1034" s="163"/>
      <c r="T1034" s="163"/>
      <c r="U1034" s="65"/>
      <c r="V1034" s="838"/>
      <c r="W1034" s="838"/>
      <c r="X1034" s="838"/>
      <c r="Y1034" s="838"/>
      <c r="Z1034" s="838"/>
      <c r="AA1034" s="838"/>
      <c r="AB1034" s="838"/>
      <c r="AC1034" s="838"/>
      <c r="AD1034" s="838"/>
      <c r="AE1034" s="838"/>
      <c r="AF1034" s="838"/>
      <c r="AG1034" s="838"/>
      <c r="AH1034" s="838"/>
      <c r="AI1034" s="838"/>
      <c r="AJ1034" s="838"/>
      <c r="AK1034" s="838"/>
    </row>
    <row r="1035" spans="1:37" s="714" customFormat="1" ht="24" customHeight="1">
      <c r="K1035" s="267" t="s">
        <v>481</v>
      </c>
      <c r="L1035" s="220">
        <f t="shared" ref="L1035:T1035" si="104">SUM(L1032:L1034)</f>
        <v>0</v>
      </c>
      <c r="M1035" s="220">
        <f t="shared" si="104"/>
        <v>0</v>
      </c>
      <c r="N1035" s="221">
        <f t="shared" si="104"/>
        <v>0</v>
      </c>
      <c r="O1035" s="221">
        <f t="shared" si="104"/>
        <v>0</v>
      </c>
      <c r="P1035" s="220">
        <f t="shared" si="104"/>
        <v>0</v>
      </c>
      <c r="Q1035" s="220">
        <f t="shared" si="104"/>
        <v>0</v>
      </c>
      <c r="R1035" s="220">
        <f t="shared" si="104"/>
        <v>0</v>
      </c>
      <c r="S1035" s="220">
        <f t="shared" si="104"/>
        <v>0</v>
      </c>
      <c r="T1035" s="220">
        <f t="shared" si="104"/>
        <v>0</v>
      </c>
      <c r="U1035" s="65"/>
      <c r="V1035" s="838"/>
      <c r="W1035" s="838"/>
      <c r="X1035" s="838"/>
      <c r="Y1035" s="838"/>
      <c r="Z1035" s="838"/>
      <c r="AA1035" s="838"/>
      <c r="AB1035" s="838"/>
      <c r="AC1035" s="838"/>
      <c r="AD1035" s="838"/>
      <c r="AE1035" s="838"/>
      <c r="AF1035" s="838"/>
      <c r="AG1035" s="838"/>
      <c r="AH1035" s="838"/>
      <c r="AI1035" s="838"/>
      <c r="AJ1035" s="838"/>
      <c r="AK1035" s="838"/>
    </row>
    <row r="1036" spans="1:37" s="714" customFormat="1" ht="15" customHeight="1">
      <c r="L1036" s="218"/>
      <c r="M1036" s="218"/>
      <c r="N1036" s="164"/>
      <c r="O1036" s="164"/>
      <c r="P1036" s="163"/>
      <c r="Q1036" s="163"/>
      <c r="R1036" s="163"/>
      <c r="S1036" s="163"/>
      <c r="T1036" s="163"/>
      <c r="U1036" s="65"/>
      <c r="V1036" s="838"/>
      <c r="W1036" s="838"/>
      <c r="X1036" s="838"/>
      <c r="Y1036" s="838"/>
      <c r="Z1036" s="838"/>
      <c r="AA1036" s="838"/>
      <c r="AB1036" s="838"/>
      <c r="AC1036" s="838"/>
      <c r="AD1036" s="838"/>
      <c r="AE1036" s="838"/>
      <c r="AF1036" s="838"/>
      <c r="AG1036" s="838"/>
      <c r="AH1036" s="838"/>
      <c r="AI1036" s="838"/>
      <c r="AJ1036" s="838"/>
      <c r="AK1036" s="838"/>
    </row>
    <row r="1037" spans="1:37" s="714" customFormat="1" ht="24" customHeight="1">
      <c r="A1037" s="715" t="s">
        <v>1333</v>
      </c>
      <c r="B1037" s="713"/>
      <c r="C1037" s="713"/>
      <c r="D1037" s="714" t="s">
        <v>1295</v>
      </c>
      <c r="E1037" s="713"/>
      <c r="F1037" s="713"/>
      <c r="G1037" s="713"/>
      <c r="H1037" s="713"/>
      <c r="I1037" s="713"/>
      <c r="J1037" s="713"/>
      <c r="L1037" s="209">
        <v>0</v>
      </c>
      <c r="M1037" s="209">
        <v>0</v>
      </c>
      <c r="N1037" s="147">
        <v>0</v>
      </c>
      <c r="O1037" s="147">
        <v>0</v>
      </c>
      <c r="P1037" s="146">
        <v>0</v>
      </c>
      <c r="Q1037" s="146">
        <v>0</v>
      </c>
      <c r="R1037" s="146">
        <v>0</v>
      </c>
      <c r="S1037" s="146">
        <v>0</v>
      </c>
      <c r="T1037" s="146">
        <v>0</v>
      </c>
      <c r="U1037" s="65"/>
      <c r="V1037" s="838"/>
      <c r="W1037" s="838"/>
      <c r="X1037" s="838"/>
      <c r="Y1037" s="838"/>
      <c r="Z1037" s="838"/>
      <c r="AA1037" s="838"/>
      <c r="AB1037" s="838"/>
      <c r="AC1037" s="838"/>
      <c r="AD1037" s="838"/>
      <c r="AE1037" s="838"/>
      <c r="AF1037" s="838"/>
      <c r="AG1037" s="838"/>
      <c r="AH1037" s="838"/>
      <c r="AI1037" s="838"/>
      <c r="AJ1037" s="838"/>
      <c r="AK1037" s="838"/>
    </row>
    <row r="1038" spans="1:37" s="714" customFormat="1" ht="24" customHeight="1">
      <c r="A1038" s="715" t="s">
        <v>1334</v>
      </c>
      <c r="B1038" s="713"/>
      <c r="C1038" s="713"/>
      <c r="D1038" s="715" t="s">
        <v>10</v>
      </c>
      <c r="E1038" s="713"/>
      <c r="F1038" s="713"/>
      <c r="G1038" s="713"/>
      <c r="H1038" s="713"/>
      <c r="I1038" s="713"/>
      <c r="J1038" s="713"/>
      <c r="K1038" s="713"/>
      <c r="L1038" s="211">
        <v>0</v>
      </c>
      <c r="M1038" s="211">
        <v>0</v>
      </c>
      <c r="N1038" s="150">
        <v>0</v>
      </c>
      <c r="O1038" s="150">
        <v>0</v>
      </c>
      <c r="P1038" s="149">
        <v>0</v>
      </c>
      <c r="Q1038" s="149">
        <v>0</v>
      </c>
      <c r="R1038" s="149">
        <v>0</v>
      </c>
      <c r="S1038" s="149">
        <v>0</v>
      </c>
      <c r="T1038" s="149">
        <v>0</v>
      </c>
      <c r="U1038" s="65"/>
      <c r="V1038" s="838"/>
      <c r="W1038" s="838"/>
      <c r="X1038" s="838"/>
      <c r="Y1038" s="838"/>
      <c r="Z1038" s="838"/>
      <c r="AA1038" s="838"/>
      <c r="AB1038" s="838"/>
      <c r="AC1038" s="838"/>
      <c r="AD1038" s="838"/>
      <c r="AE1038" s="838"/>
      <c r="AF1038" s="838"/>
      <c r="AG1038" s="838"/>
      <c r="AH1038" s="838"/>
      <c r="AI1038" s="838"/>
      <c r="AJ1038" s="838"/>
      <c r="AK1038" s="838"/>
    </row>
    <row r="1039" spans="1:37" s="714" customFormat="1" ht="24" customHeight="1">
      <c r="A1039" s="715" t="s">
        <v>1335</v>
      </c>
      <c r="B1039" s="713"/>
      <c r="C1039" s="713"/>
      <c r="D1039" s="715" t="s">
        <v>127</v>
      </c>
      <c r="E1039" s="713"/>
      <c r="F1039" s="713"/>
      <c r="G1039" s="713"/>
      <c r="H1039" s="713"/>
      <c r="I1039" s="713"/>
      <c r="J1039" s="713"/>
      <c r="K1039" s="713"/>
      <c r="L1039" s="212">
        <v>0</v>
      </c>
      <c r="M1039" s="212">
        <v>0</v>
      </c>
      <c r="N1039" s="156">
        <v>0</v>
      </c>
      <c r="O1039" s="156">
        <v>0</v>
      </c>
      <c r="P1039" s="153">
        <v>10000</v>
      </c>
      <c r="Q1039" s="153">
        <v>0</v>
      </c>
      <c r="R1039" s="153">
        <v>0</v>
      </c>
      <c r="S1039" s="153">
        <v>0</v>
      </c>
      <c r="T1039" s="153">
        <v>0</v>
      </c>
      <c r="U1039" s="65"/>
      <c r="V1039" s="838"/>
      <c r="W1039" s="838"/>
      <c r="X1039" s="838"/>
      <c r="Y1039" s="838"/>
      <c r="Z1039" s="838"/>
      <c r="AA1039" s="838"/>
      <c r="AB1039" s="838"/>
      <c r="AC1039" s="838"/>
      <c r="AD1039" s="838"/>
      <c r="AE1039" s="838"/>
      <c r="AF1039" s="838"/>
      <c r="AG1039" s="838"/>
      <c r="AH1039" s="838"/>
      <c r="AI1039" s="838"/>
      <c r="AJ1039" s="838"/>
      <c r="AK1039" s="838"/>
    </row>
    <row r="1040" spans="1:37" s="714" customFormat="1" ht="24" customHeight="1">
      <c r="A1040" s="715" t="s">
        <v>1336</v>
      </c>
      <c r="B1040" s="713"/>
      <c r="C1040" s="713"/>
      <c r="D1040" s="715" t="s">
        <v>598</v>
      </c>
      <c r="E1040" s="713"/>
      <c r="F1040" s="713"/>
      <c r="G1040" s="713"/>
      <c r="H1040" s="713"/>
      <c r="I1040" s="713"/>
      <c r="J1040" s="713"/>
      <c r="K1040" s="713"/>
      <c r="L1040" s="217">
        <v>0</v>
      </c>
      <c r="M1040" s="217">
        <v>0</v>
      </c>
      <c r="N1040" s="172">
        <v>0</v>
      </c>
      <c r="O1040" s="172">
        <v>0</v>
      </c>
      <c r="P1040" s="161">
        <v>0</v>
      </c>
      <c r="Q1040" s="161">
        <v>0</v>
      </c>
      <c r="R1040" s="161">
        <v>0</v>
      </c>
      <c r="S1040" s="161">
        <v>0</v>
      </c>
      <c r="T1040" s="161">
        <v>0</v>
      </c>
      <c r="U1040" s="65"/>
      <c r="V1040" s="838"/>
      <c r="W1040" s="838"/>
      <c r="X1040" s="838"/>
      <c r="Y1040" s="838"/>
      <c r="Z1040" s="838"/>
      <c r="AA1040" s="838"/>
      <c r="AB1040" s="838"/>
      <c r="AC1040" s="838"/>
      <c r="AD1040" s="838"/>
      <c r="AE1040" s="838"/>
      <c r="AF1040" s="838"/>
      <c r="AG1040" s="838"/>
      <c r="AH1040" s="838"/>
      <c r="AI1040" s="838"/>
      <c r="AJ1040" s="838"/>
      <c r="AK1040" s="838"/>
    </row>
    <row r="1041" spans="1:37" s="714" customFormat="1" ht="15" customHeight="1">
      <c r="L1041" s="218"/>
      <c r="M1041" s="218"/>
      <c r="N1041" s="164"/>
      <c r="O1041" s="164"/>
      <c r="P1041" s="163"/>
      <c r="Q1041" s="163"/>
      <c r="R1041" s="163"/>
      <c r="S1041" s="163"/>
      <c r="T1041" s="163"/>
      <c r="U1041" s="65"/>
      <c r="V1041" s="838"/>
      <c r="W1041" s="838"/>
      <c r="X1041" s="838"/>
      <c r="Y1041" s="838"/>
      <c r="Z1041" s="838"/>
      <c r="AA1041" s="838"/>
      <c r="AB1041" s="838"/>
      <c r="AC1041" s="838"/>
      <c r="AD1041" s="838"/>
      <c r="AE1041" s="838"/>
      <c r="AF1041" s="838"/>
      <c r="AG1041" s="838"/>
      <c r="AH1041" s="838"/>
      <c r="AI1041" s="838"/>
      <c r="AJ1041" s="838"/>
      <c r="AK1041" s="838"/>
    </row>
    <row r="1042" spans="1:37" s="714" customFormat="1" ht="24" customHeight="1">
      <c r="K1042" s="267" t="s">
        <v>484</v>
      </c>
      <c r="L1042" s="220">
        <f t="shared" ref="L1042:T1042" si="105">SUM(L1037:L1041)</f>
        <v>0</v>
      </c>
      <c r="M1042" s="220">
        <f t="shared" si="105"/>
        <v>0</v>
      </c>
      <c r="N1042" s="221">
        <f t="shared" si="105"/>
        <v>0</v>
      </c>
      <c r="O1042" s="221">
        <f t="shared" si="105"/>
        <v>0</v>
      </c>
      <c r="P1042" s="220">
        <f t="shared" si="105"/>
        <v>10000</v>
      </c>
      <c r="Q1042" s="220">
        <f t="shared" si="105"/>
        <v>0</v>
      </c>
      <c r="R1042" s="220">
        <f t="shared" si="105"/>
        <v>0</v>
      </c>
      <c r="S1042" s="220">
        <f t="shared" si="105"/>
        <v>0</v>
      </c>
      <c r="T1042" s="220">
        <f t="shared" si="105"/>
        <v>0</v>
      </c>
      <c r="U1042" s="65"/>
      <c r="V1042" s="838"/>
      <c r="W1042" s="838"/>
      <c r="X1042" s="838"/>
      <c r="Y1042" s="838"/>
      <c r="Z1042" s="838"/>
      <c r="AA1042" s="838"/>
      <c r="AB1042" s="838"/>
      <c r="AC1042" s="838"/>
      <c r="AD1042" s="838"/>
      <c r="AE1042" s="838"/>
      <c r="AF1042" s="838"/>
      <c r="AG1042" s="838"/>
      <c r="AH1042" s="838"/>
      <c r="AI1042" s="838"/>
      <c r="AJ1042" s="838"/>
      <c r="AK1042" s="838"/>
    </row>
    <row r="1043" spans="1:37" s="714" customFormat="1" ht="15" customHeight="1">
      <c r="L1043" s="218"/>
      <c r="M1043" s="218"/>
      <c r="N1043" s="219"/>
      <c r="O1043" s="219"/>
      <c r="P1043" s="218"/>
      <c r="Q1043" s="218"/>
      <c r="R1043" s="218"/>
      <c r="S1043" s="218"/>
      <c r="T1043" s="218"/>
      <c r="U1043" s="65"/>
      <c r="V1043" s="838"/>
      <c r="W1043" s="838"/>
      <c r="X1043" s="838"/>
      <c r="Y1043" s="838"/>
      <c r="Z1043" s="838"/>
      <c r="AA1043" s="838"/>
      <c r="AB1043" s="838"/>
      <c r="AC1043" s="838"/>
      <c r="AD1043" s="838"/>
      <c r="AE1043" s="838"/>
      <c r="AF1043" s="838"/>
      <c r="AG1043" s="838"/>
      <c r="AH1043" s="838"/>
      <c r="AI1043" s="838"/>
      <c r="AJ1043" s="838"/>
      <c r="AK1043" s="838"/>
    </row>
    <row r="1044" spans="1:37" s="714" customFormat="1" ht="24" customHeight="1">
      <c r="K1044" s="267" t="s">
        <v>485</v>
      </c>
      <c r="L1044" s="237">
        <f t="shared" ref="L1044:T1044" si="106">L1035-L1042</f>
        <v>0</v>
      </c>
      <c r="M1044" s="237">
        <f t="shared" si="106"/>
        <v>0</v>
      </c>
      <c r="N1044" s="238">
        <f t="shared" si="106"/>
        <v>0</v>
      </c>
      <c r="O1044" s="238">
        <f t="shared" si="106"/>
        <v>0</v>
      </c>
      <c r="P1044" s="237">
        <f t="shared" si="106"/>
        <v>-10000</v>
      </c>
      <c r="Q1044" s="237">
        <f t="shared" si="106"/>
        <v>0</v>
      </c>
      <c r="R1044" s="237">
        <f t="shared" si="106"/>
        <v>0</v>
      </c>
      <c r="S1044" s="237">
        <f t="shared" si="106"/>
        <v>0</v>
      </c>
      <c r="T1044" s="237">
        <f t="shared" si="106"/>
        <v>0</v>
      </c>
      <c r="U1044" s="65"/>
      <c r="V1044" s="838"/>
      <c r="W1044" s="838"/>
      <c r="X1044" s="838"/>
      <c r="Y1044" s="838"/>
      <c r="Z1044" s="838"/>
      <c r="AA1044" s="838"/>
      <c r="AB1044" s="838"/>
      <c r="AC1044" s="838"/>
      <c r="AD1044" s="838"/>
      <c r="AE1044" s="838"/>
      <c r="AF1044" s="838"/>
      <c r="AG1044" s="838"/>
      <c r="AH1044" s="838"/>
      <c r="AI1044" s="838"/>
      <c r="AJ1044" s="838"/>
      <c r="AK1044" s="838"/>
    </row>
    <row r="1045" spans="1:37" s="714" customFormat="1" ht="15" customHeight="1">
      <c r="L1045" s="237"/>
      <c r="M1045" s="237"/>
      <c r="N1045" s="238"/>
      <c r="O1045" s="238"/>
      <c r="P1045" s="237"/>
      <c r="Q1045" s="237"/>
      <c r="R1045" s="237"/>
      <c r="S1045" s="237"/>
      <c r="T1045" s="237"/>
      <c r="U1045" s="65"/>
      <c r="V1045" s="838"/>
      <c r="W1045" s="838"/>
      <c r="X1045" s="838"/>
      <c r="Y1045" s="838"/>
      <c r="Z1045" s="838"/>
      <c r="AA1045" s="838"/>
      <c r="AB1045" s="838"/>
      <c r="AC1045" s="838"/>
      <c r="AD1045" s="838"/>
      <c r="AE1045" s="838"/>
      <c r="AF1045" s="838"/>
      <c r="AG1045" s="838"/>
      <c r="AH1045" s="838"/>
      <c r="AI1045" s="838"/>
      <c r="AJ1045" s="838"/>
      <c r="AK1045" s="838"/>
    </row>
    <row r="1046" spans="1:37" s="714" customFormat="1" ht="24" customHeight="1">
      <c r="K1046" s="272" t="s">
        <v>487</v>
      </c>
      <c r="L1046" s="237">
        <v>0</v>
      </c>
      <c r="M1046" s="237">
        <v>0</v>
      </c>
      <c r="N1046" s="238">
        <v>0</v>
      </c>
      <c r="O1046" s="238">
        <f>M1046+O1044</f>
        <v>0</v>
      </c>
      <c r="P1046" s="237">
        <f>O1046+P1044</f>
        <v>-10000</v>
      </c>
      <c r="Q1046" s="237">
        <f>P1046+Q1044</f>
        <v>-10000</v>
      </c>
      <c r="R1046" s="237">
        <f>Q1046+R1044</f>
        <v>-10000</v>
      </c>
      <c r="S1046" s="237">
        <f>R1046+S1044</f>
        <v>-10000</v>
      </c>
      <c r="T1046" s="237">
        <f>S1046+T1044</f>
        <v>-10000</v>
      </c>
      <c r="U1046" s="65"/>
      <c r="V1046" s="838"/>
      <c r="W1046" s="838"/>
      <c r="X1046" s="838"/>
      <c r="Y1046" s="838"/>
      <c r="Z1046" s="838"/>
      <c r="AA1046" s="838"/>
      <c r="AB1046" s="838"/>
      <c r="AC1046" s="838"/>
      <c r="AD1046" s="838"/>
      <c r="AE1046" s="838"/>
      <c r="AF1046" s="838"/>
      <c r="AG1046" s="838"/>
      <c r="AH1046" s="838"/>
      <c r="AI1046" s="838"/>
      <c r="AJ1046" s="838"/>
      <c r="AK1046" s="838"/>
    </row>
    <row r="1047" spans="1:37" ht="15" customHeight="1">
      <c r="A1047" s="293"/>
      <c r="B1047" s="293"/>
      <c r="C1047" s="293"/>
      <c r="D1047" s="293"/>
      <c r="E1047" s="293"/>
      <c r="F1047" s="293"/>
      <c r="G1047" s="293"/>
      <c r="H1047" s="293"/>
      <c r="I1047" s="293"/>
      <c r="J1047" s="293"/>
      <c r="K1047" s="293"/>
      <c r="L1047" s="218"/>
      <c r="M1047" s="218"/>
      <c r="N1047" s="219"/>
      <c r="O1047" s="219"/>
      <c r="P1047" s="163"/>
      <c r="Q1047" s="163"/>
      <c r="R1047" s="163"/>
      <c r="S1047" s="163"/>
      <c r="T1047" s="163"/>
    </row>
    <row r="1048" spans="1:37" s="296" customFormat="1" ht="20.100000000000001" customHeight="1">
      <c r="A1048" s="903" t="s">
        <v>611</v>
      </c>
      <c r="B1048" s="903"/>
      <c r="C1048" s="903"/>
      <c r="D1048" s="903"/>
      <c r="E1048" s="903"/>
      <c r="F1048" s="903"/>
      <c r="G1048" s="903"/>
      <c r="H1048" s="903"/>
      <c r="I1048" s="903"/>
      <c r="J1048" s="903"/>
      <c r="L1048" s="297"/>
      <c r="M1048" s="297"/>
      <c r="N1048" s="297"/>
      <c r="O1048" s="297"/>
      <c r="P1048" s="297"/>
      <c r="Q1048" s="297"/>
      <c r="R1048" s="297"/>
      <c r="S1048" s="297"/>
      <c r="T1048" s="297"/>
      <c r="U1048" s="800"/>
      <c r="V1048" s="300"/>
      <c r="W1048" s="300"/>
      <c r="X1048" s="300"/>
      <c r="Y1048" s="300"/>
      <c r="Z1048" s="300"/>
      <c r="AA1048" s="300"/>
      <c r="AB1048" s="300"/>
      <c r="AC1048" s="300"/>
      <c r="AD1048" s="300"/>
      <c r="AE1048" s="300"/>
      <c r="AF1048" s="300"/>
      <c r="AG1048" s="300"/>
      <c r="AH1048" s="300"/>
      <c r="AI1048" s="300"/>
      <c r="AJ1048" s="300"/>
      <c r="AK1048" s="300"/>
    </row>
    <row r="1049" spans="1:37" s="333" customFormat="1" ht="24" customHeight="1">
      <c r="K1049" s="334" t="s">
        <v>546</v>
      </c>
      <c r="L1049" s="335"/>
      <c r="M1049" s="335"/>
      <c r="N1049" s="336"/>
      <c r="O1049" s="336"/>
      <c r="P1049" s="335"/>
      <c r="Q1049" s="335"/>
      <c r="R1049" s="335"/>
      <c r="S1049" s="335"/>
      <c r="T1049" s="335"/>
      <c r="U1049" s="805"/>
    </row>
    <row r="1050" spans="1:37" s="202" customFormat="1" ht="24" customHeight="1">
      <c r="J1050" s="906" t="s">
        <v>924</v>
      </c>
      <c r="K1050" s="202" t="s">
        <v>547</v>
      </c>
      <c r="L1050" s="232">
        <f t="shared" ref="L1050:T1050" si="107">L280</f>
        <v>865648</v>
      </c>
      <c r="M1050" s="232">
        <f t="shared" si="107"/>
        <v>522383</v>
      </c>
      <c r="N1050" s="219">
        <f t="shared" si="107"/>
        <v>-584324</v>
      </c>
      <c r="O1050" s="219">
        <f t="shared" si="107"/>
        <v>-436093</v>
      </c>
      <c r="P1050" s="218">
        <f t="shared" si="107"/>
        <v>-309218</v>
      </c>
      <c r="Q1050" s="218">
        <f t="shared" si="107"/>
        <v>-303948</v>
      </c>
      <c r="R1050" s="218">
        <f t="shared" si="107"/>
        <v>-315579</v>
      </c>
      <c r="S1050" s="218">
        <f t="shared" si="107"/>
        <v>-935712</v>
      </c>
      <c r="T1050" s="218">
        <f t="shared" si="107"/>
        <v>-1289305</v>
      </c>
      <c r="U1050" s="65"/>
      <c r="V1050" s="838"/>
      <c r="W1050" s="838"/>
      <c r="X1050" s="838"/>
      <c r="Y1050" s="838"/>
      <c r="Z1050" s="838"/>
      <c r="AA1050" s="838"/>
      <c r="AB1050" s="838"/>
      <c r="AC1050" s="838"/>
      <c r="AD1050" s="838"/>
      <c r="AE1050" s="838"/>
      <c r="AF1050" s="838"/>
      <c r="AG1050" s="838"/>
      <c r="AH1050" s="838"/>
      <c r="AI1050" s="838"/>
      <c r="AJ1050" s="838"/>
      <c r="AK1050" s="838"/>
    </row>
    <row r="1051" spans="1:37" s="202" customFormat="1" ht="24" customHeight="1">
      <c r="J1051" s="906"/>
      <c r="K1051" s="202" t="s">
        <v>548</v>
      </c>
      <c r="L1051" s="232">
        <f t="shared" ref="L1051:T1051" si="108">L298</f>
        <v>-19242</v>
      </c>
      <c r="M1051" s="232">
        <f t="shared" si="108"/>
        <v>18522</v>
      </c>
      <c r="N1051" s="219">
        <f t="shared" si="108"/>
        <v>-13635</v>
      </c>
      <c r="O1051" s="219">
        <f t="shared" si="108"/>
        <v>-9334</v>
      </c>
      <c r="P1051" s="218">
        <f t="shared" si="108"/>
        <v>4546</v>
      </c>
      <c r="Q1051" s="218">
        <f t="shared" si="108"/>
        <v>-17596</v>
      </c>
      <c r="R1051" s="218">
        <f t="shared" si="108"/>
        <v>3055</v>
      </c>
      <c r="S1051" s="218">
        <f t="shared" si="108"/>
        <v>2899</v>
      </c>
      <c r="T1051" s="218">
        <f t="shared" si="108"/>
        <v>2735</v>
      </c>
      <c r="U1051" s="65"/>
      <c r="V1051" s="838"/>
      <c r="W1051" s="838"/>
      <c r="X1051" s="838"/>
      <c r="Y1051" s="838"/>
      <c r="Z1051" s="838"/>
      <c r="AA1051" s="838"/>
      <c r="AB1051" s="838"/>
      <c r="AC1051" s="838"/>
      <c r="AD1051" s="838"/>
      <c r="AE1051" s="838"/>
      <c r="AF1051" s="838"/>
      <c r="AG1051" s="838"/>
      <c r="AH1051" s="838"/>
      <c r="AI1051" s="838"/>
      <c r="AJ1051" s="838"/>
      <c r="AK1051" s="838"/>
    </row>
    <row r="1052" spans="1:37" s="202" customFormat="1" ht="24" customHeight="1">
      <c r="J1052" s="906"/>
      <c r="K1052" s="202" t="s">
        <v>549</v>
      </c>
      <c r="L1052" s="232">
        <f t="shared" ref="L1052:T1052" si="109">L316</f>
        <v>-11067</v>
      </c>
      <c r="M1052" s="232">
        <f t="shared" si="109"/>
        <v>15399</v>
      </c>
      <c r="N1052" s="219">
        <f t="shared" si="109"/>
        <v>-16255</v>
      </c>
      <c r="O1052" s="219">
        <f t="shared" si="109"/>
        <v>-9264</v>
      </c>
      <c r="P1052" s="218">
        <f t="shared" si="109"/>
        <v>-3198</v>
      </c>
      <c r="Q1052" s="218">
        <f t="shared" si="109"/>
        <v>2962</v>
      </c>
      <c r="R1052" s="218">
        <f t="shared" si="109"/>
        <v>5977</v>
      </c>
      <c r="S1052" s="218">
        <f t="shared" si="109"/>
        <v>4381</v>
      </c>
      <c r="T1052" s="218">
        <f t="shared" si="109"/>
        <v>4217</v>
      </c>
      <c r="U1052" s="65"/>
      <c r="V1052" s="838"/>
      <c r="W1052" s="838"/>
      <c r="X1052" s="838"/>
      <c r="Y1052" s="838"/>
      <c r="Z1052" s="838"/>
      <c r="AA1052" s="838"/>
      <c r="AB1052" s="838"/>
      <c r="AC1052" s="838"/>
      <c r="AD1052" s="838"/>
      <c r="AE1052" s="838"/>
      <c r="AF1052" s="838"/>
      <c r="AG1052" s="838"/>
      <c r="AH1052" s="838"/>
      <c r="AI1052" s="838"/>
      <c r="AJ1052" s="838"/>
      <c r="AK1052" s="838"/>
    </row>
    <row r="1053" spans="1:37" s="202" customFormat="1" ht="24" customHeight="1">
      <c r="J1053" s="906"/>
      <c r="K1053" s="202" t="s">
        <v>665</v>
      </c>
      <c r="L1053" s="232">
        <f t="shared" ref="L1053:T1053" si="110">L349</f>
        <v>-37056</v>
      </c>
      <c r="M1053" s="232">
        <f t="shared" si="110"/>
        <v>-90999</v>
      </c>
      <c r="N1053" s="219">
        <f t="shared" si="110"/>
        <v>-262021</v>
      </c>
      <c r="O1053" s="219">
        <f t="shared" si="110"/>
        <v>-207718</v>
      </c>
      <c r="P1053" s="218">
        <f t="shared" si="110"/>
        <v>-155970</v>
      </c>
      <c r="Q1053" s="218">
        <f t="shared" si="110"/>
        <v>-230174</v>
      </c>
      <c r="R1053" s="218">
        <f t="shared" si="110"/>
        <v>-110682</v>
      </c>
      <c r="S1053" s="218">
        <f t="shared" si="110"/>
        <v>-86490</v>
      </c>
      <c r="T1053" s="218">
        <f t="shared" si="110"/>
        <v>-1190</v>
      </c>
      <c r="U1053" s="65"/>
      <c r="V1053" s="838"/>
      <c r="W1053" s="838"/>
      <c r="X1053" s="838"/>
      <c r="Y1053" s="838"/>
      <c r="Z1053" s="838"/>
      <c r="AA1053" s="838"/>
      <c r="AB1053" s="838"/>
      <c r="AC1053" s="838"/>
      <c r="AD1053" s="838"/>
      <c r="AE1053" s="838"/>
      <c r="AF1053" s="838"/>
      <c r="AG1053" s="838"/>
      <c r="AH1053" s="838"/>
      <c r="AI1053" s="838"/>
      <c r="AJ1053" s="838"/>
      <c r="AK1053" s="838"/>
    </row>
    <row r="1054" spans="1:37" s="483" customFormat="1" ht="24" customHeight="1">
      <c r="J1054" s="906"/>
      <c r="K1054" s="202" t="s">
        <v>667</v>
      </c>
      <c r="L1054" s="232">
        <f t="shared" ref="L1054:T1054" si="111">L442</f>
        <v>-1680799</v>
      </c>
      <c r="M1054" s="232">
        <f t="shared" si="111"/>
        <v>-1648379</v>
      </c>
      <c r="N1054" s="219">
        <f t="shared" si="111"/>
        <v>-963761</v>
      </c>
      <c r="O1054" s="219">
        <f t="shared" si="111"/>
        <v>-947771</v>
      </c>
      <c r="P1054" s="218">
        <f t="shared" si="111"/>
        <v>-438576</v>
      </c>
      <c r="Q1054" s="218">
        <f t="shared" si="111"/>
        <v>-43976</v>
      </c>
      <c r="R1054" s="218">
        <f t="shared" si="111"/>
        <v>22194</v>
      </c>
      <c r="S1054" s="218">
        <f t="shared" si="111"/>
        <v>67136</v>
      </c>
      <c r="T1054" s="218">
        <f t="shared" si="111"/>
        <v>-8684</v>
      </c>
      <c r="U1054" s="65"/>
      <c r="V1054" s="838"/>
      <c r="W1054" s="838"/>
      <c r="X1054" s="838"/>
      <c r="Y1054" s="838"/>
      <c r="Z1054" s="838"/>
      <c r="AA1054" s="838"/>
      <c r="AB1054" s="838"/>
      <c r="AC1054" s="838"/>
      <c r="AD1054" s="838"/>
      <c r="AE1054" s="838"/>
      <c r="AF1054" s="838"/>
      <c r="AG1054" s="838"/>
      <c r="AH1054" s="838"/>
      <c r="AI1054" s="838"/>
      <c r="AJ1054" s="838"/>
      <c r="AK1054" s="838"/>
    </row>
    <row r="1055" spans="1:37" s="202" customFormat="1" ht="24" customHeight="1">
      <c r="J1055" s="906"/>
      <c r="K1055" s="778" t="s">
        <v>868</v>
      </c>
      <c r="L1055" s="232">
        <f t="shared" ref="L1055:T1055" si="112">(L448+L450+L451+L454+L455+L468+L456+L457+L467+L465+L459+L460+L464-L479-L496+L474+L487+L488+L475+L458-L483)</f>
        <v>20106</v>
      </c>
      <c r="M1055" s="232">
        <f t="shared" si="112"/>
        <v>0</v>
      </c>
      <c r="N1055" s="233">
        <f t="shared" si="112"/>
        <v>0</v>
      </c>
      <c r="O1055" s="233">
        <f t="shared" si="112"/>
        <v>0</v>
      </c>
      <c r="P1055" s="232">
        <f t="shared" si="112"/>
        <v>6435</v>
      </c>
      <c r="Q1055" s="232">
        <f t="shared" si="112"/>
        <v>-565</v>
      </c>
      <c r="R1055" s="232">
        <f t="shared" si="112"/>
        <v>-565</v>
      </c>
      <c r="S1055" s="232">
        <f t="shared" si="112"/>
        <v>-566</v>
      </c>
      <c r="T1055" s="232">
        <f t="shared" si="112"/>
        <v>-4739</v>
      </c>
      <c r="U1055" s="65"/>
      <c r="V1055" s="838"/>
      <c r="W1055" s="838"/>
      <c r="X1055" s="838"/>
      <c r="Y1055" s="838"/>
      <c r="Z1055" s="838"/>
      <c r="AA1055" s="838"/>
      <c r="AB1055" s="838"/>
      <c r="AC1055" s="838"/>
      <c r="AD1055" s="838"/>
      <c r="AE1055" s="838"/>
      <c r="AF1055" s="838"/>
      <c r="AG1055" s="838"/>
      <c r="AH1055" s="838"/>
      <c r="AI1055" s="838"/>
      <c r="AJ1055" s="838"/>
      <c r="AK1055" s="838"/>
    </row>
    <row r="1056" spans="1:37" s="202" customFormat="1" ht="24" customHeight="1">
      <c r="J1056" s="906"/>
      <c r="K1056" s="202" t="s">
        <v>626</v>
      </c>
      <c r="L1056" s="218">
        <f>L546</f>
        <v>-7842</v>
      </c>
      <c r="M1056" s="218">
        <f t="shared" ref="M1056:T1056" si="113">M546</f>
        <v>0</v>
      </c>
      <c r="N1056" s="219">
        <f t="shared" si="113"/>
        <v>0</v>
      </c>
      <c r="O1056" s="219">
        <f t="shared" si="113"/>
        <v>0</v>
      </c>
      <c r="P1056" s="218">
        <f t="shared" si="113"/>
        <v>0</v>
      </c>
      <c r="Q1056" s="218">
        <f t="shared" si="113"/>
        <v>0</v>
      </c>
      <c r="R1056" s="218">
        <f t="shared" si="113"/>
        <v>0</v>
      </c>
      <c r="S1056" s="218">
        <f t="shared" si="113"/>
        <v>0</v>
      </c>
      <c r="T1056" s="218">
        <f t="shared" si="113"/>
        <v>0</v>
      </c>
      <c r="U1056" s="65"/>
      <c r="V1056" s="838"/>
      <c r="W1056" s="838"/>
      <c r="X1056" s="838"/>
      <c r="Y1056" s="838"/>
      <c r="Z1056" s="838"/>
      <c r="AA1056" s="838"/>
      <c r="AB1056" s="838"/>
      <c r="AC1056" s="838"/>
      <c r="AD1056" s="838"/>
      <c r="AE1056" s="838"/>
      <c r="AF1056" s="838"/>
      <c r="AG1056" s="838"/>
      <c r="AH1056" s="838"/>
      <c r="AI1056" s="838"/>
      <c r="AJ1056" s="838"/>
      <c r="AK1056" s="838"/>
    </row>
    <row r="1057" spans="10:37" s="202" customFormat="1" ht="24" customHeight="1">
      <c r="J1057" s="906"/>
      <c r="K1057" s="202" t="s">
        <v>550</v>
      </c>
      <c r="L1057" s="232">
        <f>L657</f>
        <v>4096296</v>
      </c>
      <c r="M1057" s="232">
        <f t="shared" ref="M1057:T1057" si="114">M657</f>
        <v>-2370144</v>
      </c>
      <c r="N1057" s="219">
        <f t="shared" si="114"/>
        <v>-860736</v>
      </c>
      <c r="O1057" s="219">
        <f t="shared" si="114"/>
        <v>-536136</v>
      </c>
      <c r="P1057" s="218">
        <f t="shared" si="114"/>
        <v>-337853</v>
      </c>
      <c r="Q1057" s="218">
        <f t="shared" si="114"/>
        <v>-671899</v>
      </c>
      <c r="R1057" s="218">
        <f t="shared" si="114"/>
        <v>-162749</v>
      </c>
      <c r="S1057" s="218">
        <f t="shared" si="114"/>
        <v>661992</v>
      </c>
      <c r="T1057" s="218">
        <f t="shared" si="114"/>
        <v>1152381</v>
      </c>
      <c r="U1057" s="65"/>
      <c r="V1057" s="838"/>
      <c r="W1057" s="838"/>
      <c r="X1057" s="838"/>
      <c r="Y1057" s="838"/>
      <c r="Z1057" s="838"/>
      <c r="AA1057" s="838"/>
      <c r="AB1057" s="838"/>
      <c r="AC1057" s="838"/>
      <c r="AD1057" s="838"/>
      <c r="AE1057" s="838"/>
      <c r="AF1057" s="838"/>
      <c r="AG1057" s="838"/>
      <c r="AH1057" s="838"/>
      <c r="AI1057" s="838"/>
      <c r="AJ1057" s="838"/>
      <c r="AK1057" s="838"/>
    </row>
    <row r="1058" spans="10:37" s="202" customFormat="1" ht="24" customHeight="1">
      <c r="J1058" s="906"/>
      <c r="K1058" s="202" t="s">
        <v>551</v>
      </c>
      <c r="L1058" s="232">
        <f>L742</f>
        <v>-258727</v>
      </c>
      <c r="M1058" s="232">
        <f t="shared" ref="M1058:T1058" si="115">M742</f>
        <v>-192843</v>
      </c>
      <c r="N1058" s="219">
        <f t="shared" si="115"/>
        <v>-401058</v>
      </c>
      <c r="O1058" s="219">
        <f t="shared" si="115"/>
        <v>-43302</v>
      </c>
      <c r="P1058" s="218">
        <f t="shared" si="115"/>
        <v>-628963</v>
      </c>
      <c r="Q1058" s="218">
        <f t="shared" si="115"/>
        <v>-159897</v>
      </c>
      <c r="R1058" s="218">
        <f t="shared" si="115"/>
        <v>-25025</v>
      </c>
      <c r="S1058" s="218">
        <f t="shared" si="115"/>
        <v>139646</v>
      </c>
      <c r="T1058" s="218">
        <f t="shared" si="115"/>
        <v>591817</v>
      </c>
      <c r="U1058" s="65"/>
      <c r="V1058" s="838"/>
      <c r="W1058" s="838"/>
      <c r="X1058" s="838"/>
      <c r="Y1058" s="838"/>
      <c r="Z1058" s="838"/>
      <c r="AA1058" s="838"/>
      <c r="AB1058" s="838"/>
      <c r="AC1058" s="838"/>
      <c r="AD1058" s="838"/>
      <c r="AE1058" s="838"/>
      <c r="AF1058" s="838"/>
      <c r="AG1058" s="838"/>
      <c r="AH1058" s="838"/>
      <c r="AI1058" s="838"/>
      <c r="AJ1058" s="838"/>
      <c r="AK1058" s="838"/>
    </row>
    <row r="1059" spans="10:37" s="202" customFormat="1" ht="24" customHeight="1">
      <c r="J1059" s="906"/>
      <c r="K1059" s="202" t="s">
        <v>552</v>
      </c>
      <c r="L1059" s="232">
        <f>L785</f>
        <v>94888</v>
      </c>
      <c r="M1059" s="232">
        <f t="shared" ref="M1059:T1059" si="116">M785</f>
        <v>37998</v>
      </c>
      <c r="N1059" s="219">
        <f t="shared" si="116"/>
        <v>-271855</v>
      </c>
      <c r="O1059" s="219">
        <f t="shared" si="116"/>
        <v>-437069</v>
      </c>
      <c r="P1059" s="218">
        <f t="shared" si="116"/>
        <v>249113</v>
      </c>
      <c r="Q1059" s="218">
        <f t="shared" si="116"/>
        <v>-38362</v>
      </c>
      <c r="R1059" s="218">
        <f t="shared" si="116"/>
        <v>0</v>
      </c>
      <c r="S1059" s="218">
        <f t="shared" si="116"/>
        <v>0</v>
      </c>
      <c r="T1059" s="218">
        <f t="shared" si="116"/>
        <v>-24000</v>
      </c>
      <c r="U1059" s="65"/>
      <c r="V1059" s="838"/>
      <c r="W1059" s="838"/>
      <c r="X1059" s="838"/>
      <c r="Y1059" s="838"/>
      <c r="Z1059" s="838"/>
      <c r="AA1059" s="838"/>
      <c r="AB1059" s="838"/>
      <c r="AC1059" s="838"/>
      <c r="AD1059" s="838"/>
      <c r="AE1059" s="838"/>
      <c r="AF1059" s="838"/>
      <c r="AG1059" s="838"/>
      <c r="AH1059" s="838"/>
      <c r="AI1059" s="838"/>
      <c r="AJ1059" s="838"/>
      <c r="AK1059" s="838"/>
    </row>
    <row r="1060" spans="10:37" s="202" customFormat="1" ht="24" customHeight="1">
      <c r="J1060" s="284"/>
      <c r="K1060" s="202" t="s">
        <v>475</v>
      </c>
      <c r="L1060" s="232">
        <f t="shared" ref="L1060:T1060" si="117">L997</f>
        <v>54873</v>
      </c>
      <c r="M1060" s="232">
        <f t="shared" si="117"/>
        <v>54193</v>
      </c>
      <c r="N1060" s="219">
        <f t="shared" si="117"/>
        <v>61484</v>
      </c>
      <c r="O1060" s="219">
        <f t="shared" si="117"/>
        <v>35257</v>
      </c>
      <c r="P1060" s="218">
        <f t="shared" si="117"/>
        <v>-616846</v>
      </c>
      <c r="Q1060" s="218">
        <f t="shared" si="117"/>
        <v>45138</v>
      </c>
      <c r="R1060" s="218">
        <f t="shared" si="117"/>
        <v>220198</v>
      </c>
      <c r="S1060" s="218">
        <f t="shared" si="117"/>
        <v>232461</v>
      </c>
      <c r="T1060" s="218">
        <f t="shared" si="117"/>
        <v>246656</v>
      </c>
      <c r="U1060" s="65"/>
      <c r="V1060" s="838"/>
      <c r="W1060" s="838"/>
      <c r="X1060" s="838"/>
      <c r="Y1060" s="838"/>
      <c r="Z1060" s="838"/>
      <c r="AA1060" s="838"/>
      <c r="AB1060" s="838"/>
      <c r="AC1060" s="838"/>
      <c r="AD1060" s="838"/>
      <c r="AE1060" s="838"/>
      <c r="AF1060" s="838"/>
      <c r="AG1060" s="838"/>
      <c r="AH1060" s="838"/>
      <c r="AI1060" s="838"/>
      <c r="AJ1060" s="838"/>
      <c r="AK1060" s="838"/>
    </row>
    <row r="1061" spans="10:37" s="202" customFormat="1" ht="24" customHeight="1">
      <c r="J1061" s="284"/>
      <c r="K1061" s="202" t="s">
        <v>479</v>
      </c>
      <c r="L1061" s="232">
        <f t="shared" ref="L1061:T1061" si="118">L1026</f>
        <v>14609</v>
      </c>
      <c r="M1061" s="232">
        <f t="shared" si="118"/>
        <v>-156147</v>
      </c>
      <c r="N1061" s="219">
        <f t="shared" si="118"/>
        <v>-1062742</v>
      </c>
      <c r="O1061" s="219">
        <f t="shared" si="118"/>
        <v>-1003129</v>
      </c>
      <c r="P1061" s="218">
        <f t="shared" si="118"/>
        <v>-288707</v>
      </c>
      <c r="Q1061" s="218">
        <f t="shared" si="118"/>
        <v>-405095</v>
      </c>
      <c r="R1061" s="218">
        <f t="shared" si="118"/>
        <v>-212153</v>
      </c>
      <c r="S1061" s="218">
        <f t="shared" si="118"/>
        <v>-201037</v>
      </c>
      <c r="T1061" s="218">
        <f t="shared" si="118"/>
        <v>9994</v>
      </c>
      <c r="U1061" s="65"/>
      <c r="V1061" s="838"/>
      <c r="W1061" s="838"/>
      <c r="X1061" s="838"/>
      <c r="Y1061" s="838"/>
      <c r="Z1061" s="838"/>
      <c r="AA1061" s="838"/>
      <c r="AB1061" s="838"/>
      <c r="AC1061" s="838"/>
      <c r="AD1061" s="838"/>
      <c r="AE1061" s="838"/>
      <c r="AF1061" s="838"/>
      <c r="AG1061" s="838"/>
      <c r="AH1061" s="838"/>
      <c r="AI1061" s="838"/>
      <c r="AJ1061" s="838"/>
      <c r="AK1061" s="838"/>
    </row>
    <row r="1062" spans="10:37" s="714" customFormat="1" ht="24" customHeight="1">
      <c r="J1062" s="284"/>
      <c r="K1062" s="714" t="s">
        <v>1330</v>
      </c>
      <c r="L1062" s="248">
        <f>L1044</f>
        <v>0</v>
      </c>
      <c r="M1062" s="248">
        <f t="shared" ref="M1062:T1062" si="119">M1044</f>
        <v>0</v>
      </c>
      <c r="N1062" s="249">
        <f t="shared" si="119"/>
        <v>0</v>
      </c>
      <c r="O1062" s="249">
        <f t="shared" si="119"/>
        <v>0</v>
      </c>
      <c r="P1062" s="248">
        <f t="shared" si="119"/>
        <v>-10000</v>
      </c>
      <c r="Q1062" s="248">
        <f t="shared" si="119"/>
        <v>0</v>
      </c>
      <c r="R1062" s="248">
        <f t="shared" si="119"/>
        <v>0</v>
      </c>
      <c r="S1062" s="248">
        <f t="shared" si="119"/>
        <v>0</v>
      </c>
      <c r="T1062" s="248">
        <f t="shared" si="119"/>
        <v>0</v>
      </c>
      <c r="U1062" s="65"/>
      <c r="V1062" s="838"/>
      <c r="W1062" s="838"/>
      <c r="X1062" s="838"/>
      <c r="Y1062" s="838"/>
      <c r="Z1062" s="838"/>
      <c r="AA1062" s="838"/>
      <c r="AB1062" s="838"/>
      <c r="AC1062" s="838"/>
      <c r="AD1062" s="838"/>
      <c r="AE1062" s="838"/>
      <c r="AF1062" s="838"/>
      <c r="AG1062" s="838"/>
      <c r="AH1062" s="838"/>
      <c r="AI1062" s="838"/>
      <c r="AJ1062" s="838"/>
      <c r="AK1062" s="838"/>
    </row>
    <row r="1063" spans="10:37" s="202" customFormat="1" ht="24" customHeight="1">
      <c r="L1063" s="232"/>
      <c r="M1063" s="232"/>
      <c r="N1063" s="219"/>
      <c r="O1063" s="219"/>
      <c r="P1063" s="218"/>
      <c r="Q1063" s="218"/>
      <c r="R1063" s="218"/>
      <c r="S1063" s="218"/>
      <c r="T1063" s="218"/>
      <c r="U1063" s="65"/>
      <c r="V1063" s="838"/>
      <c r="W1063" s="838"/>
      <c r="X1063" s="838"/>
      <c r="Y1063" s="838"/>
      <c r="Z1063" s="838"/>
      <c r="AA1063" s="838"/>
      <c r="AB1063" s="838"/>
      <c r="AC1063" s="838"/>
      <c r="AD1063" s="838"/>
      <c r="AE1063" s="838"/>
      <c r="AF1063" s="838"/>
      <c r="AG1063" s="838"/>
      <c r="AH1063" s="838"/>
      <c r="AI1063" s="838"/>
      <c r="AJ1063" s="838"/>
      <c r="AK1063" s="838"/>
    </row>
    <row r="1064" spans="10:37" s="267" customFormat="1" ht="24" customHeight="1">
      <c r="L1064" s="237">
        <f t="shared" ref="L1064:T1064" si="120">SUM(L1050:L1063)</f>
        <v>3131687</v>
      </c>
      <c r="M1064" s="237">
        <f t="shared" si="120"/>
        <v>-3810017</v>
      </c>
      <c r="N1064" s="221">
        <f t="shared" si="120"/>
        <v>-4374903</v>
      </c>
      <c r="O1064" s="221">
        <f t="shared" si="120"/>
        <v>-3594559</v>
      </c>
      <c r="P1064" s="220">
        <f t="shared" si="120"/>
        <v>-2529237</v>
      </c>
      <c r="Q1064" s="220">
        <f t="shared" si="120"/>
        <v>-1823412</v>
      </c>
      <c r="R1064" s="220">
        <f t="shared" si="120"/>
        <v>-575329</v>
      </c>
      <c r="S1064" s="220">
        <f t="shared" si="120"/>
        <v>-115290</v>
      </c>
      <c r="T1064" s="220">
        <f t="shared" si="120"/>
        <v>679882</v>
      </c>
      <c r="U1064" s="65"/>
    </row>
    <row r="1065" spans="10:37" s="202" customFormat="1" ht="24" customHeight="1">
      <c r="L1065" s="218"/>
      <c r="M1065" s="218"/>
      <c r="N1065" s="219"/>
      <c r="O1065" s="219"/>
      <c r="P1065" s="218"/>
      <c r="Q1065" s="218"/>
      <c r="R1065" s="218"/>
      <c r="S1065" s="218"/>
      <c r="T1065" s="218"/>
      <c r="U1065" s="65"/>
      <c r="V1065" s="880"/>
      <c r="W1065" s="880"/>
      <c r="X1065" s="880"/>
      <c r="Y1065" s="880"/>
      <c r="Z1065" s="880"/>
      <c r="AA1065" s="300"/>
      <c r="AB1065" s="838"/>
      <c r="AC1065" s="838"/>
      <c r="AD1065" s="838"/>
      <c r="AE1065" s="838"/>
      <c r="AF1065" s="838"/>
      <c r="AG1065" s="838"/>
      <c r="AH1065" s="838"/>
      <c r="AI1065" s="838"/>
      <c r="AJ1065" s="838"/>
      <c r="AK1065" s="838"/>
    </row>
    <row r="1066" spans="10:37" s="337" customFormat="1" ht="24" customHeight="1">
      <c r="K1066" s="338" t="s">
        <v>804</v>
      </c>
      <c r="L1066" s="339"/>
      <c r="M1066" s="339"/>
      <c r="N1066" s="340"/>
      <c r="O1066" s="340"/>
      <c r="P1066" s="339"/>
      <c r="Q1066" s="339"/>
      <c r="R1066" s="339"/>
      <c r="S1066" s="339"/>
      <c r="T1066" s="339"/>
      <c r="U1066" s="806"/>
      <c r="V1066" s="876"/>
      <c r="W1066" s="876"/>
      <c r="X1066" s="876"/>
      <c r="Y1066" s="876"/>
      <c r="Z1066" s="876"/>
      <c r="AA1066" s="691"/>
    </row>
    <row r="1067" spans="10:37" s="202" customFormat="1" ht="24" customHeight="1">
      <c r="J1067" s="906" t="s">
        <v>924</v>
      </c>
      <c r="K1067" s="202" t="s">
        <v>547</v>
      </c>
      <c r="L1067" s="232">
        <f t="shared" ref="L1067:T1067" si="121">L282</f>
        <v>5691706</v>
      </c>
      <c r="M1067" s="232">
        <f t="shared" si="121"/>
        <v>6214089</v>
      </c>
      <c r="N1067" s="219">
        <f t="shared" si="121"/>
        <v>5383778</v>
      </c>
      <c r="O1067" s="219">
        <f t="shared" si="121"/>
        <v>5777996</v>
      </c>
      <c r="P1067" s="218">
        <f t="shared" si="121"/>
        <v>5468778</v>
      </c>
      <c r="Q1067" s="218">
        <f t="shared" si="121"/>
        <v>5164830</v>
      </c>
      <c r="R1067" s="218">
        <f t="shared" si="121"/>
        <v>4849251</v>
      </c>
      <c r="S1067" s="218">
        <f t="shared" si="121"/>
        <v>3913539</v>
      </c>
      <c r="T1067" s="218">
        <f t="shared" si="121"/>
        <v>2624234</v>
      </c>
      <c r="U1067" s="65"/>
      <c r="V1067" s="392"/>
      <c r="W1067" s="392"/>
      <c r="X1067" s="392"/>
      <c r="Y1067" s="392"/>
      <c r="Z1067" s="607"/>
      <c r="AA1067" s="607"/>
      <c r="AB1067" s="267"/>
      <c r="AC1067" s="838"/>
      <c r="AD1067" s="838"/>
      <c r="AE1067" s="838"/>
      <c r="AF1067" s="838"/>
      <c r="AG1067" s="838"/>
      <c r="AH1067" s="838"/>
      <c r="AI1067" s="838"/>
      <c r="AJ1067" s="838"/>
      <c r="AK1067" s="838"/>
    </row>
    <row r="1068" spans="10:37" s="202" customFormat="1" ht="24" customHeight="1">
      <c r="J1068" s="906"/>
      <c r="K1068" s="202" t="s">
        <v>548</v>
      </c>
      <c r="L1068" s="232">
        <f t="shared" ref="L1068:T1068" si="122">L300</f>
        <v>-3780</v>
      </c>
      <c r="M1068" s="232">
        <f t="shared" si="122"/>
        <v>14742</v>
      </c>
      <c r="N1068" s="219">
        <f t="shared" si="122"/>
        <v>-21485</v>
      </c>
      <c r="O1068" s="219">
        <f t="shared" si="122"/>
        <v>5408</v>
      </c>
      <c r="P1068" s="218">
        <f t="shared" si="122"/>
        <v>9954</v>
      </c>
      <c r="Q1068" s="218">
        <f t="shared" si="122"/>
        <v>-7642</v>
      </c>
      <c r="R1068" s="218">
        <f t="shared" si="122"/>
        <v>-4587</v>
      </c>
      <c r="S1068" s="218">
        <f t="shared" si="122"/>
        <v>-1688</v>
      </c>
      <c r="T1068" s="218">
        <f t="shared" si="122"/>
        <v>1047</v>
      </c>
      <c r="U1068" s="65"/>
      <c r="V1068" s="392"/>
      <c r="W1068" s="392"/>
      <c r="X1068" s="392"/>
      <c r="Y1068" s="392"/>
      <c r="Z1068" s="607"/>
      <c r="AA1068" s="300"/>
      <c r="AB1068" s="838"/>
      <c r="AC1068" s="838"/>
      <c r="AD1068" s="838"/>
      <c r="AE1068" s="838"/>
      <c r="AF1068" s="838"/>
      <c r="AG1068" s="838"/>
      <c r="AH1068" s="838"/>
      <c r="AI1068" s="838"/>
      <c r="AJ1068" s="838"/>
      <c r="AK1068" s="838"/>
    </row>
    <row r="1069" spans="10:37" s="202" customFormat="1" ht="24" customHeight="1">
      <c r="J1069" s="906"/>
      <c r="K1069" s="202" t="s">
        <v>549</v>
      </c>
      <c r="L1069" s="232">
        <f t="shared" ref="L1069:T1069" si="123">L318</f>
        <v>-31175</v>
      </c>
      <c r="M1069" s="232">
        <f t="shared" si="123"/>
        <v>-15774</v>
      </c>
      <c r="N1069" s="219">
        <f t="shared" si="123"/>
        <v>-35099</v>
      </c>
      <c r="O1069" s="219">
        <f t="shared" si="123"/>
        <v>-25038</v>
      </c>
      <c r="P1069" s="218">
        <f t="shared" si="123"/>
        <v>-28236</v>
      </c>
      <c r="Q1069" s="218">
        <f t="shared" si="123"/>
        <v>-25274</v>
      </c>
      <c r="R1069" s="218">
        <f t="shared" si="123"/>
        <v>-19297</v>
      </c>
      <c r="S1069" s="218">
        <f t="shared" si="123"/>
        <v>-14916</v>
      </c>
      <c r="T1069" s="218">
        <f t="shared" si="123"/>
        <v>-10699</v>
      </c>
      <c r="U1069" s="65"/>
      <c r="V1069" s="392"/>
      <c r="W1069" s="392"/>
      <c r="X1069" s="392"/>
      <c r="Y1069" s="392"/>
      <c r="Z1069" s="607"/>
      <c r="AA1069" s="300"/>
      <c r="AB1069" s="838"/>
      <c r="AC1069" s="838"/>
      <c r="AD1069" s="838"/>
      <c r="AE1069" s="838"/>
      <c r="AF1069" s="838"/>
      <c r="AG1069" s="838"/>
      <c r="AH1069" s="838"/>
      <c r="AI1069" s="838"/>
      <c r="AJ1069" s="838"/>
      <c r="AK1069" s="838"/>
    </row>
    <row r="1070" spans="10:37" s="202" customFormat="1" ht="24" customHeight="1">
      <c r="J1070" s="906"/>
      <c r="K1070" s="202" t="s">
        <v>665</v>
      </c>
      <c r="L1070" s="232">
        <f t="shared" ref="L1070:T1070" si="124">L351</f>
        <v>883223</v>
      </c>
      <c r="M1070" s="232">
        <f t="shared" si="124"/>
        <v>792224</v>
      </c>
      <c r="N1070" s="219">
        <f t="shared" si="124"/>
        <v>438871</v>
      </c>
      <c r="O1070" s="219">
        <f t="shared" si="124"/>
        <v>584506</v>
      </c>
      <c r="P1070" s="218">
        <f t="shared" si="124"/>
        <v>428536</v>
      </c>
      <c r="Q1070" s="218">
        <f t="shared" si="124"/>
        <v>198362</v>
      </c>
      <c r="R1070" s="218">
        <f t="shared" si="124"/>
        <v>87680</v>
      </c>
      <c r="S1070" s="218">
        <f t="shared" si="124"/>
        <v>1190</v>
      </c>
      <c r="T1070" s="218">
        <f t="shared" si="124"/>
        <v>0</v>
      </c>
      <c r="U1070" s="65"/>
      <c r="V1070" s="392"/>
      <c r="W1070" s="392"/>
      <c r="X1070" s="392"/>
      <c r="Y1070" s="392"/>
      <c r="Z1070" s="607"/>
      <c r="AA1070" s="300"/>
      <c r="AB1070" s="838"/>
      <c r="AC1070" s="838"/>
      <c r="AD1070" s="838"/>
      <c r="AE1070" s="838"/>
      <c r="AF1070" s="838"/>
      <c r="AG1070" s="838"/>
      <c r="AH1070" s="838"/>
      <c r="AI1070" s="838"/>
      <c r="AJ1070" s="838"/>
      <c r="AK1070" s="838"/>
    </row>
    <row r="1071" spans="10:37" s="483" customFormat="1" ht="24" customHeight="1">
      <c r="J1071" s="906"/>
      <c r="K1071" s="202" t="s">
        <v>667</v>
      </c>
      <c r="L1071" s="232">
        <f t="shared" ref="L1071:T1071" si="125">L444</f>
        <v>3003908</v>
      </c>
      <c r="M1071" s="232">
        <f t="shared" si="125"/>
        <v>1355530</v>
      </c>
      <c r="N1071" s="219">
        <f t="shared" si="125"/>
        <v>144741</v>
      </c>
      <c r="O1071" s="219">
        <f t="shared" si="125"/>
        <v>407759</v>
      </c>
      <c r="P1071" s="218">
        <f t="shared" si="125"/>
        <v>-30817</v>
      </c>
      <c r="Q1071" s="218">
        <f t="shared" si="125"/>
        <v>-74793</v>
      </c>
      <c r="R1071" s="218">
        <f t="shared" si="125"/>
        <v>-52599</v>
      </c>
      <c r="S1071" s="218">
        <f t="shared" si="125"/>
        <v>14537</v>
      </c>
      <c r="T1071" s="218">
        <f t="shared" si="125"/>
        <v>5853</v>
      </c>
      <c r="U1071" s="65"/>
      <c r="V1071" s="392"/>
      <c r="W1071" s="392"/>
      <c r="X1071" s="392"/>
      <c r="Y1071" s="392"/>
      <c r="Z1071" s="607"/>
      <c r="AA1071" s="300"/>
      <c r="AB1071" s="838"/>
      <c r="AC1071" s="838"/>
      <c r="AD1071" s="838"/>
      <c r="AE1071" s="838"/>
      <c r="AF1071" s="838"/>
      <c r="AG1071" s="838"/>
      <c r="AH1071" s="838"/>
      <c r="AI1071" s="838"/>
      <c r="AJ1071" s="838"/>
      <c r="AK1071" s="838"/>
    </row>
    <row r="1072" spans="10:37" s="202" customFormat="1" ht="24" customHeight="1">
      <c r="J1072" s="906"/>
      <c r="K1072" s="778" t="s">
        <v>868</v>
      </c>
      <c r="L1072" s="232">
        <f>L515+L519+L517</f>
        <v>0</v>
      </c>
      <c r="M1072" s="232">
        <f t="shared" ref="M1072:T1072" si="126">M515+M519+M517</f>
        <v>0</v>
      </c>
      <c r="N1072" s="233">
        <f t="shared" si="126"/>
        <v>0</v>
      </c>
      <c r="O1072" s="233">
        <f t="shared" si="126"/>
        <v>0</v>
      </c>
      <c r="P1072" s="232">
        <f t="shared" si="126"/>
        <v>6435</v>
      </c>
      <c r="Q1072" s="232">
        <f t="shared" si="126"/>
        <v>5870</v>
      </c>
      <c r="R1072" s="232">
        <f t="shared" si="126"/>
        <v>5305</v>
      </c>
      <c r="S1072" s="232">
        <f t="shared" si="126"/>
        <v>4739</v>
      </c>
      <c r="T1072" s="232">
        <f t="shared" si="126"/>
        <v>0</v>
      </c>
      <c r="U1072" s="65"/>
      <c r="V1072" s="392"/>
      <c r="W1072" s="392"/>
      <c r="X1072" s="392"/>
      <c r="Y1072" s="392"/>
      <c r="Z1072" s="607"/>
      <c r="AA1072" s="300"/>
      <c r="AB1072" s="838"/>
      <c r="AC1072" s="838"/>
      <c r="AD1072" s="838"/>
      <c r="AE1072" s="838"/>
      <c r="AF1072" s="838"/>
      <c r="AG1072" s="838"/>
      <c r="AH1072" s="838"/>
      <c r="AI1072" s="838"/>
      <c r="AJ1072" s="838"/>
      <c r="AK1072" s="838"/>
    </row>
    <row r="1073" spans="1:85" s="202" customFormat="1" ht="24" customHeight="1">
      <c r="J1073" s="906"/>
      <c r="K1073" s="202" t="s">
        <v>626</v>
      </c>
      <c r="L1073" s="218">
        <f>L548</f>
        <v>0</v>
      </c>
      <c r="M1073" s="218">
        <f t="shared" ref="M1073:T1073" si="127">M548</f>
        <v>0</v>
      </c>
      <c r="N1073" s="219">
        <f t="shared" si="127"/>
        <v>0</v>
      </c>
      <c r="O1073" s="219">
        <f t="shared" si="127"/>
        <v>0</v>
      </c>
      <c r="P1073" s="218">
        <f t="shared" si="127"/>
        <v>0</v>
      </c>
      <c r="Q1073" s="218">
        <f t="shared" si="127"/>
        <v>0</v>
      </c>
      <c r="R1073" s="218">
        <f t="shared" si="127"/>
        <v>0</v>
      </c>
      <c r="S1073" s="218">
        <f t="shared" si="127"/>
        <v>0</v>
      </c>
      <c r="T1073" s="218">
        <f t="shared" si="127"/>
        <v>0</v>
      </c>
      <c r="U1073" s="65"/>
      <c r="V1073" s="392"/>
      <c r="W1073" s="392"/>
      <c r="X1073" s="392"/>
      <c r="Y1073" s="392"/>
      <c r="Z1073" s="607"/>
      <c r="AA1073" s="300"/>
      <c r="AB1073" s="838"/>
      <c r="AC1073" s="838"/>
      <c r="AD1073" s="838"/>
      <c r="AE1073" s="838"/>
      <c r="AF1073" s="838"/>
      <c r="AG1073" s="838"/>
      <c r="AH1073" s="838"/>
      <c r="AI1073" s="838"/>
      <c r="AJ1073" s="838"/>
      <c r="AK1073" s="838"/>
    </row>
    <row r="1074" spans="1:85" s="202" customFormat="1" ht="24" customHeight="1">
      <c r="J1074" s="906"/>
      <c r="K1074" s="202" t="s">
        <v>550</v>
      </c>
      <c r="L1074" s="232">
        <f>L659</f>
        <v>5196289</v>
      </c>
      <c r="M1074" s="232">
        <f t="shared" ref="M1074:T1074" si="128">M659</f>
        <v>2826144</v>
      </c>
      <c r="N1074" s="219">
        <f t="shared" si="128"/>
        <v>2285570</v>
      </c>
      <c r="O1074" s="219">
        <f t="shared" si="128"/>
        <v>2290008</v>
      </c>
      <c r="P1074" s="218">
        <f t="shared" si="128"/>
        <v>1952155</v>
      </c>
      <c r="Q1074" s="218">
        <f t="shared" si="128"/>
        <v>1280256</v>
      </c>
      <c r="R1074" s="218">
        <f t="shared" si="128"/>
        <v>1117507</v>
      </c>
      <c r="S1074" s="218">
        <f t="shared" si="128"/>
        <v>1779499</v>
      </c>
      <c r="T1074" s="218">
        <f t="shared" si="128"/>
        <v>2931880</v>
      </c>
      <c r="U1074" s="65"/>
      <c r="V1074" s="392"/>
      <c r="W1074" s="392"/>
      <c r="X1074" s="392"/>
      <c r="Y1074" s="392"/>
      <c r="Z1074" s="607"/>
      <c r="AA1074" s="300"/>
      <c r="AB1074" s="838"/>
      <c r="AC1074" s="838"/>
      <c r="AD1074" s="838"/>
      <c r="AE1074" s="838"/>
      <c r="AF1074" s="838"/>
      <c r="AG1074" s="838"/>
      <c r="AH1074" s="838"/>
      <c r="AI1074" s="838"/>
      <c r="AJ1074" s="838"/>
      <c r="AK1074" s="838"/>
    </row>
    <row r="1075" spans="1:85" s="202" customFormat="1" ht="24" customHeight="1">
      <c r="J1075" s="906"/>
      <c r="K1075" s="202" t="s">
        <v>551</v>
      </c>
      <c r="L1075" s="232">
        <f>L744</f>
        <v>1570874</v>
      </c>
      <c r="M1075" s="232">
        <f t="shared" ref="M1075:T1075" si="129">M744</f>
        <v>1378030</v>
      </c>
      <c r="N1075" s="219">
        <f t="shared" si="129"/>
        <v>913772</v>
      </c>
      <c r="O1075" s="219">
        <f t="shared" si="129"/>
        <v>1334728</v>
      </c>
      <c r="P1075" s="218">
        <f t="shared" si="129"/>
        <v>705765</v>
      </c>
      <c r="Q1075" s="218">
        <f t="shared" si="129"/>
        <v>545868</v>
      </c>
      <c r="R1075" s="218">
        <f t="shared" si="129"/>
        <v>520843</v>
      </c>
      <c r="S1075" s="218">
        <f t="shared" si="129"/>
        <v>660489</v>
      </c>
      <c r="T1075" s="218">
        <f t="shared" si="129"/>
        <v>1252306</v>
      </c>
      <c r="U1075" s="65"/>
      <c r="V1075" s="392"/>
      <c r="W1075" s="392"/>
      <c r="X1075" s="392"/>
      <c r="Y1075" s="392"/>
      <c r="Z1075" s="607"/>
      <c r="AA1075" s="300"/>
      <c r="AB1075" s="838"/>
      <c r="AC1075" s="838"/>
      <c r="AD1075" s="838"/>
      <c r="AE1075" s="838"/>
      <c r="AF1075" s="838"/>
      <c r="AG1075" s="838"/>
      <c r="AH1075" s="838"/>
      <c r="AI1075" s="838"/>
      <c r="AJ1075" s="838"/>
      <c r="AK1075" s="838"/>
    </row>
    <row r="1076" spans="1:85" s="202" customFormat="1" ht="24" customHeight="1">
      <c r="J1076" s="906"/>
      <c r="K1076" s="202" t="s">
        <v>552</v>
      </c>
      <c r="L1076" s="232">
        <f>L787</f>
        <v>212318</v>
      </c>
      <c r="M1076" s="232">
        <f t="shared" ref="M1076:T1076" si="130">M787</f>
        <v>250318</v>
      </c>
      <c r="N1076" s="219">
        <f t="shared" si="130"/>
        <v>56726</v>
      </c>
      <c r="O1076" s="219">
        <f t="shared" si="130"/>
        <v>-186751</v>
      </c>
      <c r="P1076" s="218">
        <f t="shared" si="130"/>
        <v>62362</v>
      </c>
      <c r="Q1076" s="218">
        <f t="shared" si="130"/>
        <v>24000</v>
      </c>
      <c r="R1076" s="218">
        <f t="shared" si="130"/>
        <v>24000</v>
      </c>
      <c r="S1076" s="218">
        <f t="shared" si="130"/>
        <v>24000</v>
      </c>
      <c r="T1076" s="218">
        <f t="shared" si="130"/>
        <v>0</v>
      </c>
      <c r="U1076" s="65"/>
      <c r="V1076" s="392"/>
      <c r="W1076" s="392"/>
      <c r="X1076" s="392"/>
      <c r="Y1076" s="392"/>
      <c r="Z1076" s="607"/>
      <c r="AA1076" s="300"/>
      <c r="AB1076" s="838"/>
      <c r="AC1076" s="838"/>
      <c r="AD1076" s="838"/>
      <c r="AE1076" s="838"/>
      <c r="AF1076" s="838"/>
      <c r="AG1076" s="838"/>
      <c r="AH1076" s="838"/>
      <c r="AI1076" s="838"/>
      <c r="AJ1076" s="838"/>
      <c r="AK1076" s="838"/>
    </row>
    <row r="1077" spans="1:85" s="202" customFormat="1" ht="24" customHeight="1">
      <c r="J1077" s="284"/>
      <c r="K1077" s="202" t="s">
        <v>475</v>
      </c>
      <c r="L1077" s="232">
        <f t="shared" ref="L1077:T1077" si="131">L999</f>
        <v>-549946</v>
      </c>
      <c r="M1077" s="232">
        <f t="shared" si="131"/>
        <v>-495754</v>
      </c>
      <c r="N1077" s="219">
        <f t="shared" si="131"/>
        <v>-434861</v>
      </c>
      <c r="O1077" s="219">
        <f t="shared" si="131"/>
        <v>-460497</v>
      </c>
      <c r="P1077" s="218">
        <f t="shared" si="131"/>
        <v>-1077343</v>
      </c>
      <c r="Q1077" s="218">
        <f t="shared" si="131"/>
        <v>-1032205</v>
      </c>
      <c r="R1077" s="218">
        <f t="shared" si="131"/>
        <v>-812007</v>
      </c>
      <c r="S1077" s="218">
        <f t="shared" si="131"/>
        <v>-579546</v>
      </c>
      <c r="T1077" s="218">
        <f t="shared" si="131"/>
        <v>-332890</v>
      </c>
      <c r="U1077" s="65"/>
      <c r="V1077" s="392"/>
      <c r="W1077" s="392"/>
      <c r="X1077" s="392"/>
      <c r="Y1077" s="392"/>
      <c r="Z1077" s="607"/>
      <c r="AA1077" s="300"/>
      <c r="AB1077" s="838"/>
      <c r="AC1077" s="838"/>
      <c r="AD1077" s="838"/>
      <c r="AE1077" s="838"/>
      <c r="AF1077" s="838"/>
      <c r="AG1077" s="838"/>
      <c r="AH1077" s="838"/>
      <c r="AI1077" s="838"/>
      <c r="AJ1077" s="838"/>
      <c r="AK1077" s="838"/>
    </row>
    <row r="1078" spans="1:85" s="202" customFormat="1" ht="24" customHeight="1">
      <c r="J1078" s="284"/>
      <c r="K1078" s="202" t="s">
        <v>479</v>
      </c>
      <c r="L1078" s="232">
        <f t="shared" ref="L1078:T1078" si="132">L1028</f>
        <v>253703</v>
      </c>
      <c r="M1078" s="232">
        <f t="shared" si="132"/>
        <v>97556</v>
      </c>
      <c r="N1078" s="219">
        <f t="shared" si="132"/>
        <v>-681353</v>
      </c>
      <c r="O1078" s="219">
        <f t="shared" si="132"/>
        <v>-905573</v>
      </c>
      <c r="P1078" s="218">
        <f t="shared" si="132"/>
        <v>-1194280</v>
      </c>
      <c r="Q1078" s="218">
        <f t="shared" si="132"/>
        <v>-1599375</v>
      </c>
      <c r="R1078" s="218">
        <f t="shared" si="132"/>
        <v>-1811528</v>
      </c>
      <c r="S1078" s="218">
        <f t="shared" si="132"/>
        <v>-2012565</v>
      </c>
      <c r="T1078" s="218">
        <f t="shared" si="132"/>
        <v>-2002571</v>
      </c>
      <c r="U1078" s="65"/>
      <c r="V1078" s="392"/>
      <c r="W1078" s="392"/>
      <c r="X1078" s="392"/>
      <c r="Y1078" s="392"/>
      <c r="Z1078" s="607"/>
      <c r="AA1078" s="300"/>
      <c r="AB1078" s="838"/>
      <c r="AC1078" s="838"/>
      <c r="AD1078" s="838"/>
      <c r="AE1078" s="838"/>
      <c r="AF1078" s="838"/>
      <c r="AG1078" s="838"/>
      <c r="AH1078" s="838"/>
      <c r="AI1078" s="838"/>
      <c r="AJ1078" s="838"/>
      <c r="AK1078" s="838"/>
    </row>
    <row r="1079" spans="1:85" s="714" customFormat="1" ht="24" customHeight="1">
      <c r="J1079" s="284"/>
      <c r="K1079" s="714" t="s">
        <v>1330</v>
      </c>
      <c r="L1079" s="248">
        <f>L1046</f>
        <v>0</v>
      </c>
      <c r="M1079" s="248">
        <f t="shared" ref="M1079:T1079" si="133">M1046</f>
        <v>0</v>
      </c>
      <c r="N1079" s="249">
        <f t="shared" si="133"/>
        <v>0</v>
      </c>
      <c r="O1079" s="249">
        <f t="shared" si="133"/>
        <v>0</v>
      </c>
      <c r="P1079" s="248">
        <f t="shared" si="133"/>
        <v>-10000</v>
      </c>
      <c r="Q1079" s="248">
        <f t="shared" si="133"/>
        <v>-10000</v>
      </c>
      <c r="R1079" s="248">
        <f t="shared" si="133"/>
        <v>-10000</v>
      </c>
      <c r="S1079" s="248">
        <f t="shared" si="133"/>
        <v>-10000</v>
      </c>
      <c r="T1079" s="248">
        <f t="shared" si="133"/>
        <v>-10000</v>
      </c>
      <c r="U1079" s="65"/>
      <c r="V1079" s="392"/>
      <c r="W1079" s="392"/>
      <c r="X1079" s="392"/>
      <c r="Y1079" s="392"/>
      <c r="Z1079" s="607"/>
      <c r="AA1079" s="300"/>
      <c r="AB1079" s="838"/>
      <c r="AC1079" s="838"/>
      <c r="AD1079" s="838"/>
      <c r="AE1079" s="838"/>
      <c r="AF1079" s="838"/>
      <c r="AG1079" s="838"/>
      <c r="AH1079" s="838"/>
      <c r="AI1079" s="838"/>
      <c r="AJ1079" s="838"/>
      <c r="AK1079" s="838"/>
    </row>
    <row r="1080" spans="1:85" s="202" customFormat="1" ht="24" customHeight="1">
      <c r="L1080" s="232"/>
      <c r="M1080" s="232"/>
      <c r="N1080" s="219"/>
      <c r="O1080" s="219"/>
      <c r="P1080" s="218"/>
      <c r="Q1080" s="218"/>
      <c r="R1080" s="218"/>
      <c r="S1080" s="218"/>
      <c r="T1080" s="218"/>
      <c r="U1080" s="65"/>
      <c r="V1080" s="392"/>
      <c r="W1080" s="392"/>
      <c r="X1080" s="392"/>
      <c r="Y1080" s="392"/>
      <c r="Z1080" s="607"/>
      <c r="AA1080" s="300"/>
      <c r="AB1080" s="838"/>
      <c r="AC1080" s="838"/>
      <c r="AD1080" s="838"/>
      <c r="AE1080" s="838"/>
      <c r="AF1080" s="838"/>
      <c r="AG1080" s="838"/>
      <c r="AH1080" s="838"/>
      <c r="AI1080" s="838"/>
      <c r="AJ1080" s="838"/>
      <c r="AK1080" s="838"/>
    </row>
    <row r="1081" spans="1:85" s="202" customFormat="1" ht="24" customHeight="1">
      <c r="L1081" s="237">
        <f t="shared" ref="L1081:T1081" si="134">SUM(L1067:L1080)</f>
        <v>16227120</v>
      </c>
      <c r="M1081" s="237">
        <f t="shared" si="134"/>
        <v>12417105</v>
      </c>
      <c r="N1081" s="221">
        <f t="shared" si="134"/>
        <v>8050660</v>
      </c>
      <c r="O1081" s="221">
        <f t="shared" si="134"/>
        <v>8822546</v>
      </c>
      <c r="P1081" s="220">
        <f t="shared" si="134"/>
        <v>6293309</v>
      </c>
      <c r="Q1081" s="220">
        <f t="shared" si="134"/>
        <v>4469897</v>
      </c>
      <c r="R1081" s="220">
        <f t="shared" si="134"/>
        <v>3894568</v>
      </c>
      <c r="S1081" s="220">
        <f t="shared" si="134"/>
        <v>3779278</v>
      </c>
      <c r="T1081" s="220">
        <f t="shared" si="134"/>
        <v>4459160</v>
      </c>
      <c r="U1081" s="65"/>
      <c r="V1081" s="607"/>
      <c r="W1081" s="607"/>
      <c r="X1081" s="607"/>
      <c r="Y1081" s="607"/>
      <c r="Z1081" s="607"/>
      <c r="AA1081" s="877"/>
      <c r="AB1081" s="267"/>
      <c r="AC1081" s="838"/>
      <c r="AD1081" s="838"/>
      <c r="AE1081" s="838"/>
      <c r="AF1081" s="838"/>
      <c r="AG1081" s="838"/>
      <c r="AH1081" s="838"/>
      <c r="AI1081" s="838"/>
      <c r="AJ1081" s="838"/>
      <c r="AK1081" s="838"/>
    </row>
    <row r="1082" spans="1:85" s="202" customFormat="1" ht="24" customHeight="1">
      <c r="L1082" s="218"/>
      <c r="M1082" s="218"/>
      <c r="N1082" s="219"/>
      <c r="O1082" s="219"/>
      <c r="P1082" s="218"/>
      <c r="Q1082" s="218"/>
      <c r="R1082" s="218"/>
      <c r="S1082" s="218"/>
      <c r="T1082" s="218"/>
      <c r="U1082" s="65"/>
      <c r="V1082" s="841"/>
      <c r="W1082" s="841"/>
      <c r="X1082" s="841"/>
      <c r="Y1082" s="841"/>
      <c r="Z1082" s="841"/>
      <c r="AA1082" s="841"/>
      <c r="AB1082" s="841"/>
      <c r="AC1082" s="841"/>
      <c r="AD1082" s="841"/>
      <c r="AE1082" s="841"/>
      <c r="AF1082" s="841"/>
      <c r="AG1082" s="841"/>
      <c r="AH1082" s="841"/>
      <c r="AI1082" s="841"/>
      <c r="AJ1082" s="841"/>
      <c r="AK1082" s="841"/>
      <c r="AL1082" s="841"/>
      <c r="AM1082" s="841"/>
      <c r="AN1082" s="841"/>
      <c r="AO1082" s="841"/>
      <c r="AP1082" s="841"/>
      <c r="AQ1082" s="841"/>
      <c r="AR1082" s="841"/>
      <c r="AS1082" s="841"/>
      <c r="AT1082" s="841"/>
      <c r="AU1082" s="841"/>
      <c r="AV1082" s="841"/>
      <c r="AW1082" s="841"/>
      <c r="AX1082" s="841"/>
      <c r="AY1082" s="841"/>
      <c r="AZ1082" s="841"/>
      <c r="BA1082" s="841"/>
      <c r="BB1082" s="841"/>
      <c r="BC1082" s="841"/>
      <c r="BD1082" s="841"/>
      <c r="BE1082" s="841"/>
      <c r="BF1082" s="841"/>
      <c r="BG1082" s="841"/>
      <c r="BH1082" s="841"/>
      <c r="BI1082" s="841"/>
      <c r="BJ1082" s="841"/>
      <c r="BK1082" s="841"/>
      <c r="BL1082" s="841"/>
      <c r="BM1082" s="841"/>
      <c r="BN1082" s="841"/>
      <c r="BO1082" s="841"/>
      <c r="BP1082" s="841"/>
      <c r="BQ1082" s="841"/>
      <c r="BR1082" s="841"/>
      <c r="BS1082" s="841"/>
      <c r="BT1082" s="841"/>
      <c r="BU1082" s="841"/>
      <c r="BV1082" s="841"/>
      <c r="BW1082" s="841"/>
      <c r="BX1082" s="841"/>
      <c r="BY1082" s="841"/>
      <c r="BZ1082" s="841"/>
      <c r="CA1082" s="841"/>
      <c r="CB1082" s="841"/>
      <c r="CC1082" s="841"/>
      <c r="CD1082" s="841"/>
      <c r="CE1082" s="841"/>
      <c r="CF1082" s="841"/>
      <c r="CG1082" s="841"/>
    </row>
    <row r="1083" spans="1:85" s="296" customFormat="1" ht="24" customHeight="1">
      <c r="A1083" s="903" t="s">
        <v>612</v>
      </c>
      <c r="B1083" s="903"/>
      <c r="C1083" s="903"/>
      <c r="D1083" s="903"/>
      <c r="E1083" s="903"/>
      <c r="F1083" s="903"/>
      <c r="G1083" s="903"/>
      <c r="H1083" s="903"/>
      <c r="I1083" s="903"/>
      <c r="J1083" s="903"/>
      <c r="K1083" s="903"/>
      <c r="L1083" s="297"/>
      <c r="M1083" s="297"/>
      <c r="N1083" s="297"/>
      <c r="O1083" s="297"/>
      <c r="P1083" s="297"/>
      <c r="Q1083" s="297"/>
      <c r="R1083" s="297"/>
      <c r="S1083" s="297"/>
      <c r="T1083" s="297"/>
      <c r="U1083" s="65"/>
      <c r="V1083" s="300"/>
      <c r="W1083" s="300"/>
      <c r="X1083" s="300"/>
      <c r="Y1083" s="300"/>
      <c r="Z1083" s="300"/>
      <c r="AA1083" s="300"/>
      <c r="AB1083" s="300"/>
      <c r="AC1083" s="300"/>
      <c r="AD1083" s="300"/>
      <c r="AE1083" s="300"/>
      <c r="AF1083" s="300"/>
      <c r="AG1083" s="300"/>
      <c r="AH1083" s="300"/>
      <c r="AI1083" s="300"/>
      <c r="AJ1083" s="300"/>
      <c r="AK1083" s="300"/>
      <c r="AL1083" s="300"/>
      <c r="AM1083" s="300"/>
      <c r="AN1083" s="300"/>
      <c r="AO1083" s="300"/>
      <c r="AP1083" s="300"/>
      <c r="AQ1083" s="300"/>
      <c r="AR1083" s="300"/>
      <c r="AS1083" s="300"/>
      <c r="AT1083" s="300"/>
      <c r="AU1083" s="300"/>
      <c r="AV1083" s="300"/>
      <c r="AW1083" s="300"/>
      <c r="AX1083" s="300"/>
      <c r="AY1083" s="300"/>
      <c r="AZ1083" s="300"/>
      <c r="BA1083" s="300"/>
      <c r="BB1083" s="300"/>
      <c r="BC1083" s="300"/>
      <c r="BD1083" s="300"/>
      <c r="BE1083" s="300"/>
      <c r="BF1083" s="300"/>
      <c r="BG1083" s="300"/>
      <c r="BH1083" s="300"/>
      <c r="BI1083" s="300"/>
      <c r="BJ1083" s="300"/>
      <c r="BK1083" s="300"/>
      <c r="BL1083" s="300"/>
      <c r="BM1083" s="300"/>
      <c r="BN1083" s="300"/>
      <c r="BO1083" s="300"/>
      <c r="BP1083" s="300"/>
      <c r="BQ1083" s="300"/>
      <c r="BR1083" s="300"/>
      <c r="BS1083" s="300"/>
      <c r="BT1083" s="300"/>
      <c r="BU1083" s="300"/>
      <c r="BV1083" s="300"/>
      <c r="BW1083" s="300"/>
      <c r="BX1083" s="300"/>
      <c r="BY1083" s="300"/>
      <c r="BZ1083" s="300"/>
      <c r="CA1083" s="300"/>
      <c r="CB1083" s="300"/>
      <c r="CC1083" s="300"/>
      <c r="CD1083" s="300"/>
      <c r="CE1083" s="300"/>
      <c r="CF1083" s="300"/>
      <c r="CG1083" s="300"/>
    </row>
    <row r="1084" spans="1:85" s="202" customFormat="1" ht="24" customHeight="1">
      <c r="L1084" s="218"/>
      <c r="M1084" s="218"/>
      <c r="N1084" s="219"/>
      <c r="O1084" s="219"/>
      <c r="P1084" s="218"/>
      <c r="Q1084" s="218"/>
      <c r="R1084" s="218"/>
      <c r="S1084" s="218"/>
      <c r="T1084" s="218"/>
      <c r="U1084" s="65"/>
      <c r="AD1084" s="822"/>
    </row>
    <row r="1085" spans="1:85" s="333" customFormat="1" ht="24" customHeight="1">
      <c r="K1085" s="334" t="s">
        <v>546</v>
      </c>
      <c r="L1085" s="335"/>
      <c r="M1085" s="335"/>
      <c r="N1085" s="336"/>
      <c r="O1085" s="336"/>
      <c r="P1085" s="335"/>
      <c r="Q1085" s="335"/>
      <c r="R1085" s="335"/>
      <c r="S1085" s="335"/>
      <c r="T1085" s="335"/>
      <c r="U1085" s="805"/>
    </row>
    <row r="1086" spans="1:85" s="202" customFormat="1" ht="24" customHeight="1">
      <c r="K1086" s="778" t="s">
        <v>868</v>
      </c>
      <c r="L1086" s="218">
        <f t="shared" ref="L1086:T1086" si="135">L452+L461+L463-L509+L469+L466+L500+L499</f>
        <v>-123842</v>
      </c>
      <c r="M1086" s="218">
        <f t="shared" si="135"/>
        <v>268567</v>
      </c>
      <c r="N1086" s="219">
        <f t="shared" si="135"/>
        <v>-270080</v>
      </c>
      <c r="O1086" s="219">
        <f t="shared" si="135"/>
        <v>33028</v>
      </c>
      <c r="P1086" s="218">
        <f t="shared" si="135"/>
        <v>-46069</v>
      </c>
      <c r="Q1086" s="218">
        <f t="shared" si="135"/>
        <v>3431</v>
      </c>
      <c r="R1086" s="218">
        <f t="shared" si="135"/>
        <v>3431</v>
      </c>
      <c r="S1086" s="218">
        <f t="shared" si="135"/>
        <v>3432</v>
      </c>
      <c r="T1086" s="218">
        <f t="shared" si="135"/>
        <v>3432</v>
      </c>
      <c r="U1086" s="65"/>
      <c r="V1086" s="838"/>
      <c r="W1086" s="838"/>
      <c r="X1086" s="838"/>
      <c r="Y1086" s="838"/>
      <c r="Z1086" s="838"/>
      <c r="AA1086" s="838"/>
      <c r="AB1086" s="838"/>
      <c r="AC1086" s="838"/>
      <c r="AD1086" s="838"/>
      <c r="AE1086" s="838"/>
      <c r="AF1086" s="838"/>
    </row>
    <row r="1087" spans="1:85" s="202" customFormat="1" ht="24" customHeight="1">
      <c r="K1087" s="202" t="s">
        <v>613</v>
      </c>
      <c r="L1087" s="232">
        <f t="shared" ref="L1087:T1087" si="136">L873</f>
        <v>-56773</v>
      </c>
      <c r="M1087" s="232">
        <f t="shared" si="136"/>
        <v>-54885</v>
      </c>
      <c r="N1087" s="233">
        <f t="shared" si="136"/>
        <v>-77378</v>
      </c>
      <c r="O1087" s="233">
        <f t="shared" si="136"/>
        <v>-34635</v>
      </c>
      <c r="P1087" s="218">
        <f t="shared" si="136"/>
        <v>-98294</v>
      </c>
      <c r="Q1087" s="218">
        <f t="shared" si="136"/>
        <v>3342</v>
      </c>
      <c r="R1087" s="218">
        <f t="shared" si="136"/>
        <v>8090</v>
      </c>
      <c r="S1087" s="218">
        <f t="shared" si="136"/>
        <v>8814</v>
      </c>
      <c r="T1087" s="218">
        <f t="shared" si="136"/>
        <v>10714</v>
      </c>
      <c r="U1087" s="65"/>
      <c r="V1087" s="838"/>
      <c r="W1087" s="838"/>
      <c r="X1087" s="838"/>
      <c r="Y1087" s="838"/>
      <c r="Z1087" s="838"/>
      <c r="AA1087" s="838"/>
      <c r="AB1087" s="838"/>
      <c r="AC1087" s="838"/>
      <c r="AD1087" s="838"/>
      <c r="AE1087" s="838"/>
      <c r="AF1087" s="838"/>
    </row>
    <row r="1088" spans="1:85" s="202" customFormat="1" ht="24" customHeight="1">
      <c r="L1088" s="232"/>
      <c r="M1088" s="232"/>
      <c r="N1088" s="219"/>
      <c r="O1088" s="219"/>
      <c r="P1088" s="218"/>
      <c r="Q1088" s="218"/>
      <c r="R1088" s="218"/>
      <c r="S1088" s="218"/>
      <c r="T1088" s="218"/>
      <c r="U1088" s="65"/>
      <c r="V1088" s="838"/>
      <c r="W1088" s="838"/>
      <c r="X1088" s="838"/>
      <c r="Y1088" s="838"/>
      <c r="Z1088" s="838"/>
      <c r="AA1088" s="838"/>
      <c r="AB1088" s="838"/>
      <c r="AC1088" s="838"/>
      <c r="AD1088" s="838"/>
      <c r="AE1088" s="838"/>
      <c r="AF1088" s="838"/>
    </row>
    <row r="1089" spans="1:32" s="202" customFormat="1" ht="24" customHeight="1">
      <c r="K1089" s="267"/>
      <c r="L1089" s="237">
        <f>SUM(L1086:L1088)</f>
        <v>-180615</v>
      </c>
      <c r="M1089" s="237">
        <f>SUM(M1086:M1088)</f>
        <v>213682</v>
      </c>
      <c r="N1089" s="221">
        <f t="shared" ref="N1089:T1089" si="137">SUM(N1086:N1088)</f>
        <v>-347458</v>
      </c>
      <c r="O1089" s="221">
        <f t="shared" si="137"/>
        <v>-1607</v>
      </c>
      <c r="P1089" s="220">
        <f t="shared" si="137"/>
        <v>-144363</v>
      </c>
      <c r="Q1089" s="220">
        <f t="shared" si="137"/>
        <v>6773</v>
      </c>
      <c r="R1089" s="220">
        <f t="shared" si="137"/>
        <v>11521</v>
      </c>
      <c r="S1089" s="220">
        <f t="shared" si="137"/>
        <v>12246</v>
      </c>
      <c r="T1089" s="220">
        <f t="shared" si="137"/>
        <v>14146</v>
      </c>
      <c r="U1089" s="65"/>
      <c r="V1089" s="838"/>
      <c r="W1089" s="838"/>
      <c r="X1089" s="838"/>
      <c r="Y1089" s="838"/>
      <c r="Z1089" s="838"/>
      <c r="AA1089" s="838"/>
      <c r="AB1089" s="838"/>
      <c r="AC1089" s="838"/>
      <c r="AD1089" s="838"/>
      <c r="AE1089" s="838"/>
      <c r="AF1089" s="838"/>
    </row>
    <row r="1090" spans="1:32" s="202" customFormat="1" ht="24" customHeight="1">
      <c r="L1090" s="218"/>
      <c r="M1090" s="218"/>
      <c r="N1090" s="219"/>
      <c r="O1090" s="219"/>
      <c r="P1090" s="218"/>
      <c r="Q1090" s="218"/>
      <c r="R1090" s="218"/>
      <c r="S1090" s="218"/>
      <c r="T1090" s="218"/>
      <c r="U1090" s="65"/>
      <c r="V1090" s="880"/>
      <c r="W1090" s="880"/>
      <c r="X1090" s="880"/>
      <c r="Y1090" s="880"/>
      <c r="Z1090" s="880"/>
      <c r="AA1090" s="300"/>
      <c r="AB1090" s="838"/>
      <c r="AC1090" s="838"/>
      <c r="AD1090" s="838"/>
      <c r="AE1090" s="838"/>
      <c r="AF1090" s="838"/>
    </row>
    <row r="1091" spans="1:32" s="337" customFormat="1" ht="24" customHeight="1">
      <c r="K1091" s="338" t="s">
        <v>804</v>
      </c>
      <c r="L1091" s="339"/>
      <c r="M1091" s="339"/>
      <c r="N1091" s="340"/>
      <c r="O1091" s="340"/>
      <c r="P1091" s="339"/>
      <c r="Q1091" s="339"/>
      <c r="R1091" s="339"/>
      <c r="S1091" s="339"/>
      <c r="T1091" s="339"/>
      <c r="U1091" s="806"/>
      <c r="V1091" s="876"/>
      <c r="W1091" s="876"/>
      <c r="X1091" s="876"/>
      <c r="Y1091" s="876"/>
      <c r="Z1091" s="876"/>
      <c r="AA1091" s="691"/>
    </row>
    <row r="1092" spans="1:32" s="202" customFormat="1" ht="24" customHeight="1">
      <c r="K1092" s="778" t="s">
        <v>868</v>
      </c>
      <c r="L1092" s="218">
        <f t="shared" ref="L1092:T1092" si="138">L521</f>
        <v>1841</v>
      </c>
      <c r="M1092" s="218">
        <f t="shared" si="138"/>
        <v>270407</v>
      </c>
      <c r="N1092" s="219">
        <f t="shared" si="138"/>
        <v>0</v>
      </c>
      <c r="O1092" s="219">
        <f t="shared" si="138"/>
        <v>303435</v>
      </c>
      <c r="P1092" s="218">
        <f t="shared" si="138"/>
        <v>257366</v>
      </c>
      <c r="Q1092" s="218">
        <f t="shared" si="138"/>
        <v>260797</v>
      </c>
      <c r="R1092" s="218">
        <f t="shared" si="138"/>
        <v>264228</v>
      </c>
      <c r="S1092" s="218">
        <f t="shared" si="138"/>
        <v>267660</v>
      </c>
      <c r="T1092" s="218">
        <f t="shared" si="138"/>
        <v>271092</v>
      </c>
      <c r="U1092" s="65"/>
      <c r="V1092" s="392"/>
      <c r="W1092" s="392"/>
      <c r="X1092" s="392"/>
      <c r="Y1092" s="392"/>
      <c r="Z1092" s="607"/>
      <c r="AA1092" s="691"/>
      <c r="AB1092" s="838"/>
      <c r="AC1092" s="838"/>
      <c r="AD1092" s="838"/>
      <c r="AE1092" s="838"/>
      <c r="AF1092" s="838"/>
    </row>
    <row r="1093" spans="1:32" s="202" customFormat="1" ht="24" customHeight="1">
      <c r="K1093" s="202" t="s">
        <v>613</v>
      </c>
      <c r="L1093" s="232">
        <f t="shared" ref="L1093:T1093" si="139">L875</f>
        <v>500762</v>
      </c>
      <c r="M1093" s="232">
        <f t="shared" si="139"/>
        <v>445875</v>
      </c>
      <c r="N1093" s="233">
        <f t="shared" si="139"/>
        <v>296597</v>
      </c>
      <c r="O1093" s="233">
        <f t="shared" si="139"/>
        <v>411240</v>
      </c>
      <c r="P1093" s="218">
        <f t="shared" si="139"/>
        <v>312946</v>
      </c>
      <c r="Q1093" s="218">
        <f t="shared" si="139"/>
        <v>316288</v>
      </c>
      <c r="R1093" s="218">
        <f t="shared" si="139"/>
        <v>324378</v>
      </c>
      <c r="S1093" s="218">
        <f t="shared" si="139"/>
        <v>333192</v>
      </c>
      <c r="T1093" s="218">
        <f t="shared" si="139"/>
        <v>343906</v>
      </c>
      <c r="U1093" s="65"/>
      <c r="V1093" s="392"/>
      <c r="W1093" s="392"/>
      <c r="X1093" s="392"/>
      <c r="Y1093" s="392"/>
      <c r="Z1093" s="392"/>
      <c r="AA1093" s="691"/>
      <c r="AB1093" s="838"/>
      <c r="AC1093" s="838"/>
      <c r="AD1093" s="838"/>
      <c r="AE1093" s="838"/>
      <c r="AF1093" s="838"/>
    </row>
    <row r="1094" spans="1:32" s="202" customFormat="1" ht="24" customHeight="1">
      <c r="L1094" s="232"/>
      <c r="M1094" s="232"/>
      <c r="N1094" s="219"/>
      <c r="O1094" s="219"/>
      <c r="P1094" s="218"/>
      <c r="Q1094" s="218"/>
      <c r="R1094" s="218"/>
      <c r="S1094" s="218"/>
      <c r="T1094" s="218"/>
      <c r="U1094" s="65"/>
      <c r="V1094" s="392"/>
      <c r="W1094" s="392"/>
      <c r="X1094" s="392"/>
      <c r="Y1094" s="392"/>
      <c r="Z1094" s="392"/>
      <c r="AA1094" s="691"/>
      <c r="AB1094" s="838"/>
      <c r="AC1094" s="838"/>
      <c r="AD1094" s="838"/>
      <c r="AE1094" s="838"/>
      <c r="AF1094" s="838"/>
    </row>
    <row r="1095" spans="1:32" s="202" customFormat="1" ht="24" customHeight="1">
      <c r="L1095" s="237">
        <f>SUM(L1092:L1094)</f>
        <v>502603</v>
      </c>
      <c r="M1095" s="237">
        <f t="shared" ref="M1095:T1095" si="140">SUM(M1092:M1094)</f>
        <v>716282</v>
      </c>
      <c r="N1095" s="221">
        <f t="shared" si="140"/>
        <v>296597</v>
      </c>
      <c r="O1095" s="221">
        <f t="shared" si="140"/>
        <v>714675</v>
      </c>
      <c r="P1095" s="220">
        <f t="shared" si="140"/>
        <v>570312</v>
      </c>
      <c r="Q1095" s="220">
        <f t="shared" si="140"/>
        <v>577085</v>
      </c>
      <c r="R1095" s="220">
        <f t="shared" si="140"/>
        <v>588606</v>
      </c>
      <c r="S1095" s="220">
        <f t="shared" si="140"/>
        <v>600852</v>
      </c>
      <c r="T1095" s="220">
        <f t="shared" si="140"/>
        <v>614998</v>
      </c>
      <c r="U1095" s="65"/>
      <c r="V1095" s="392"/>
      <c r="W1095" s="392"/>
      <c r="X1095" s="607"/>
      <c r="Y1095" s="607"/>
      <c r="Z1095" s="607"/>
      <c r="AA1095" s="692"/>
      <c r="AB1095" s="267"/>
      <c r="AC1095" s="838"/>
      <c r="AD1095" s="838"/>
      <c r="AE1095" s="838"/>
      <c r="AF1095" s="838"/>
    </row>
    <row r="1096" spans="1:32" s="202" customFormat="1" ht="24" customHeight="1">
      <c r="L1096" s="218"/>
      <c r="M1096" s="218"/>
      <c r="N1096" s="219"/>
      <c r="O1096" s="219"/>
      <c r="P1096" s="218"/>
      <c r="Q1096" s="218"/>
      <c r="R1096" s="218"/>
      <c r="S1096" s="218"/>
      <c r="T1096" s="218"/>
      <c r="U1096" s="65"/>
      <c r="V1096" s="838"/>
      <c r="W1096" s="838"/>
      <c r="X1096" s="838"/>
      <c r="Y1096" s="838"/>
      <c r="Z1096" s="838"/>
      <c r="AA1096" s="838"/>
      <c r="AB1096" s="838"/>
      <c r="AC1096" s="838"/>
      <c r="AD1096" s="838"/>
      <c r="AE1096" s="838"/>
      <c r="AF1096" s="838"/>
    </row>
    <row r="1097" spans="1:32" s="296" customFormat="1" ht="24" customHeight="1">
      <c r="A1097" s="903" t="s">
        <v>614</v>
      </c>
      <c r="B1097" s="903"/>
      <c r="C1097" s="903"/>
      <c r="D1097" s="903"/>
      <c r="E1097" s="903"/>
      <c r="F1097" s="903"/>
      <c r="G1097" s="903"/>
      <c r="H1097" s="903"/>
      <c r="I1097" s="903"/>
      <c r="J1097" s="903"/>
      <c r="K1097" s="903"/>
      <c r="L1097" s="297"/>
      <c r="M1097" s="297"/>
      <c r="N1097" s="297"/>
      <c r="O1097" s="297"/>
      <c r="P1097" s="297"/>
      <c r="Q1097" s="297"/>
      <c r="R1097" s="297"/>
      <c r="S1097" s="297"/>
      <c r="T1097" s="297"/>
      <c r="U1097" s="800"/>
      <c r="V1097" s="300"/>
      <c r="W1097" s="300"/>
      <c r="X1097" s="300"/>
      <c r="Y1097" s="300"/>
      <c r="Z1097" s="300"/>
      <c r="AA1097" s="300"/>
      <c r="AB1097" s="300"/>
      <c r="AC1097" s="300"/>
      <c r="AD1097" s="300"/>
      <c r="AE1097" s="300"/>
      <c r="AF1097" s="300"/>
    </row>
    <row r="1098" spans="1:32" s="202" customFormat="1" ht="24" customHeight="1">
      <c r="L1098" s="218"/>
      <c r="M1098" s="218"/>
      <c r="N1098" s="219"/>
      <c r="O1098" s="219"/>
      <c r="P1098" s="218"/>
      <c r="Q1098" s="218"/>
      <c r="R1098" s="218"/>
      <c r="S1098" s="218"/>
      <c r="T1098" s="218"/>
      <c r="U1098" s="65"/>
      <c r="V1098" s="838"/>
      <c r="W1098" s="838"/>
      <c r="X1098" s="838"/>
      <c r="Y1098" s="838"/>
      <c r="Z1098" s="838"/>
      <c r="AA1098" s="838"/>
      <c r="AB1098" s="838"/>
      <c r="AC1098" s="838"/>
      <c r="AD1098" s="838"/>
      <c r="AE1098" s="838"/>
      <c r="AF1098" s="838"/>
    </row>
    <row r="1099" spans="1:32" s="333" customFormat="1" ht="24" customHeight="1">
      <c r="K1099" s="334" t="s">
        <v>546</v>
      </c>
      <c r="L1099" s="335"/>
      <c r="M1099" s="335"/>
      <c r="N1099" s="336"/>
      <c r="O1099" s="336"/>
      <c r="P1099" s="335"/>
      <c r="Q1099" s="335"/>
      <c r="R1099" s="335"/>
      <c r="S1099" s="335"/>
      <c r="T1099" s="335"/>
      <c r="U1099" s="805"/>
    </row>
    <row r="1100" spans="1:32" s="202" customFormat="1" ht="24" customHeight="1">
      <c r="K1100" s="202" t="s">
        <v>615</v>
      </c>
      <c r="L1100" s="232">
        <f>L939</f>
        <v>32673</v>
      </c>
      <c r="M1100" s="232">
        <f t="shared" ref="M1100:T1100" si="141">M939</f>
        <v>-10301</v>
      </c>
      <c r="N1100" s="233">
        <f t="shared" si="141"/>
        <v>-84097</v>
      </c>
      <c r="O1100" s="233">
        <f t="shared" si="141"/>
        <v>-3664</v>
      </c>
      <c r="P1100" s="218">
        <f t="shared" si="141"/>
        <v>-11354</v>
      </c>
      <c r="Q1100" s="218">
        <f t="shared" si="141"/>
        <v>-18310</v>
      </c>
      <c r="R1100" s="218">
        <f t="shared" si="141"/>
        <v>-28030</v>
      </c>
      <c r="S1100" s="218">
        <f t="shared" si="141"/>
        <v>-38585</v>
      </c>
      <c r="T1100" s="218">
        <f t="shared" si="141"/>
        <v>-50037</v>
      </c>
      <c r="U1100" s="65"/>
      <c r="V1100" s="838"/>
      <c r="W1100" s="838"/>
      <c r="X1100" s="838"/>
      <c r="Y1100" s="838"/>
      <c r="Z1100" s="838"/>
      <c r="AA1100" s="838"/>
      <c r="AB1100" s="838"/>
      <c r="AC1100" s="838"/>
      <c r="AD1100" s="838"/>
      <c r="AE1100" s="838"/>
      <c r="AF1100" s="838"/>
    </row>
    <row r="1101" spans="1:32" s="202" customFormat="1" ht="24" customHeight="1">
      <c r="K1101" s="202" t="s">
        <v>749</v>
      </c>
      <c r="L1101" s="248">
        <f>L966</f>
        <v>2092</v>
      </c>
      <c r="M1101" s="248">
        <f t="shared" ref="M1101:T1101" si="142">M966</f>
        <v>5097</v>
      </c>
      <c r="N1101" s="249">
        <f t="shared" si="142"/>
        <v>10</v>
      </c>
      <c r="O1101" s="249">
        <f t="shared" si="142"/>
        <v>20260</v>
      </c>
      <c r="P1101" s="252">
        <f t="shared" si="142"/>
        <v>-8890</v>
      </c>
      <c r="Q1101" s="252">
        <f t="shared" si="142"/>
        <v>-12490</v>
      </c>
      <c r="R1101" s="252">
        <f t="shared" si="142"/>
        <v>-12490</v>
      </c>
      <c r="S1101" s="252">
        <f t="shared" si="142"/>
        <v>-12490</v>
      </c>
      <c r="T1101" s="252">
        <f t="shared" si="142"/>
        <v>-12490</v>
      </c>
      <c r="U1101" s="65"/>
      <c r="V1101" s="838"/>
      <c r="W1101" s="838"/>
      <c r="X1101" s="838"/>
      <c r="Y1101" s="838"/>
      <c r="Z1101" s="838"/>
      <c r="AA1101" s="838"/>
      <c r="AB1101" s="838"/>
      <c r="AC1101" s="838"/>
      <c r="AD1101" s="838"/>
      <c r="AE1101" s="838"/>
      <c r="AF1101" s="838"/>
    </row>
    <row r="1102" spans="1:32" s="202" customFormat="1" ht="24" customHeight="1">
      <c r="L1102" s="232"/>
      <c r="M1102" s="232"/>
      <c r="N1102" s="219"/>
      <c r="O1102" s="219"/>
      <c r="P1102" s="218"/>
      <c r="Q1102" s="218"/>
      <c r="R1102" s="218"/>
      <c r="S1102" s="218"/>
      <c r="T1102" s="218"/>
      <c r="U1102" s="65"/>
      <c r="V1102" s="838"/>
      <c r="W1102" s="838"/>
      <c r="X1102" s="838"/>
      <c r="Y1102" s="838"/>
      <c r="Z1102" s="838"/>
      <c r="AA1102" s="838"/>
      <c r="AB1102" s="838"/>
      <c r="AC1102" s="838"/>
      <c r="AD1102" s="838"/>
      <c r="AE1102" s="838"/>
      <c r="AF1102" s="838"/>
    </row>
    <row r="1103" spans="1:32" s="202" customFormat="1" ht="24" customHeight="1">
      <c r="K1103" s="267"/>
      <c r="L1103" s="237">
        <f t="shared" ref="L1103:T1103" si="143">SUM(L1100:L1102)</f>
        <v>34765</v>
      </c>
      <c r="M1103" s="237">
        <f t="shared" si="143"/>
        <v>-5204</v>
      </c>
      <c r="N1103" s="221">
        <f t="shared" si="143"/>
        <v>-84087</v>
      </c>
      <c r="O1103" s="221">
        <f t="shared" si="143"/>
        <v>16596</v>
      </c>
      <c r="P1103" s="220">
        <f t="shared" si="143"/>
        <v>-20244</v>
      </c>
      <c r="Q1103" s="220">
        <f t="shared" si="143"/>
        <v>-30800</v>
      </c>
      <c r="R1103" s="220">
        <f t="shared" si="143"/>
        <v>-40520</v>
      </c>
      <c r="S1103" s="220">
        <f t="shared" si="143"/>
        <v>-51075</v>
      </c>
      <c r="T1103" s="220">
        <f t="shared" si="143"/>
        <v>-62527</v>
      </c>
      <c r="U1103" s="65"/>
      <c r="V1103" s="838"/>
      <c r="W1103" s="838"/>
      <c r="X1103" s="838"/>
      <c r="Y1103" s="838"/>
      <c r="Z1103" s="838"/>
      <c r="AA1103" s="838"/>
      <c r="AB1103" s="838"/>
      <c r="AC1103" s="838"/>
      <c r="AD1103" s="838"/>
      <c r="AE1103" s="838"/>
      <c r="AF1103" s="838"/>
    </row>
    <row r="1104" spans="1:32" s="202" customFormat="1" ht="24" customHeight="1">
      <c r="L1104" s="218"/>
      <c r="M1104" s="218"/>
      <c r="N1104" s="219"/>
      <c r="O1104" s="219"/>
      <c r="P1104" s="218"/>
      <c r="Q1104" s="218"/>
      <c r="R1104" s="218"/>
      <c r="S1104" s="218"/>
      <c r="T1104" s="218"/>
      <c r="U1104" s="65"/>
      <c r="V1104" s="880"/>
      <c r="W1104" s="880"/>
      <c r="X1104" s="880"/>
      <c r="Y1104" s="880"/>
      <c r="Z1104" s="880"/>
      <c r="AA1104" s="300"/>
      <c r="AB1104" s="838"/>
      <c r="AC1104" s="838"/>
      <c r="AD1104" s="838"/>
      <c r="AE1104" s="838"/>
      <c r="AF1104" s="838"/>
    </row>
    <row r="1105" spans="1:32" s="337" customFormat="1" ht="24" customHeight="1">
      <c r="K1105" s="338" t="s">
        <v>804</v>
      </c>
      <c r="L1105" s="339"/>
      <c r="M1105" s="339"/>
      <c r="N1105" s="340"/>
      <c r="O1105" s="340"/>
      <c r="P1105" s="339"/>
      <c r="Q1105" s="339"/>
      <c r="R1105" s="339"/>
      <c r="S1105" s="339"/>
      <c r="T1105" s="339"/>
      <c r="U1105" s="806"/>
      <c r="V1105" s="876"/>
      <c r="W1105" s="876"/>
      <c r="X1105" s="876"/>
      <c r="Y1105" s="876"/>
      <c r="Z1105" s="876"/>
      <c r="AA1105" s="691"/>
    </row>
    <row r="1106" spans="1:32" s="202" customFormat="1" ht="24" customHeight="1">
      <c r="K1106" s="202" t="s">
        <v>615</v>
      </c>
      <c r="L1106" s="232">
        <f>L941</f>
        <v>499355</v>
      </c>
      <c r="M1106" s="232">
        <f t="shared" ref="M1106:T1106" si="144">M941</f>
        <v>489057</v>
      </c>
      <c r="N1106" s="233">
        <f t="shared" si="144"/>
        <v>396472</v>
      </c>
      <c r="O1106" s="233">
        <f t="shared" si="144"/>
        <v>485393</v>
      </c>
      <c r="P1106" s="218">
        <f t="shared" si="144"/>
        <v>474039</v>
      </c>
      <c r="Q1106" s="218">
        <f t="shared" si="144"/>
        <v>455729</v>
      </c>
      <c r="R1106" s="218">
        <f t="shared" si="144"/>
        <v>427699</v>
      </c>
      <c r="S1106" s="218">
        <f t="shared" si="144"/>
        <v>389114</v>
      </c>
      <c r="T1106" s="218">
        <f t="shared" si="144"/>
        <v>339077</v>
      </c>
      <c r="U1106" s="65"/>
      <c r="V1106" s="392"/>
      <c r="W1106" s="392"/>
      <c r="X1106" s="392"/>
      <c r="Y1106" s="392"/>
      <c r="Z1106" s="607"/>
      <c r="AA1106" s="691"/>
      <c r="AB1106" s="838"/>
      <c r="AC1106" s="838"/>
      <c r="AD1106" s="838"/>
      <c r="AE1106" s="838"/>
      <c r="AF1106" s="838"/>
    </row>
    <row r="1107" spans="1:32" s="202" customFormat="1" ht="24" customHeight="1">
      <c r="K1107" s="202" t="s">
        <v>749</v>
      </c>
      <c r="L1107" s="248">
        <f>L968</f>
        <v>14807</v>
      </c>
      <c r="M1107" s="248">
        <f t="shared" ref="M1107:T1107" si="145">M968</f>
        <v>19904</v>
      </c>
      <c r="N1107" s="249">
        <f t="shared" si="145"/>
        <v>23999</v>
      </c>
      <c r="O1107" s="249">
        <f t="shared" si="145"/>
        <v>40164</v>
      </c>
      <c r="P1107" s="252">
        <f t="shared" si="145"/>
        <v>31274</v>
      </c>
      <c r="Q1107" s="252">
        <f t="shared" si="145"/>
        <v>18784</v>
      </c>
      <c r="R1107" s="252">
        <f t="shared" si="145"/>
        <v>6294</v>
      </c>
      <c r="S1107" s="252">
        <f t="shared" si="145"/>
        <v>-6196</v>
      </c>
      <c r="T1107" s="252">
        <f t="shared" si="145"/>
        <v>-18686</v>
      </c>
      <c r="U1107" s="65"/>
      <c r="V1107" s="392"/>
      <c r="W1107" s="392"/>
      <c r="X1107" s="392"/>
      <c r="Y1107" s="392"/>
      <c r="Z1107" s="392"/>
      <c r="AA1107" s="691"/>
      <c r="AB1107" s="838"/>
      <c r="AC1107" s="838"/>
      <c r="AD1107" s="838"/>
      <c r="AE1107" s="838"/>
      <c r="AF1107" s="838"/>
    </row>
    <row r="1108" spans="1:32" s="202" customFormat="1" ht="24" customHeight="1">
      <c r="L1108" s="232"/>
      <c r="M1108" s="232"/>
      <c r="N1108" s="219"/>
      <c r="O1108" s="219"/>
      <c r="P1108" s="218"/>
      <c r="Q1108" s="218"/>
      <c r="R1108" s="218"/>
      <c r="S1108" s="218"/>
      <c r="T1108" s="218"/>
      <c r="U1108" s="65"/>
      <c r="V1108" s="392"/>
      <c r="W1108" s="392"/>
      <c r="X1108" s="392"/>
      <c r="Y1108" s="392"/>
      <c r="Z1108" s="392"/>
      <c r="AA1108" s="691"/>
      <c r="AB1108" s="838"/>
      <c r="AC1108" s="838"/>
      <c r="AD1108" s="838"/>
      <c r="AE1108" s="838"/>
      <c r="AF1108" s="838"/>
    </row>
    <row r="1109" spans="1:32" s="202" customFormat="1" ht="24" customHeight="1">
      <c r="L1109" s="237">
        <f t="shared" ref="L1109:T1109" si="146">SUM(L1106:L1108)</f>
        <v>514162</v>
      </c>
      <c r="M1109" s="237">
        <f t="shared" si="146"/>
        <v>508961</v>
      </c>
      <c r="N1109" s="221">
        <f t="shared" si="146"/>
        <v>420471</v>
      </c>
      <c r="O1109" s="221">
        <f t="shared" si="146"/>
        <v>525557</v>
      </c>
      <c r="P1109" s="220">
        <f t="shared" si="146"/>
        <v>505313</v>
      </c>
      <c r="Q1109" s="220">
        <f t="shared" si="146"/>
        <v>474513</v>
      </c>
      <c r="R1109" s="220">
        <f t="shared" si="146"/>
        <v>433993</v>
      </c>
      <c r="S1109" s="220">
        <f t="shared" si="146"/>
        <v>382918</v>
      </c>
      <c r="T1109" s="220">
        <f t="shared" si="146"/>
        <v>320391</v>
      </c>
      <c r="U1109" s="65"/>
      <c r="V1109" s="392"/>
      <c r="W1109" s="392"/>
      <c r="X1109" s="392"/>
      <c r="Y1109" s="607"/>
      <c r="Z1109" s="607"/>
      <c r="AA1109" s="692"/>
      <c r="AB1109" s="267"/>
      <c r="AC1109" s="838"/>
      <c r="AD1109" s="838"/>
      <c r="AE1109" s="838"/>
      <c r="AF1109" s="838"/>
    </row>
    <row r="1110" spans="1:32" s="202" customFormat="1" ht="24" customHeight="1">
      <c r="L1110" s="218"/>
      <c r="M1110" s="218"/>
      <c r="N1110" s="219"/>
      <c r="O1110" s="219"/>
      <c r="P1110" s="218"/>
      <c r="Q1110" s="218"/>
      <c r="R1110" s="218"/>
      <c r="S1110" s="218"/>
      <c r="T1110" s="218"/>
      <c r="U1110" s="65"/>
      <c r="V1110" s="838"/>
      <c r="W1110" s="838"/>
      <c r="X1110" s="838"/>
      <c r="Y1110" s="838"/>
      <c r="Z1110" s="838"/>
      <c r="AA1110" s="838"/>
      <c r="AB1110" s="838"/>
      <c r="AC1110" s="838"/>
      <c r="AD1110" s="838"/>
      <c r="AE1110" s="838"/>
      <c r="AF1110" s="838"/>
    </row>
    <row r="1111" spans="1:32" s="202" customFormat="1" ht="24" customHeight="1">
      <c r="L1111" s="218"/>
      <c r="M1111" s="218"/>
      <c r="N1111" s="219"/>
      <c r="O1111" s="219"/>
      <c r="P1111" s="218"/>
      <c r="Q1111" s="218"/>
      <c r="R1111" s="218"/>
      <c r="S1111" s="218"/>
      <c r="T1111" s="218"/>
      <c r="U1111" s="65"/>
      <c r="V1111" s="838"/>
      <c r="W1111" s="838"/>
      <c r="X1111" s="838"/>
      <c r="Y1111" s="838"/>
      <c r="Z1111" s="838"/>
      <c r="AA1111" s="838"/>
      <c r="AB1111" s="838"/>
      <c r="AC1111" s="838"/>
      <c r="AD1111" s="838"/>
      <c r="AE1111" s="838"/>
      <c r="AF1111" s="838"/>
    </row>
    <row r="1112" spans="1:32" s="296" customFormat="1" ht="24" customHeight="1">
      <c r="A1112" s="903" t="s">
        <v>1059</v>
      </c>
      <c r="B1112" s="903"/>
      <c r="C1112" s="903"/>
      <c r="D1112" s="903"/>
      <c r="E1112" s="903"/>
      <c r="F1112" s="903"/>
      <c r="G1112" s="903"/>
      <c r="H1112" s="903"/>
      <c r="I1112" s="903"/>
      <c r="J1112" s="903"/>
      <c r="K1112" s="903"/>
      <c r="L1112" s="297"/>
      <c r="M1112" s="297"/>
      <c r="N1112" s="297"/>
      <c r="O1112" s="297"/>
      <c r="P1112" s="297"/>
      <c r="Q1112" s="297"/>
      <c r="R1112" s="297"/>
      <c r="S1112" s="297"/>
      <c r="T1112" s="297"/>
      <c r="U1112" s="800"/>
      <c r="V1112" s="300"/>
      <c r="W1112" s="300"/>
      <c r="X1112" s="300"/>
      <c r="Y1112" s="300"/>
      <c r="Z1112" s="300"/>
      <c r="AA1112" s="300"/>
      <c r="AB1112" s="300"/>
      <c r="AC1112" s="300"/>
      <c r="AD1112" s="300"/>
      <c r="AE1112" s="300"/>
      <c r="AF1112" s="300"/>
    </row>
    <row r="1113" spans="1:32" s="202" customFormat="1" ht="24" customHeight="1">
      <c r="K1113" s="202" t="s">
        <v>620</v>
      </c>
      <c r="L1113" s="232">
        <f t="shared" ref="L1113:T1113" si="147">L241+L583+L688+L907</f>
        <v>342016</v>
      </c>
      <c r="M1113" s="232">
        <f t="shared" si="147"/>
        <v>349012</v>
      </c>
      <c r="N1113" s="233">
        <f t="shared" si="147"/>
        <v>376765</v>
      </c>
      <c r="O1113" s="233">
        <f t="shared" si="147"/>
        <v>359194</v>
      </c>
      <c r="P1113" s="232">
        <f t="shared" si="147"/>
        <v>380745</v>
      </c>
      <c r="Q1113" s="232">
        <f t="shared" si="147"/>
        <v>403590</v>
      </c>
      <c r="R1113" s="232">
        <f t="shared" si="147"/>
        <v>427805</v>
      </c>
      <c r="S1113" s="232">
        <f t="shared" si="147"/>
        <v>453474</v>
      </c>
      <c r="T1113" s="232">
        <f t="shared" si="147"/>
        <v>480682</v>
      </c>
      <c r="U1113" s="65"/>
      <c r="V1113" s="838"/>
      <c r="W1113" s="838"/>
      <c r="X1113" s="838"/>
      <c r="Y1113" s="838"/>
      <c r="Z1113" s="838"/>
      <c r="AA1113" s="838"/>
      <c r="AB1113" s="838"/>
      <c r="AC1113" s="838"/>
      <c r="AD1113" s="838"/>
      <c r="AE1113" s="838"/>
      <c r="AF1113" s="838"/>
    </row>
    <row r="1114" spans="1:32" s="202" customFormat="1" ht="24" customHeight="1">
      <c r="L1114" s="218"/>
      <c r="M1114" s="218"/>
      <c r="N1114" s="219"/>
      <c r="O1114" s="219"/>
      <c r="P1114" s="218"/>
      <c r="Q1114" s="218"/>
      <c r="R1114" s="218"/>
      <c r="S1114" s="218"/>
      <c r="T1114" s="218"/>
      <c r="U1114" s="65"/>
      <c r="V1114" s="838"/>
      <c r="W1114" s="838"/>
      <c r="X1114" s="838"/>
      <c r="Y1114" s="838"/>
      <c r="Z1114" s="838"/>
      <c r="AA1114" s="838"/>
      <c r="AB1114" s="838"/>
      <c r="AC1114" s="838"/>
      <c r="AD1114" s="838"/>
      <c r="AE1114" s="838"/>
      <c r="AF1114" s="838"/>
    </row>
    <row r="1115" spans="1:32" s="202" customFormat="1" ht="24" customHeight="1">
      <c r="K1115" s="202" t="s">
        <v>621</v>
      </c>
      <c r="L1115" s="232">
        <f t="shared" ref="L1115:T1115" si="148">L240+L582+L687+L906</f>
        <v>21606</v>
      </c>
      <c r="M1115" s="232">
        <f t="shared" si="148"/>
        <v>13398</v>
      </c>
      <c r="N1115" s="233">
        <f t="shared" si="148"/>
        <v>24000</v>
      </c>
      <c r="O1115" s="233">
        <f t="shared" si="148"/>
        <v>13078</v>
      </c>
      <c r="P1115" s="218">
        <f t="shared" si="148"/>
        <v>23750</v>
      </c>
      <c r="Q1115" s="218">
        <f t="shared" si="148"/>
        <v>23750</v>
      </c>
      <c r="R1115" s="218">
        <f t="shared" si="148"/>
        <v>23750</v>
      </c>
      <c r="S1115" s="218">
        <f t="shared" si="148"/>
        <v>23750</v>
      </c>
      <c r="T1115" s="218">
        <f t="shared" si="148"/>
        <v>23750</v>
      </c>
      <c r="U1115" s="65"/>
      <c r="V1115" s="838"/>
      <c r="W1115" s="838"/>
      <c r="X1115" s="838"/>
      <c r="Y1115" s="838"/>
      <c r="Z1115" s="838"/>
      <c r="AA1115" s="838"/>
      <c r="AB1115" s="838"/>
      <c r="AC1115" s="838"/>
      <c r="AD1115" s="838"/>
      <c r="AE1115" s="838"/>
      <c r="AF1115" s="838"/>
    </row>
    <row r="1116" spans="1:32" s="202" customFormat="1" ht="24" customHeight="1">
      <c r="L1116" s="232"/>
      <c r="M1116" s="232"/>
      <c r="N1116" s="233"/>
      <c r="O1116" s="233"/>
      <c r="P1116" s="218"/>
      <c r="Q1116" s="218"/>
      <c r="R1116" s="218"/>
      <c r="S1116" s="218"/>
      <c r="T1116" s="218"/>
      <c r="U1116" s="65"/>
      <c r="V1116" s="838"/>
      <c r="W1116" s="838"/>
      <c r="X1116" s="838"/>
      <c r="Y1116" s="838"/>
      <c r="Z1116" s="838"/>
      <c r="AA1116" s="838"/>
      <c r="AB1116" s="838"/>
      <c r="AC1116" s="838"/>
      <c r="AD1116" s="838"/>
      <c r="AE1116" s="838"/>
      <c r="AF1116" s="838"/>
    </row>
    <row r="1117" spans="1:32" s="202" customFormat="1" ht="24" customHeight="1">
      <c r="E1117" s="208"/>
      <c r="F1117" s="208"/>
      <c r="G1117" s="208"/>
      <c r="H1117" s="208"/>
      <c r="I1117" s="916" t="s">
        <v>668</v>
      </c>
      <c r="J1117" s="916"/>
      <c r="K1117" s="208" t="s">
        <v>622</v>
      </c>
      <c r="L1117" s="252">
        <f t="shared" ref="L1117:T1117" si="149">L69+L73+L99+L127+L167+L196+L578+L683+L813+L843+L242</f>
        <v>1252720</v>
      </c>
      <c r="M1117" s="252">
        <f t="shared" si="149"/>
        <v>1348553</v>
      </c>
      <c r="N1117" s="251">
        <f t="shared" si="149"/>
        <v>1654724</v>
      </c>
      <c r="O1117" s="251">
        <f t="shared" si="149"/>
        <v>1448534</v>
      </c>
      <c r="P1117" s="252">
        <f t="shared" si="149"/>
        <v>1553541</v>
      </c>
      <c r="Q1117" s="252">
        <f t="shared" si="149"/>
        <v>1677824</v>
      </c>
      <c r="R1117" s="252">
        <f t="shared" si="149"/>
        <v>1812050</v>
      </c>
      <c r="S1117" s="252">
        <f t="shared" si="149"/>
        <v>1952697</v>
      </c>
      <c r="T1117" s="252">
        <f t="shared" si="149"/>
        <v>2103819</v>
      </c>
      <c r="U1117" s="65"/>
      <c r="V1117" s="838"/>
      <c r="W1117" s="838"/>
      <c r="X1117" s="838"/>
      <c r="Y1117" s="838"/>
      <c r="Z1117" s="838"/>
      <c r="AA1117" s="838"/>
      <c r="AB1117" s="838"/>
      <c r="AC1117" s="838"/>
      <c r="AD1117" s="838"/>
      <c r="AE1117" s="838"/>
      <c r="AF1117" s="838"/>
    </row>
    <row r="1118" spans="1:32" s="202" customFormat="1" ht="24" customHeight="1">
      <c r="E1118" s="208"/>
      <c r="F1118" s="208"/>
      <c r="G1118" s="208"/>
      <c r="H1118" s="208"/>
      <c r="I1118" s="916" t="s">
        <v>668</v>
      </c>
      <c r="J1118" s="916"/>
      <c r="K1118" s="267" t="s">
        <v>669</v>
      </c>
      <c r="L1118" s="220">
        <f>SUM(L1117:L1117)</f>
        <v>1252720</v>
      </c>
      <c r="M1118" s="220">
        <f t="shared" ref="M1118:T1118" si="150">SUM(M1117:M1117)</f>
        <v>1348553</v>
      </c>
      <c r="N1118" s="221">
        <f t="shared" si="150"/>
        <v>1654724</v>
      </c>
      <c r="O1118" s="221">
        <f t="shared" si="150"/>
        <v>1448534</v>
      </c>
      <c r="P1118" s="220">
        <f t="shared" si="150"/>
        <v>1553541</v>
      </c>
      <c r="Q1118" s="220">
        <f t="shared" si="150"/>
        <v>1677824</v>
      </c>
      <c r="R1118" s="220">
        <f t="shared" si="150"/>
        <v>1812050</v>
      </c>
      <c r="S1118" s="220">
        <f t="shared" si="150"/>
        <v>1952697</v>
      </c>
      <c r="T1118" s="220">
        <f t="shared" si="150"/>
        <v>2103819</v>
      </c>
      <c r="U1118" s="65"/>
      <c r="V1118" s="838"/>
      <c r="W1118" s="838"/>
      <c r="X1118" s="838"/>
      <c r="Y1118" s="838"/>
      <c r="Z1118" s="838"/>
      <c r="AA1118" s="838"/>
      <c r="AB1118" s="838"/>
      <c r="AC1118" s="838"/>
      <c r="AD1118" s="838"/>
      <c r="AE1118" s="838"/>
      <c r="AF1118" s="838"/>
    </row>
    <row r="1119" spans="1:32" s="202" customFormat="1" ht="24" customHeight="1">
      <c r="J1119" s="286"/>
      <c r="L1119" s="232"/>
      <c r="M1119" s="232"/>
      <c r="N1119" s="219"/>
      <c r="O1119" s="219"/>
      <c r="P1119" s="218"/>
      <c r="Q1119" s="218"/>
      <c r="R1119" s="218"/>
      <c r="S1119" s="218"/>
      <c r="T1119" s="218"/>
      <c r="U1119" s="65"/>
      <c r="V1119" s="838"/>
      <c r="W1119" s="838"/>
      <c r="X1119" s="838"/>
      <c r="Y1119" s="838"/>
      <c r="Z1119" s="838"/>
      <c r="AA1119" s="838"/>
      <c r="AB1119" s="838"/>
      <c r="AC1119" s="838"/>
      <c r="AD1119" s="838"/>
      <c r="AE1119" s="838"/>
      <c r="AF1119" s="838"/>
    </row>
    <row r="1120" spans="1:32" s="202" customFormat="1" ht="24" customHeight="1">
      <c r="E1120" s="208"/>
      <c r="F1120" s="208"/>
      <c r="G1120" s="208"/>
      <c r="H1120" s="208"/>
      <c r="I1120" s="916" t="s">
        <v>668</v>
      </c>
      <c r="J1120" s="916"/>
      <c r="K1120" s="267" t="s">
        <v>623</v>
      </c>
      <c r="L1120" s="220">
        <f t="shared" ref="L1120:T1120" si="151">L71+L101+L129+L169+L198+L580+L685+L815+L845+L75+L243</f>
        <v>98823</v>
      </c>
      <c r="M1120" s="220">
        <f t="shared" si="151"/>
        <v>102393</v>
      </c>
      <c r="N1120" s="221">
        <f t="shared" si="151"/>
        <v>114578</v>
      </c>
      <c r="O1120" s="221">
        <f t="shared" si="151"/>
        <v>103797</v>
      </c>
      <c r="P1120" s="220">
        <f t="shared" si="151"/>
        <v>104114</v>
      </c>
      <c r="Q1120" s="220">
        <f t="shared" si="151"/>
        <v>109320</v>
      </c>
      <c r="R1120" s="220">
        <f t="shared" si="151"/>
        <v>114788</v>
      </c>
      <c r="S1120" s="220">
        <f t="shared" si="151"/>
        <v>120268</v>
      </c>
      <c r="T1120" s="220">
        <f t="shared" si="151"/>
        <v>126007</v>
      </c>
      <c r="U1120" s="65"/>
      <c r="V1120" s="838"/>
      <c r="W1120" s="838"/>
      <c r="X1120" s="838"/>
      <c r="Y1120" s="838"/>
      <c r="Z1120" s="838"/>
      <c r="AA1120" s="838"/>
      <c r="AB1120" s="838"/>
      <c r="AC1120" s="838"/>
      <c r="AD1120" s="838"/>
      <c r="AE1120" s="838"/>
      <c r="AF1120" s="838"/>
    </row>
    <row r="1121" spans="1:32" s="202" customFormat="1" ht="24" customHeight="1">
      <c r="J1121" s="286"/>
      <c r="L1121" s="232"/>
      <c r="M1121" s="232"/>
      <c r="N1121" s="219"/>
      <c r="O1121" s="219"/>
      <c r="P1121" s="218"/>
      <c r="Q1121" s="218"/>
      <c r="R1121" s="218"/>
      <c r="S1121" s="218"/>
      <c r="T1121" s="218"/>
      <c r="U1121" s="65"/>
      <c r="V1121" s="838"/>
      <c r="W1121" s="838"/>
      <c r="X1121" s="838"/>
      <c r="Y1121" s="838"/>
      <c r="Z1121" s="838"/>
      <c r="AA1121" s="838"/>
      <c r="AB1121" s="838"/>
      <c r="AC1121" s="838"/>
      <c r="AD1121" s="838"/>
      <c r="AE1121" s="838"/>
      <c r="AF1121" s="838"/>
    </row>
    <row r="1122" spans="1:32" s="202" customFormat="1" ht="24" customHeight="1">
      <c r="E1122" s="208"/>
      <c r="F1122" s="208"/>
      <c r="G1122" s="208"/>
      <c r="H1122" s="208"/>
      <c r="I1122" s="916" t="s">
        <v>668</v>
      </c>
      <c r="J1122" s="916"/>
      <c r="K1122" s="267" t="s">
        <v>624</v>
      </c>
      <c r="L1122" s="220">
        <f t="shared" ref="L1122:T1122" si="152">L72+L102+L130+L170+L199+L581+L686+L816+L846+L76+L244</f>
        <v>12661</v>
      </c>
      <c r="M1122" s="220">
        <f t="shared" si="152"/>
        <v>12559</v>
      </c>
      <c r="N1122" s="221">
        <f t="shared" si="152"/>
        <v>13636</v>
      </c>
      <c r="O1122" s="221">
        <f t="shared" si="152"/>
        <v>14234</v>
      </c>
      <c r="P1122" s="220">
        <f t="shared" si="152"/>
        <v>14806</v>
      </c>
      <c r="Q1122" s="220">
        <f t="shared" si="152"/>
        <v>14806</v>
      </c>
      <c r="R1122" s="220">
        <f t="shared" si="152"/>
        <v>14806</v>
      </c>
      <c r="S1122" s="220">
        <f t="shared" si="152"/>
        <v>15212</v>
      </c>
      <c r="T1122" s="220">
        <f t="shared" si="152"/>
        <v>15623</v>
      </c>
      <c r="U1122" s="65"/>
      <c r="V1122" s="838"/>
      <c r="W1122" s="838"/>
      <c r="X1122" s="838"/>
      <c r="Y1122" s="838"/>
      <c r="Z1122" s="838"/>
      <c r="AA1122" s="838"/>
      <c r="AB1122" s="838"/>
      <c r="AC1122" s="838"/>
      <c r="AD1122" s="838"/>
      <c r="AE1122" s="838"/>
      <c r="AF1122" s="838"/>
    </row>
    <row r="1123" spans="1:32" s="202" customFormat="1" ht="24" customHeight="1">
      <c r="I1123" s="287"/>
      <c r="J1123" s="287"/>
      <c r="K1123" s="287"/>
      <c r="L1123" s="232"/>
      <c r="M1123" s="232"/>
      <c r="N1123" s="233"/>
      <c r="O1123" s="233"/>
      <c r="P1123" s="218"/>
      <c r="Q1123" s="218"/>
      <c r="R1123" s="218"/>
      <c r="S1123" s="218"/>
      <c r="T1123" s="218"/>
      <c r="U1123" s="65"/>
      <c r="V1123" s="838"/>
      <c r="W1123" s="838"/>
      <c r="X1123" s="838"/>
      <c r="Y1123" s="838"/>
      <c r="Z1123" s="838"/>
      <c r="AA1123" s="838"/>
      <c r="AB1123" s="838"/>
      <c r="AC1123" s="838"/>
      <c r="AD1123" s="838"/>
      <c r="AE1123" s="838"/>
      <c r="AF1123" s="838"/>
    </row>
    <row r="1124" spans="1:32" s="202" customFormat="1" ht="24" customHeight="1">
      <c r="I1124" s="917" t="s">
        <v>614</v>
      </c>
      <c r="J1124" s="917"/>
      <c r="K1124" s="208" t="s">
        <v>622</v>
      </c>
      <c r="L1124" s="248">
        <f>L902</f>
        <v>68514</v>
      </c>
      <c r="M1124" s="248">
        <f t="shared" ref="M1124:T1124" si="153">M902</f>
        <v>74462</v>
      </c>
      <c r="N1124" s="251">
        <f t="shared" si="153"/>
        <v>88996</v>
      </c>
      <c r="O1124" s="251">
        <f t="shared" si="153"/>
        <v>67475</v>
      </c>
      <c r="P1124" s="252">
        <f t="shared" si="153"/>
        <v>79318</v>
      </c>
      <c r="Q1124" s="252">
        <f t="shared" si="153"/>
        <v>85663</v>
      </c>
      <c r="R1124" s="252">
        <f t="shared" si="153"/>
        <v>92516</v>
      </c>
      <c r="S1124" s="252">
        <f t="shared" si="153"/>
        <v>99917</v>
      </c>
      <c r="T1124" s="252">
        <f t="shared" si="153"/>
        <v>107910</v>
      </c>
      <c r="U1124" s="65"/>
      <c r="V1124" s="838"/>
      <c r="W1124" s="838"/>
      <c r="X1124" s="838"/>
      <c r="Y1124" s="838"/>
      <c r="Z1124" s="838"/>
      <c r="AA1124" s="838"/>
      <c r="AB1124" s="838"/>
      <c r="AC1124" s="838"/>
      <c r="AD1124" s="838"/>
      <c r="AE1124" s="838"/>
      <c r="AF1124" s="838"/>
    </row>
    <row r="1125" spans="1:32" s="267" customFormat="1" ht="24" customHeight="1">
      <c r="I1125" s="902" t="s">
        <v>670</v>
      </c>
      <c r="J1125" s="902"/>
      <c r="K1125" s="267" t="s">
        <v>669</v>
      </c>
      <c r="L1125" s="220">
        <f>L1124</f>
        <v>68514</v>
      </c>
      <c r="M1125" s="220">
        <f t="shared" ref="M1125:T1125" si="154">M1124</f>
        <v>74462</v>
      </c>
      <c r="N1125" s="221">
        <f t="shared" si="154"/>
        <v>88996</v>
      </c>
      <c r="O1125" s="221">
        <f t="shared" si="154"/>
        <v>67475</v>
      </c>
      <c r="P1125" s="220">
        <f t="shared" si="154"/>
        <v>79318</v>
      </c>
      <c r="Q1125" s="220">
        <f t="shared" si="154"/>
        <v>85663</v>
      </c>
      <c r="R1125" s="220">
        <f t="shared" si="154"/>
        <v>92516</v>
      </c>
      <c r="S1125" s="220">
        <f t="shared" si="154"/>
        <v>99917</v>
      </c>
      <c r="T1125" s="220">
        <f t="shared" si="154"/>
        <v>107910</v>
      </c>
      <c r="U1125" s="796"/>
    </row>
    <row r="1126" spans="1:32" s="267" customFormat="1" ht="24" customHeight="1">
      <c r="I1126" s="305"/>
      <c r="J1126" s="305"/>
      <c r="L1126" s="220"/>
      <c r="M1126" s="220"/>
      <c r="N1126" s="221"/>
      <c r="O1126" s="221"/>
      <c r="P1126" s="220"/>
      <c r="Q1126" s="220"/>
      <c r="R1126" s="220"/>
      <c r="S1126" s="220"/>
      <c r="T1126" s="220"/>
      <c r="U1126" s="796"/>
    </row>
    <row r="1127" spans="1:32" s="267" customFormat="1" ht="24" customHeight="1">
      <c r="I1127" s="305"/>
      <c r="J1127" s="305"/>
      <c r="K1127" s="267" t="s">
        <v>623</v>
      </c>
      <c r="L1127" s="220">
        <f>L904</f>
        <v>5034</v>
      </c>
      <c r="M1127" s="220">
        <f t="shared" ref="M1127:T1127" si="155">M904</f>
        <v>5286</v>
      </c>
      <c r="N1127" s="221">
        <f t="shared" si="155"/>
        <v>5550</v>
      </c>
      <c r="O1127" s="221">
        <f t="shared" si="155"/>
        <v>4673</v>
      </c>
      <c r="P1127" s="220">
        <f t="shared" si="155"/>
        <v>4652</v>
      </c>
      <c r="Q1127" s="220">
        <f t="shared" si="155"/>
        <v>4885</v>
      </c>
      <c r="R1127" s="220">
        <f t="shared" si="155"/>
        <v>5129</v>
      </c>
      <c r="S1127" s="220">
        <f t="shared" si="155"/>
        <v>5385</v>
      </c>
      <c r="T1127" s="220">
        <f t="shared" si="155"/>
        <v>5654</v>
      </c>
      <c r="U1127" s="803"/>
    </row>
    <row r="1128" spans="1:32" s="267" customFormat="1" ht="24" customHeight="1">
      <c r="I1128" s="305"/>
      <c r="J1128" s="305"/>
      <c r="L1128" s="220"/>
      <c r="M1128" s="220"/>
      <c r="N1128" s="221"/>
      <c r="O1128" s="221"/>
      <c r="P1128" s="220"/>
      <c r="Q1128" s="220"/>
      <c r="R1128" s="220"/>
      <c r="S1128" s="220"/>
      <c r="T1128" s="220"/>
      <c r="U1128" s="796"/>
    </row>
    <row r="1129" spans="1:32" s="267" customFormat="1" ht="24" customHeight="1">
      <c r="I1129" s="305"/>
      <c r="J1129" s="305"/>
      <c r="K1129" s="267" t="s">
        <v>624</v>
      </c>
      <c r="L1129" s="220">
        <f>L905</f>
        <v>651</v>
      </c>
      <c r="M1129" s="220">
        <f t="shared" ref="M1129:T1129" si="156">M905</f>
        <v>651</v>
      </c>
      <c r="N1129" s="221">
        <f t="shared" si="156"/>
        <v>670</v>
      </c>
      <c r="O1129" s="221">
        <f t="shared" si="156"/>
        <v>638</v>
      </c>
      <c r="P1129" s="220">
        <f t="shared" si="156"/>
        <v>701</v>
      </c>
      <c r="Q1129" s="220">
        <f t="shared" si="156"/>
        <v>701</v>
      </c>
      <c r="R1129" s="220">
        <f t="shared" si="156"/>
        <v>701</v>
      </c>
      <c r="S1129" s="220">
        <f t="shared" si="156"/>
        <v>722</v>
      </c>
      <c r="T1129" s="220">
        <f t="shared" si="156"/>
        <v>744</v>
      </c>
      <c r="U1129" s="796"/>
    </row>
    <row r="1130" spans="1:32" s="267" customFormat="1" ht="24" customHeight="1">
      <c r="I1130" s="438"/>
      <c r="J1130" s="438"/>
      <c r="L1130" s="220"/>
      <c r="M1130" s="220"/>
      <c r="N1130" s="221"/>
      <c r="O1130" s="221"/>
      <c r="P1130" s="220"/>
      <c r="Q1130" s="220"/>
      <c r="R1130" s="220"/>
      <c r="S1130" s="220"/>
      <c r="T1130" s="220"/>
      <c r="U1130" s="796"/>
    </row>
    <row r="1131" spans="1:32" s="296" customFormat="1" ht="24" customHeight="1">
      <c r="A1131" s="903" t="s">
        <v>953</v>
      </c>
      <c r="B1131" s="903"/>
      <c r="C1131" s="903"/>
      <c r="D1131" s="903"/>
      <c r="E1131" s="903"/>
      <c r="F1131" s="903"/>
      <c r="G1131" s="903"/>
      <c r="H1131" s="903"/>
      <c r="I1131" s="903"/>
      <c r="J1131" s="903"/>
      <c r="K1131" s="903"/>
      <c r="L1131" s="298"/>
      <c r="M1131" s="298"/>
      <c r="N1131" s="297"/>
      <c r="O1131" s="297"/>
      <c r="P1131" s="297"/>
      <c r="Q1131" s="297"/>
      <c r="R1131" s="297"/>
      <c r="S1131" s="297"/>
      <c r="T1131" s="297"/>
      <c r="U1131" s="800"/>
      <c r="V1131" s="300"/>
      <c r="W1131" s="300"/>
      <c r="X1131" s="300"/>
      <c r="Y1131" s="300"/>
      <c r="Z1131" s="300"/>
      <c r="AA1131" s="300"/>
      <c r="AB1131" s="300"/>
      <c r="AC1131" s="300"/>
      <c r="AD1131" s="300"/>
      <c r="AE1131" s="300"/>
      <c r="AF1131" s="300"/>
    </row>
    <row r="1132" spans="1:32" s="202" customFormat="1" ht="24" customHeight="1">
      <c r="I1132" s="286"/>
      <c r="J1132" s="286"/>
      <c r="K1132" s="202" t="s">
        <v>954</v>
      </c>
      <c r="L1132" s="232">
        <f t="shared" ref="L1132:T1132" si="157">L9</f>
        <v>2278321</v>
      </c>
      <c r="M1132" s="232">
        <f t="shared" si="157"/>
        <v>2206925</v>
      </c>
      <c r="N1132" s="233">
        <f t="shared" si="157"/>
        <v>2124299</v>
      </c>
      <c r="O1132" s="233">
        <f t="shared" si="157"/>
        <v>2129984</v>
      </c>
      <c r="P1132" s="232">
        <f t="shared" si="157"/>
        <v>2191279</v>
      </c>
      <c r="Q1132" s="232">
        <f t="shared" si="157"/>
        <v>2235105</v>
      </c>
      <c r="R1132" s="232">
        <f t="shared" si="157"/>
        <v>2279807</v>
      </c>
      <c r="S1132" s="232">
        <f t="shared" si="157"/>
        <v>2325403</v>
      </c>
      <c r="T1132" s="232">
        <f t="shared" si="157"/>
        <v>2371911</v>
      </c>
      <c r="U1132" s="65"/>
      <c r="V1132" s="838"/>
      <c r="W1132" s="838"/>
      <c r="X1132" s="838"/>
      <c r="Y1132" s="838"/>
      <c r="Z1132" s="838"/>
      <c r="AA1132" s="838"/>
      <c r="AB1132" s="838"/>
      <c r="AC1132" s="838"/>
      <c r="AD1132" s="838"/>
      <c r="AE1132" s="838"/>
      <c r="AF1132" s="838"/>
    </row>
    <row r="1133" spans="1:32" s="202" customFormat="1" ht="24" customHeight="1">
      <c r="I1133" s="286"/>
      <c r="J1133" s="286"/>
      <c r="K1133" s="202" t="s">
        <v>955</v>
      </c>
      <c r="L1133" s="248">
        <f t="shared" ref="L1133:T1133" si="158">L10</f>
        <v>703105</v>
      </c>
      <c r="M1133" s="248">
        <f t="shared" si="158"/>
        <v>817490</v>
      </c>
      <c r="N1133" s="249">
        <f t="shared" si="158"/>
        <v>966211</v>
      </c>
      <c r="O1133" s="249">
        <f t="shared" si="158"/>
        <v>963908</v>
      </c>
      <c r="P1133" s="248">
        <f t="shared" si="158"/>
        <v>958544</v>
      </c>
      <c r="Q1133" s="248">
        <f t="shared" si="158"/>
        <v>1008544</v>
      </c>
      <c r="R1133" s="248">
        <f t="shared" si="158"/>
        <v>1058544</v>
      </c>
      <c r="S1133" s="248">
        <f t="shared" si="158"/>
        <v>1108544</v>
      </c>
      <c r="T1133" s="248">
        <f t="shared" si="158"/>
        <v>1158544</v>
      </c>
      <c r="U1133" s="312"/>
      <c r="V1133" s="838"/>
      <c r="W1133" s="838"/>
      <c r="X1133" s="838"/>
      <c r="Y1133" s="838"/>
      <c r="Z1133" s="838"/>
      <c r="AA1133" s="838"/>
      <c r="AB1133" s="838"/>
      <c r="AC1133" s="838"/>
      <c r="AD1133" s="838"/>
      <c r="AE1133" s="838"/>
      <c r="AF1133" s="838"/>
    </row>
    <row r="1134" spans="1:32" s="202" customFormat="1" ht="24" customHeight="1">
      <c r="I1134" s="286"/>
      <c r="J1134" s="286"/>
      <c r="L1134" s="232"/>
      <c r="M1134" s="232"/>
      <c r="N1134" s="233"/>
      <c r="O1134" s="233"/>
      <c r="P1134" s="232"/>
      <c r="Q1134" s="232"/>
      <c r="R1134" s="232"/>
      <c r="S1134" s="232"/>
      <c r="T1134" s="232"/>
      <c r="U1134" s="312"/>
      <c r="V1134" s="838"/>
      <c r="W1134" s="838"/>
      <c r="X1134" s="838"/>
      <c r="Y1134" s="838"/>
      <c r="Z1134" s="838"/>
      <c r="AA1134" s="838"/>
      <c r="AB1134" s="838"/>
      <c r="AC1134" s="838"/>
      <c r="AD1134" s="838"/>
      <c r="AE1134" s="838"/>
      <c r="AF1134" s="838"/>
    </row>
    <row r="1135" spans="1:32" s="283" customFormat="1" ht="24" customHeight="1">
      <c r="I1135" s="285"/>
      <c r="J1135" s="285"/>
      <c r="K1135" s="283" t="s">
        <v>957</v>
      </c>
      <c r="L1135" s="232">
        <f t="shared" ref="L1135:T1135" si="159">SUM(L1132:L1134)</f>
        <v>2981426</v>
      </c>
      <c r="M1135" s="232">
        <f t="shared" si="159"/>
        <v>3024415</v>
      </c>
      <c r="N1135" s="233">
        <f t="shared" si="159"/>
        <v>3090510</v>
      </c>
      <c r="O1135" s="233">
        <f t="shared" si="159"/>
        <v>3093892</v>
      </c>
      <c r="P1135" s="232">
        <f t="shared" si="159"/>
        <v>3149823</v>
      </c>
      <c r="Q1135" s="232">
        <f t="shared" si="159"/>
        <v>3243649</v>
      </c>
      <c r="R1135" s="232">
        <f t="shared" si="159"/>
        <v>3338351</v>
      </c>
      <c r="S1135" s="232">
        <f t="shared" si="159"/>
        <v>3433947</v>
      </c>
      <c r="T1135" s="232">
        <f t="shared" si="159"/>
        <v>3530455</v>
      </c>
      <c r="U1135" s="808"/>
    </row>
    <row r="1136" spans="1:32" s="283" customFormat="1" ht="24" customHeight="1">
      <c r="I1136" s="294"/>
      <c r="J1136" s="294"/>
      <c r="L1136" s="239">
        <f>(L1135-2901255)/2901255</f>
        <v>2.7633213902259538E-2</v>
      </c>
      <c r="M1136" s="239">
        <f>(M1135-L1135)/L1135</f>
        <v>1.4418939125103222E-2</v>
      </c>
      <c r="N1136" s="240">
        <f>(N1135-M1135)/M1135</f>
        <v>2.1853813051449619E-2</v>
      </c>
      <c r="O1136" s="240">
        <f>(O1135-M1135)/M1135</f>
        <v>2.2972045833657088E-2</v>
      </c>
      <c r="P1136" s="239">
        <f>(P1135-O1135)/O1135</f>
        <v>1.8077877314398822E-2</v>
      </c>
      <c r="Q1136" s="239">
        <f>(Q1135-P1135)/P1135</f>
        <v>2.9787705531390176E-2</v>
      </c>
      <c r="R1136" s="239">
        <f>(R1135-Q1135)/Q1135</f>
        <v>2.9196130654087417E-2</v>
      </c>
      <c r="S1136" s="239">
        <f>(S1135-R1135)/R1135</f>
        <v>2.8635694688784973E-2</v>
      </c>
      <c r="T1136" s="239">
        <f>(T1135-S1135)/S1135</f>
        <v>2.8104102946259799E-2</v>
      </c>
      <c r="U1136" s="808"/>
    </row>
    <row r="1137" spans="1:32" s="283" customFormat="1" ht="24" customHeight="1">
      <c r="I1137" s="294"/>
      <c r="J1137" s="294"/>
      <c r="L1137" s="255"/>
      <c r="M1137" s="255"/>
      <c r="N1137" s="256"/>
      <c r="O1137" s="256"/>
      <c r="P1137" s="255"/>
      <c r="Q1137" s="255"/>
      <c r="R1137" s="255"/>
      <c r="S1137" s="255"/>
      <c r="T1137" s="255"/>
      <c r="U1137" s="808"/>
    </row>
    <row r="1138" spans="1:32" s="202" customFormat="1" ht="24" customHeight="1">
      <c r="F1138" s="918" t="s">
        <v>636</v>
      </c>
      <c r="G1138" s="918"/>
      <c r="H1138" s="918"/>
      <c r="I1138" s="918"/>
      <c r="J1138" s="918"/>
      <c r="K1138" s="918"/>
      <c r="L1138" s="252">
        <f>L528</f>
        <v>164852</v>
      </c>
      <c r="M1138" s="252">
        <f t="shared" ref="M1138:T1138" si="160">M528</f>
        <v>47070</v>
      </c>
      <c r="N1138" s="251">
        <f t="shared" si="160"/>
        <v>0</v>
      </c>
      <c r="O1138" s="251">
        <f t="shared" si="160"/>
        <v>0</v>
      </c>
      <c r="P1138" s="252">
        <f t="shared" si="160"/>
        <v>0</v>
      </c>
      <c r="Q1138" s="252">
        <f t="shared" si="160"/>
        <v>0</v>
      </c>
      <c r="R1138" s="252">
        <f t="shared" si="160"/>
        <v>0</v>
      </c>
      <c r="S1138" s="252">
        <f t="shared" si="160"/>
        <v>0</v>
      </c>
      <c r="T1138" s="252">
        <f t="shared" si="160"/>
        <v>0</v>
      </c>
      <c r="U1138" s="65"/>
      <c r="V1138" s="838"/>
      <c r="W1138" s="838"/>
      <c r="X1138" s="838"/>
      <c r="Y1138" s="838"/>
      <c r="Z1138" s="838"/>
      <c r="AA1138" s="838"/>
      <c r="AB1138" s="838"/>
      <c r="AC1138" s="838"/>
      <c r="AD1138" s="838"/>
      <c r="AE1138" s="838"/>
      <c r="AF1138" s="838"/>
    </row>
    <row r="1139" spans="1:32" s="470" customFormat="1" ht="24" customHeight="1">
      <c r="F1139" s="468"/>
      <c r="G1139" s="468"/>
      <c r="H1139" s="468"/>
      <c r="I1139" s="468"/>
      <c r="J1139" s="468"/>
      <c r="K1139" s="468"/>
      <c r="L1139" s="276">
        <f>(L1138-333194)/333194</f>
        <v>-0.50523718914506266</v>
      </c>
      <c r="M1139" s="276">
        <f>(M1138-L1138)/L1138</f>
        <v>-0.71447116201198646</v>
      </c>
      <c r="N1139" s="504"/>
      <c r="O1139" s="504"/>
      <c r="P1139" s="505"/>
      <c r="Q1139" s="505"/>
      <c r="R1139" s="505"/>
      <c r="S1139" s="505"/>
      <c r="T1139" s="505"/>
      <c r="U1139" s="65"/>
      <c r="V1139" s="838"/>
      <c r="W1139" s="838"/>
      <c r="X1139" s="838"/>
      <c r="Y1139" s="838"/>
      <c r="Z1139" s="838"/>
      <c r="AA1139" s="838"/>
      <c r="AB1139" s="838"/>
      <c r="AC1139" s="838"/>
      <c r="AD1139" s="838"/>
      <c r="AE1139" s="838"/>
      <c r="AF1139" s="838"/>
    </row>
    <row r="1140" spans="1:32" s="473" customFormat="1" ht="24" customHeight="1">
      <c r="F1140" s="472"/>
      <c r="G1140" s="472"/>
      <c r="H1140" s="472"/>
      <c r="I1140" s="472"/>
      <c r="J1140" s="472"/>
      <c r="K1140" s="472"/>
      <c r="L1140" s="276"/>
      <c r="M1140" s="276"/>
      <c r="N1140" s="504"/>
      <c r="O1140" s="504"/>
      <c r="P1140" s="276"/>
      <c r="Q1140" s="276"/>
      <c r="R1140" s="276"/>
      <c r="S1140" s="505"/>
      <c r="T1140" s="505"/>
      <c r="U1140" s="65"/>
      <c r="V1140" s="838"/>
      <c r="W1140" s="838"/>
      <c r="X1140" s="838"/>
      <c r="Y1140" s="838"/>
      <c r="Z1140" s="838"/>
      <c r="AA1140" s="838"/>
      <c r="AB1140" s="838"/>
      <c r="AC1140" s="838"/>
      <c r="AD1140" s="838"/>
      <c r="AE1140" s="838"/>
      <c r="AF1140" s="838"/>
    </row>
    <row r="1141" spans="1:32" s="473" customFormat="1" ht="24" customHeight="1">
      <c r="F1141" s="472"/>
      <c r="G1141" s="472"/>
      <c r="H1141" s="472"/>
      <c r="I1141" s="472"/>
      <c r="J1141" s="472"/>
      <c r="K1141" s="474" t="s">
        <v>956</v>
      </c>
      <c r="L1141" s="272">
        <f>L1135+L1138</f>
        <v>3146278</v>
      </c>
      <c r="M1141" s="272">
        <f t="shared" ref="M1141:T1141" si="161">M1135+M1138</f>
        <v>3071485</v>
      </c>
      <c r="N1141" s="503">
        <f t="shared" si="161"/>
        <v>3090510</v>
      </c>
      <c r="O1141" s="503">
        <f t="shared" si="161"/>
        <v>3093892</v>
      </c>
      <c r="P1141" s="272">
        <f t="shared" si="161"/>
        <v>3149823</v>
      </c>
      <c r="Q1141" s="272">
        <f t="shared" si="161"/>
        <v>3243649</v>
      </c>
      <c r="R1141" s="272">
        <f t="shared" si="161"/>
        <v>3338351</v>
      </c>
      <c r="S1141" s="272">
        <f t="shared" si="161"/>
        <v>3433947</v>
      </c>
      <c r="T1141" s="272">
        <f t="shared" si="161"/>
        <v>3530455</v>
      </c>
      <c r="U1141" s="65"/>
      <c r="V1141" s="838"/>
      <c r="W1141" s="838"/>
      <c r="X1141" s="838"/>
      <c r="Y1141" s="838"/>
      <c r="Z1141" s="838"/>
      <c r="AA1141" s="838"/>
      <c r="AB1141" s="838"/>
      <c r="AC1141" s="838"/>
      <c r="AD1141" s="838"/>
      <c r="AE1141" s="838"/>
      <c r="AF1141" s="838"/>
    </row>
    <row r="1142" spans="1:32" s="508" customFormat="1" ht="24" customHeight="1">
      <c r="F1142" s="507"/>
      <c r="G1142" s="507"/>
      <c r="H1142" s="507"/>
      <c r="I1142" s="507"/>
      <c r="J1142" s="507"/>
      <c r="K1142" s="474"/>
      <c r="L1142" s="569">
        <f>(L1141-3234449)/3234449</f>
        <v>-2.7259975346651005E-2</v>
      </c>
      <c r="M1142" s="569">
        <f>(M1141-L1141)/L1141</f>
        <v>-2.3771898096735255E-2</v>
      </c>
      <c r="N1142" s="570"/>
      <c r="O1142" s="570">
        <f>(O1141-M1141)/M1141</f>
        <v>7.2951682980708027E-3</v>
      </c>
      <c r="P1142" s="569">
        <f>(P1141-O1141)/O1141</f>
        <v>1.8077877314398822E-2</v>
      </c>
      <c r="Q1142" s="569">
        <f>(Q1141-P1141)/P1141</f>
        <v>2.9787705531390176E-2</v>
      </c>
      <c r="R1142" s="569">
        <f>(R1141-Q1141)/Q1141</f>
        <v>2.9196130654087417E-2</v>
      </c>
      <c r="S1142" s="569">
        <f>(S1141-R1141)/R1141</f>
        <v>2.8635694688784973E-2</v>
      </c>
      <c r="T1142" s="569">
        <f>(T1141-S1141)/S1141</f>
        <v>2.8104102946259799E-2</v>
      </c>
      <c r="U1142" s="65"/>
      <c r="V1142" s="838"/>
      <c r="W1142" s="838"/>
      <c r="X1142" s="838"/>
      <c r="Y1142" s="838"/>
      <c r="Z1142" s="838"/>
      <c r="AA1142" s="838"/>
      <c r="AB1142" s="838"/>
      <c r="AC1142" s="838"/>
      <c r="AD1142" s="838"/>
      <c r="AE1142" s="838"/>
      <c r="AF1142" s="838"/>
    </row>
    <row r="1143" spans="1:32" s="473" customFormat="1" ht="24" customHeight="1">
      <c r="F1143" s="472"/>
      <c r="G1143" s="472"/>
      <c r="H1143" s="472"/>
      <c r="I1143" s="472"/>
      <c r="J1143" s="472"/>
      <c r="K1143" s="472"/>
      <c r="L1143" s="239"/>
      <c r="M1143" s="239"/>
      <c r="N1143" s="240"/>
      <c r="O1143" s="240"/>
      <c r="P1143" s="239"/>
      <c r="Q1143" s="239"/>
      <c r="R1143" s="239"/>
      <c r="S1143" s="400"/>
      <c r="T1143" s="400"/>
      <c r="U1143" s="65"/>
      <c r="V1143" s="838"/>
      <c r="W1143" s="838"/>
      <c r="X1143" s="838"/>
      <c r="Y1143" s="838"/>
      <c r="Z1143" s="838"/>
      <c r="AA1143" s="838"/>
      <c r="AB1143" s="838"/>
      <c r="AC1143" s="838"/>
      <c r="AD1143" s="838"/>
      <c r="AE1143" s="838"/>
      <c r="AF1143" s="838"/>
    </row>
    <row r="1144" spans="1:32" s="473" customFormat="1" ht="24" customHeight="1">
      <c r="F1144" s="472"/>
      <c r="G1144" s="472"/>
      <c r="H1144" s="472"/>
      <c r="I1144" s="472"/>
      <c r="J1144" s="472"/>
      <c r="K1144" s="472" t="s">
        <v>544</v>
      </c>
      <c r="L1144" s="289">
        <f>L881</f>
        <v>622529</v>
      </c>
      <c r="M1144" s="289">
        <f t="shared" ref="M1144:T1144" si="162">M881</f>
        <v>626183</v>
      </c>
      <c r="N1144" s="502">
        <f t="shared" si="162"/>
        <v>645867</v>
      </c>
      <c r="O1144" s="502">
        <f t="shared" si="162"/>
        <v>644025</v>
      </c>
      <c r="P1144" s="289">
        <f t="shared" si="162"/>
        <v>672505</v>
      </c>
      <c r="Q1144" s="289">
        <f t="shared" si="162"/>
        <v>685955</v>
      </c>
      <c r="R1144" s="289">
        <f t="shared" si="162"/>
        <v>699674</v>
      </c>
      <c r="S1144" s="289">
        <f t="shared" si="162"/>
        <v>713667</v>
      </c>
      <c r="T1144" s="289">
        <f t="shared" si="162"/>
        <v>727940</v>
      </c>
      <c r="U1144" s="65"/>
      <c r="V1144" s="838"/>
      <c r="W1144" s="838"/>
      <c r="X1144" s="838"/>
      <c r="Y1144" s="838"/>
      <c r="Z1144" s="838"/>
      <c r="AA1144" s="838"/>
      <c r="AB1144" s="838"/>
      <c r="AC1144" s="838"/>
      <c r="AD1144" s="838"/>
      <c r="AE1144" s="838"/>
      <c r="AF1144" s="838"/>
    </row>
    <row r="1145" spans="1:32" s="473" customFormat="1" ht="24" customHeight="1">
      <c r="F1145" s="472"/>
      <c r="G1145" s="472"/>
      <c r="H1145" s="472"/>
      <c r="I1145" s="472"/>
      <c r="J1145" s="472"/>
      <c r="K1145" s="472" t="s">
        <v>473</v>
      </c>
      <c r="L1145" s="500">
        <f t="shared" ref="L1145:T1145" si="163">L882</f>
        <v>746621</v>
      </c>
      <c r="M1145" s="500">
        <f t="shared" si="163"/>
        <v>745908</v>
      </c>
      <c r="N1145" s="501">
        <f t="shared" si="163"/>
        <v>757396</v>
      </c>
      <c r="O1145" s="501">
        <f t="shared" si="163"/>
        <v>758634</v>
      </c>
      <c r="P1145" s="500">
        <f t="shared" si="163"/>
        <v>792101</v>
      </c>
      <c r="Q1145" s="500">
        <f t="shared" si="163"/>
        <v>797013</v>
      </c>
      <c r="R1145" s="500">
        <f t="shared" si="163"/>
        <v>827088</v>
      </c>
      <c r="S1145" s="500">
        <f t="shared" si="163"/>
        <v>840225</v>
      </c>
      <c r="T1145" s="500">
        <f t="shared" si="163"/>
        <v>847313</v>
      </c>
      <c r="U1145" s="65"/>
      <c r="V1145" s="838"/>
      <c r="W1145" s="838"/>
      <c r="X1145" s="838"/>
      <c r="Y1145" s="838"/>
      <c r="Z1145" s="838"/>
      <c r="AA1145" s="838"/>
      <c r="AB1145" s="838"/>
      <c r="AC1145" s="838"/>
      <c r="AD1145" s="838"/>
      <c r="AE1145" s="838"/>
      <c r="AF1145" s="838"/>
    </row>
    <row r="1146" spans="1:32" s="473" customFormat="1" ht="24" customHeight="1">
      <c r="F1146" s="472"/>
      <c r="G1146" s="472"/>
      <c r="H1146" s="472"/>
      <c r="I1146" s="472"/>
      <c r="J1146" s="472"/>
      <c r="K1146" s="474" t="s">
        <v>1167</v>
      </c>
      <c r="L1146" s="272">
        <f>L1144+L1145</f>
        <v>1369150</v>
      </c>
      <c r="M1146" s="272">
        <f t="shared" ref="M1146:T1146" si="164">M1144+M1145</f>
        <v>1372091</v>
      </c>
      <c r="N1146" s="503">
        <f t="shared" si="164"/>
        <v>1403263</v>
      </c>
      <c r="O1146" s="503">
        <f t="shared" si="164"/>
        <v>1402659</v>
      </c>
      <c r="P1146" s="272">
        <f t="shared" si="164"/>
        <v>1464606</v>
      </c>
      <c r="Q1146" s="272">
        <f t="shared" si="164"/>
        <v>1482968</v>
      </c>
      <c r="R1146" s="272">
        <f t="shared" si="164"/>
        <v>1526762</v>
      </c>
      <c r="S1146" s="272">
        <f t="shared" si="164"/>
        <v>1553892</v>
      </c>
      <c r="T1146" s="272">
        <f t="shared" si="164"/>
        <v>1575253</v>
      </c>
      <c r="U1146" s="65"/>
      <c r="V1146" s="838"/>
      <c r="W1146" s="838"/>
      <c r="X1146" s="838"/>
      <c r="Y1146" s="838"/>
      <c r="Z1146" s="838"/>
      <c r="AA1146" s="838"/>
      <c r="AB1146" s="838"/>
      <c r="AC1146" s="838"/>
      <c r="AD1146" s="838"/>
      <c r="AE1146" s="838"/>
      <c r="AF1146" s="838"/>
    </row>
    <row r="1147" spans="1:32" s="496" customFormat="1" ht="24" customHeight="1">
      <c r="F1147" s="495"/>
      <c r="G1147" s="495"/>
      <c r="H1147" s="495"/>
      <c r="I1147" s="495"/>
      <c r="J1147" s="495"/>
      <c r="K1147" s="474"/>
      <c r="L1147" s="475"/>
      <c r="M1147" s="475"/>
      <c r="N1147" s="476"/>
      <c r="O1147" s="476"/>
      <c r="P1147" s="475"/>
      <c r="Q1147" s="475"/>
      <c r="R1147" s="475"/>
      <c r="S1147" s="475"/>
      <c r="T1147" s="475"/>
      <c r="U1147" s="65"/>
      <c r="V1147" s="838"/>
      <c r="W1147" s="838"/>
      <c r="X1147" s="838"/>
      <c r="Y1147" s="838"/>
      <c r="Z1147" s="838"/>
      <c r="AA1147" s="838"/>
      <c r="AB1147" s="838"/>
      <c r="AC1147" s="838"/>
      <c r="AD1147" s="838"/>
      <c r="AE1147" s="838"/>
      <c r="AF1147" s="838"/>
    </row>
    <row r="1148" spans="1:32" s="496" customFormat="1" ht="24" customHeight="1">
      <c r="F1148" s="495"/>
      <c r="G1148" s="495"/>
      <c r="H1148" s="495"/>
      <c r="I1148" s="495"/>
      <c r="J1148" s="495"/>
      <c r="K1148" s="474" t="s">
        <v>1185</v>
      </c>
      <c r="L1148" s="500">
        <f t="shared" ref="L1148:T1148" si="165">L287+L305</f>
        <v>25680</v>
      </c>
      <c r="M1148" s="500">
        <f t="shared" si="165"/>
        <v>27719</v>
      </c>
      <c r="N1148" s="501">
        <f t="shared" si="165"/>
        <v>22845</v>
      </c>
      <c r="O1148" s="501">
        <f t="shared" si="165"/>
        <v>22846</v>
      </c>
      <c r="P1148" s="500">
        <f t="shared" si="165"/>
        <v>29018</v>
      </c>
      <c r="Q1148" s="500">
        <f t="shared" si="165"/>
        <v>31520</v>
      </c>
      <c r="R1148" s="500">
        <f t="shared" si="165"/>
        <v>34684</v>
      </c>
      <c r="S1148" s="500">
        <f t="shared" si="165"/>
        <v>34684</v>
      </c>
      <c r="T1148" s="500">
        <f t="shared" si="165"/>
        <v>34684</v>
      </c>
      <c r="U1148" s="65"/>
      <c r="V1148" s="838"/>
      <c r="W1148" s="838"/>
      <c r="X1148" s="838"/>
      <c r="Y1148" s="838"/>
      <c r="Z1148" s="838"/>
      <c r="AA1148" s="838"/>
      <c r="AB1148" s="838"/>
      <c r="AC1148" s="838"/>
      <c r="AD1148" s="838"/>
      <c r="AE1148" s="838"/>
      <c r="AF1148" s="838"/>
    </row>
    <row r="1149" spans="1:32" s="496" customFormat="1" ht="24" customHeight="1">
      <c r="F1149" s="495"/>
      <c r="G1149" s="495"/>
      <c r="H1149" s="495"/>
      <c r="I1149" s="495"/>
      <c r="J1149" s="495"/>
      <c r="K1149" s="474"/>
      <c r="L1149" s="273">
        <f>(L1148-25953)/25953</f>
        <v>-1.0519015142758062E-2</v>
      </c>
      <c r="M1149" s="273">
        <f>(M1148-L1148)/L1148</f>
        <v>7.940031152647975E-2</v>
      </c>
      <c r="N1149" s="506">
        <f>(N1148-M1148)/M1148</f>
        <v>-0.17583606912226271</v>
      </c>
      <c r="O1149" s="506">
        <f>(O1148-M1148)/M1148</f>
        <v>-0.17579999278473249</v>
      </c>
      <c r="P1149" s="273">
        <f>(P1148-O1148)/O1148</f>
        <v>0.27015670139192854</v>
      </c>
      <c r="Q1149" s="273">
        <f>(Q1148-P1148)/P1148</f>
        <v>8.6222344751533536E-2</v>
      </c>
      <c r="R1149" s="273">
        <v>0</v>
      </c>
      <c r="S1149" s="273">
        <v>0</v>
      </c>
      <c r="T1149" s="273">
        <v>0</v>
      </c>
      <c r="U1149" s="65"/>
      <c r="V1149" s="838"/>
      <c r="W1149" s="838"/>
      <c r="X1149" s="838"/>
      <c r="Y1149" s="838"/>
      <c r="Z1149" s="838"/>
      <c r="AA1149" s="838"/>
      <c r="AB1149" s="838"/>
      <c r="AC1149" s="838"/>
      <c r="AD1149" s="838"/>
      <c r="AE1149" s="838"/>
      <c r="AF1149" s="838"/>
    </row>
    <row r="1150" spans="1:32" s="496" customFormat="1" ht="24" customHeight="1">
      <c r="F1150" s="495"/>
      <c r="G1150" s="495"/>
      <c r="H1150" s="495"/>
      <c r="I1150" s="495"/>
      <c r="J1150" s="495"/>
      <c r="K1150" s="474"/>
      <c r="L1150" s="475"/>
      <c r="M1150" s="475"/>
      <c r="N1150" s="476"/>
      <c r="O1150" s="476"/>
      <c r="P1150" s="475"/>
      <c r="Q1150" s="475"/>
      <c r="R1150" s="475"/>
      <c r="S1150" s="475"/>
      <c r="T1150" s="475"/>
      <c r="U1150" s="65"/>
      <c r="V1150" s="838"/>
      <c r="W1150" s="838"/>
      <c r="X1150" s="838"/>
      <c r="Y1150" s="838"/>
      <c r="Z1150" s="838"/>
      <c r="AA1150" s="838"/>
      <c r="AB1150" s="838"/>
      <c r="AC1150" s="838"/>
      <c r="AD1150" s="838"/>
      <c r="AE1150" s="838"/>
      <c r="AF1150" s="838"/>
    </row>
    <row r="1151" spans="1:32" s="827" customFormat="1" ht="24" customHeight="1">
      <c r="A1151" s="903" t="s">
        <v>1415</v>
      </c>
      <c r="B1151" s="903"/>
      <c r="C1151" s="903"/>
      <c r="D1151" s="903"/>
      <c r="E1151" s="903"/>
      <c r="F1151" s="903"/>
      <c r="G1151" s="903"/>
      <c r="H1151" s="903"/>
      <c r="I1151" s="903"/>
      <c r="J1151" s="903"/>
      <c r="K1151" s="903"/>
      <c r="L1151" s="298"/>
      <c r="M1151" s="298"/>
      <c r="N1151" s="297"/>
      <c r="O1151" s="297"/>
      <c r="P1151" s="297"/>
      <c r="Q1151" s="297"/>
      <c r="R1151" s="297"/>
      <c r="S1151" s="297"/>
      <c r="T1151" s="297"/>
      <c r="U1151" s="65"/>
      <c r="V1151" s="838"/>
      <c r="W1151" s="838"/>
      <c r="X1151" s="838"/>
      <c r="Y1151" s="838"/>
      <c r="Z1151" s="838"/>
      <c r="AA1151" s="838"/>
      <c r="AB1151" s="838"/>
      <c r="AC1151" s="838"/>
      <c r="AD1151" s="838"/>
      <c r="AE1151" s="838"/>
      <c r="AF1151" s="838"/>
    </row>
    <row r="1152" spans="1:32" s="496" customFormat="1" ht="24" customHeight="1">
      <c r="F1152" s="495"/>
      <c r="G1152" s="495"/>
      <c r="H1152" s="495"/>
      <c r="I1152" s="495"/>
      <c r="J1152" s="495"/>
      <c r="K1152" s="828" t="s">
        <v>1186</v>
      </c>
      <c r="L1152" s="500">
        <f t="shared" ref="L1152:T1152" si="166">L972+L1003</f>
        <v>212652</v>
      </c>
      <c r="M1152" s="500">
        <f t="shared" si="166"/>
        <v>282667</v>
      </c>
      <c r="N1152" s="501">
        <f t="shared" si="166"/>
        <v>295000</v>
      </c>
      <c r="O1152" s="501">
        <f t="shared" si="166"/>
        <v>274480</v>
      </c>
      <c r="P1152" s="500">
        <f t="shared" si="166"/>
        <v>326261</v>
      </c>
      <c r="Q1152" s="500">
        <f t="shared" si="166"/>
        <v>353732</v>
      </c>
      <c r="R1152" s="500">
        <f t="shared" si="166"/>
        <v>527258</v>
      </c>
      <c r="S1152" s="500">
        <f t="shared" si="166"/>
        <v>545526</v>
      </c>
      <c r="T1152" s="500">
        <f t="shared" si="166"/>
        <v>559192</v>
      </c>
      <c r="U1152" s="65"/>
      <c r="V1152" s="838"/>
      <c r="W1152" s="838"/>
      <c r="X1152" s="838"/>
      <c r="Y1152" s="838"/>
      <c r="Z1152" s="838"/>
      <c r="AA1152" s="838"/>
      <c r="AB1152" s="838"/>
      <c r="AC1152" s="838"/>
      <c r="AD1152" s="838"/>
      <c r="AE1152" s="838"/>
      <c r="AF1152" s="838"/>
    </row>
    <row r="1153" spans="1:32" s="496" customFormat="1" ht="24" customHeight="1">
      <c r="F1153" s="495"/>
      <c r="G1153" s="495"/>
      <c r="H1153" s="495"/>
      <c r="I1153" s="495"/>
      <c r="J1153" s="495"/>
      <c r="K1153" s="474"/>
      <c r="L1153" s="273">
        <f>(L1152-69322)/69322</f>
        <v>2.0675975880672803</v>
      </c>
      <c r="M1153" s="273">
        <f>(M1152-L1152)/L1152</f>
        <v>0.32924684460997311</v>
      </c>
      <c r="N1153" s="506">
        <f>(N1152-M1152)/M1152</f>
        <v>4.3630844774947199E-2</v>
      </c>
      <c r="O1153" s="506">
        <f>(O1152-M1152)/M1152</f>
        <v>-2.8963409241262686E-2</v>
      </c>
      <c r="P1153" s="273">
        <f>(P1152-O1152)/O1152</f>
        <v>0.1886512678519382</v>
      </c>
      <c r="Q1153" s="273">
        <f>(Q1152-P1152)/P1152</f>
        <v>8.4199459941580512E-2</v>
      </c>
      <c r="R1153" s="273">
        <v>0</v>
      </c>
      <c r="S1153" s="273">
        <v>0</v>
      </c>
      <c r="T1153" s="273">
        <v>0</v>
      </c>
      <c r="U1153" s="65"/>
      <c r="V1153" s="838"/>
      <c r="W1153" s="838"/>
      <c r="X1153" s="838"/>
      <c r="Y1153" s="838"/>
      <c r="Z1153" s="838"/>
      <c r="AA1153" s="838"/>
      <c r="AB1153" s="838"/>
      <c r="AC1153" s="838"/>
      <c r="AD1153" s="838"/>
      <c r="AE1153" s="838"/>
      <c r="AF1153" s="838"/>
    </row>
    <row r="1154" spans="1:32" s="496" customFormat="1" ht="24" customHeight="1">
      <c r="F1154" s="495"/>
      <c r="G1154" s="495"/>
      <c r="H1154" s="495"/>
      <c r="I1154" s="495"/>
      <c r="J1154" s="495"/>
      <c r="K1154" s="474"/>
      <c r="L1154" s="475"/>
      <c r="M1154" s="475"/>
      <c r="N1154" s="476"/>
      <c r="O1154" s="476"/>
      <c r="P1154" s="475"/>
      <c r="Q1154" s="475"/>
      <c r="R1154" s="475"/>
      <c r="S1154" s="475"/>
      <c r="T1154" s="475"/>
      <c r="U1154" s="65"/>
      <c r="V1154" s="838"/>
      <c r="W1154" s="838"/>
      <c r="X1154" s="838"/>
      <c r="Y1154" s="838"/>
      <c r="Z1154" s="838"/>
      <c r="AA1154" s="838"/>
      <c r="AB1154" s="838"/>
      <c r="AC1154" s="838"/>
      <c r="AD1154" s="838"/>
      <c r="AE1154" s="838"/>
      <c r="AF1154" s="838"/>
    </row>
    <row r="1155" spans="1:32" s="496" customFormat="1" ht="24" customHeight="1">
      <c r="F1155" s="495"/>
      <c r="G1155" s="495"/>
      <c r="H1155" s="495"/>
      <c r="I1155" s="495"/>
      <c r="J1155" s="495"/>
      <c r="K1155" s="474" t="s">
        <v>1187</v>
      </c>
      <c r="L1155" s="500">
        <f t="shared" ref="L1155:T1155" si="167">L28</f>
        <v>148223</v>
      </c>
      <c r="M1155" s="500">
        <f t="shared" si="167"/>
        <v>145522</v>
      </c>
      <c r="N1155" s="501">
        <f t="shared" si="167"/>
        <v>150000</v>
      </c>
      <c r="O1155" s="501">
        <f t="shared" si="167"/>
        <v>131612</v>
      </c>
      <c r="P1155" s="500">
        <f t="shared" si="167"/>
        <v>135000</v>
      </c>
      <c r="Q1155" s="500">
        <f t="shared" si="167"/>
        <v>140000</v>
      </c>
      <c r="R1155" s="500">
        <f t="shared" si="167"/>
        <v>145000</v>
      </c>
      <c r="S1155" s="500">
        <f t="shared" si="167"/>
        <v>150000</v>
      </c>
      <c r="T1155" s="500">
        <f t="shared" si="167"/>
        <v>155000</v>
      </c>
      <c r="U1155" s="65"/>
      <c r="V1155" s="838"/>
      <c r="W1155" s="838"/>
      <c r="X1155" s="838"/>
      <c r="Y1155" s="838"/>
      <c r="Z1155" s="838"/>
      <c r="AA1155" s="838"/>
      <c r="AB1155" s="838"/>
      <c r="AC1155" s="838"/>
      <c r="AD1155" s="838"/>
      <c r="AE1155" s="838"/>
      <c r="AF1155" s="838"/>
    </row>
    <row r="1156" spans="1:32" s="498" customFormat="1" ht="24" customHeight="1">
      <c r="F1156" s="499"/>
      <c r="G1156" s="499"/>
      <c r="H1156" s="499"/>
      <c r="I1156" s="499"/>
      <c r="J1156" s="499"/>
      <c r="K1156" s="474"/>
      <c r="L1156" s="273">
        <f>(L1155-171756)/171756</f>
        <v>-0.13701413633293744</v>
      </c>
      <c r="M1156" s="273">
        <f>(M1155-L1155)/L1155</f>
        <v>-1.8222543060118876E-2</v>
      </c>
      <c r="N1156" s="506">
        <f>(N1155-M1155)/M1155</f>
        <v>3.0771979494509421E-2</v>
      </c>
      <c r="O1156" s="506">
        <f>(O1155-M1155)/M1155</f>
        <v>-9.5586921565124175E-2</v>
      </c>
      <c r="P1156" s="273">
        <f>(P1155-O1155)/O1155</f>
        <v>2.5742333525818315E-2</v>
      </c>
      <c r="Q1156" s="273">
        <f>(Q1155-P1155)/P1155</f>
        <v>3.7037037037037035E-2</v>
      </c>
      <c r="R1156" s="273">
        <v>0</v>
      </c>
      <c r="S1156" s="273">
        <v>0</v>
      </c>
      <c r="T1156" s="273">
        <v>0</v>
      </c>
      <c r="U1156" s="65"/>
      <c r="V1156" s="838"/>
      <c r="W1156" s="838"/>
      <c r="X1156" s="838"/>
      <c r="Y1156" s="838"/>
      <c r="Z1156" s="838"/>
      <c r="AA1156" s="838"/>
      <c r="AB1156" s="838"/>
      <c r="AC1156" s="838"/>
      <c r="AD1156" s="838"/>
      <c r="AE1156" s="838"/>
      <c r="AF1156" s="838"/>
    </row>
    <row r="1157" spans="1:32" s="202" customFormat="1" ht="24" customHeight="1">
      <c r="F1157" s="268"/>
      <c r="G1157" s="268"/>
      <c r="H1157" s="268"/>
      <c r="I1157" s="268"/>
      <c r="J1157" s="268"/>
      <c r="K1157" s="268"/>
      <c r="L1157" s="220"/>
      <c r="M1157" s="220"/>
      <c r="N1157" s="221"/>
      <c r="O1157" s="221"/>
      <c r="P1157" s="220"/>
      <c r="Q1157" s="220"/>
      <c r="R1157" s="220"/>
      <c r="S1157" s="220"/>
      <c r="T1157" s="220"/>
      <c r="U1157" s="65"/>
      <c r="V1157" s="838"/>
      <c r="W1157" s="838"/>
      <c r="X1157" s="838"/>
      <c r="Y1157" s="838"/>
      <c r="Z1157" s="838"/>
      <c r="AA1157" s="838"/>
      <c r="AB1157" s="838"/>
      <c r="AC1157" s="838"/>
      <c r="AD1157" s="838"/>
      <c r="AE1157" s="838"/>
      <c r="AF1157" s="838"/>
    </row>
    <row r="1158" spans="1:32" s="202" customFormat="1" ht="24" customHeight="1">
      <c r="A1158" s="239"/>
      <c r="F1158" s="268"/>
      <c r="G1158" s="268"/>
      <c r="H1158" s="268"/>
      <c r="I1158" s="268"/>
      <c r="J1158" s="268"/>
      <c r="K1158" s="471" t="s">
        <v>1168</v>
      </c>
      <c r="L1158" s="253">
        <f>L1135+L1138+L1146+L1148+L1152+L1155</f>
        <v>4901983</v>
      </c>
      <c r="M1158" s="253">
        <f t="shared" ref="M1158:T1158" si="168">M1135+M1138+M1146+M1148+M1152+M1155</f>
        <v>4899484</v>
      </c>
      <c r="N1158" s="254">
        <f t="shared" si="168"/>
        <v>4961618</v>
      </c>
      <c r="O1158" s="254">
        <f t="shared" si="168"/>
        <v>4925489</v>
      </c>
      <c r="P1158" s="253">
        <f t="shared" si="168"/>
        <v>5104708</v>
      </c>
      <c r="Q1158" s="253">
        <f t="shared" si="168"/>
        <v>5251869</v>
      </c>
      <c r="R1158" s="253">
        <f t="shared" si="168"/>
        <v>5572055</v>
      </c>
      <c r="S1158" s="253">
        <f t="shared" si="168"/>
        <v>5718049</v>
      </c>
      <c r="T1158" s="253">
        <f t="shared" si="168"/>
        <v>5854584</v>
      </c>
      <c r="U1158" s="65"/>
      <c r="V1158" s="838"/>
      <c r="W1158" s="838"/>
      <c r="X1158" s="838"/>
      <c r="Y1158" s="838"/>
      <c r="Z1158" s="838"/>
      <c r="AA1158" s="838"/>
      <c r="AB1158" s="838"/>
      <c r="AC1158" s="838"/>
      <c r="AD1158" s="838"/>
      <c r="AE1158" s="838"/>
      <c r="AF1158" s="838"/>
    </row>
    <row r="1159" spans="1:32" s="202" customFormat="1" ht="24" customHeight="1">
      <c r="F1159" s="268"/>
      <c r="G1159" s="268"/>
      <c r="H1159" s="268"/>
      <c r="I1159" s="268"/>
      <c r="J1159" s="268"/>
      <c r="K1159" s="268"/>
      <c r="L1159" s="239">
        <f>(L1158-4856192)/4856192</f>
        <v>9.4294047681805007E-3</v>
      </c>
      <c r="M1159" s="239">
        <f>(M1158-L1158)/L1158</f>
        <v>-5.0979368961499871E-4</v>
      </c>
      <c r="N1159" s="240">
        <f>(N1158-M1158)/M1158</f>
        <v>1.2681743628512716E-2</v>
      </c>
      <c r="O1159" s="240">
        <f>(O1158-M1158)/M1158</f>
        <v>5.3077017906375448E-3</v>
      </c>
      <c r="P1159" s="239">
        <f>(P1158-O1158)/O1158</f>
        <v>3.6386031924952017E-2</v>
      </c>
      <c r="Q1159" s="239">
        <f>(Q1158-P1158)/P1158</f>
        <v>2.8828485390349459E-2</v>
      </c>
      <c r="R1159" s="239">
        <f>(R1158-Q1158)/Q1158</f>
        <v>6.0966105590219408E-2</v>
      </c>
      <c r="S1159" s="239">
        <f>(S1158-R1158)/R1158</f>
        <v>2.6201105337258876E-2</v>
      </c>
      <c r="T1159" s="239">
        <f>(T1158-S1158)/S1158</f>
        <v>2.3877899612262853E-2</v>
      </c>
      <c r="U1159" s="809"/>
      <c r="V1159" s="838"/>
      <c r="W1159" s="838"/>
      <c r="X1159" s="838"/>
      <c r="Y1159" s="838"/>
      <c r="Z1159" s="838"/>
      <c r="AA1159" s="838"/>
      <c r="AB1159" s="838"/>
      <c r="AC1159" s="838"/>
      <c r="AD1159" s="838"/>
      <c r="AE1159" s="838"/>
      <c r="AF1159" s="838"/>
    </row>
    <row r="1160" spans="1:32" s="404" customFormat="1" ht="24" customHeight="1">
      <c r="F1160" s="406"/>
      <c r="G1160" s="406"/>
      <c r="H1160" s="406"/>
      <c r="I1160" s="406"/>
      <c r="J1160" s="406"/>
      <c r="K1160" s="406"/>
      <c r="L1160" s="239"/>
      <c r="M1160" s="239"/>
      <c r="N1160" s="240"/>
      <c r="O1160" s="247"/>
      <c r="P1160" s="239"/>
      <c r="Q1160" s="239"/>
      <c r="R1160" s="239"/>
      <c r="S1160" s="239"/>
      <c r="T1160" s="239"/>
      <c r="U1160" s="809"/>
      <c r="V1160" s="838"/>
      <c r="W1160" s="838"/>
      <c r="X1160" s="838"/>
      <c r="Y1160" s="838"/>
      <c r="Z1160" s="838"/>
      <c r="AA1160" s="838"/>
      <c r="AB1160" s="838"/>
      <c r="AC1160" s="838"/>
      <c r="AD1160" s="838"/>
      <c r="AE1160" s="838"/>
      <c r="AF1160" s="838"/>
    </row>
    <row r="1161" spans="1:32" s="404" customFormat="1" ht="24" customHeight="1">
      <c r="F1161" s="905" t="s">
        <v>1104</v>
      </c>
      <c r="G1161" s="905"/>
      <c r="H1161" s="905"/>
      <c r="I1161" s="905"/>
      <c r="J1161" s="905"/>
      <c r="K1161" s="905"/>
      <c r="L1161" s="408">
        <f>L1162+L1163</f>
        <v>3889792</v>
      </c>
      <c r="M1161" s="408">
        <f t="shared" ref="M1161:T1161" si="169">M1162+M1163</f>
        <v>4163503</v>
      </c>
      <c r="N1161" s="409">
        <f t="shared" si="169"/>
        <v>3389317</v>
      </c>
      <c r="O1161" s="409">
        <f t="shared" si="169"/>
        <v>3389317</v>
      </c>
      <c r="P1161" s="408">
        <f t="shared" si="169"/>
        <v>3603414</v>
      </c>
      <c r="Q1161" s="408">
        <f t="shared" si="169"/>
        <v>2836844</v>
      </c>
      <c r="R1161" s="408">
        <f t="shared" si="169"/>
        <v>2781920</v>
      </c>
      <c r="S1161" s="408">
        <f t="shared" si="169"/>
        <v>2785947</v>
      </c>
      <c r="T1161" s="408">
        <f t="shared" si="169"/>
        <v>2783368</v>
      </c>
      <c r="U1161" s="809"/>
      <c r="V1161" s="838"/>
      <c r="W1161" s="838"/>
      <c r="X1161" s="838"/>
      <c r="Y1161" s="838"/>
      <c r="Z1161" s="838"/>
      <c r="AA1161" s="838"/>
      <c r="AB1161" s="838"/>
      <c r="AC1161" s="838"/>
      <c r="AD1161" s="838"/>
      <c r="AE1161" s="838"/>
      <c r="AF1161" s="838"/>
    </row>
    <row r="1162" spans="1:32" s="404" customFormat="1" ht="24" customHeight="1">
      <c r="F1162" s="909" t="s">
        <v>1014</v>
      </c>
      <c r="G1162" s="909"/>
      <c r="H1162" s="909"/>
      <c r="I1162" s="909"/>
      <c r="J1162" s="909"/>
      <c r="K1162" s="909"/>
      <c r="L1162" s="215">
        <f t="shared" ref="L1162:T1162" si="170">L431+L434+L494+L507+L649+L634+L640+L643+L646+L727+L730+L733+L736+L990+L631+L541</f>
        <v>2586245</v>
      </c>
      <c r="M1162" s="215">
        <f t="shared" si="170"/>
        <v>2806547</v>
      </c>
      <c r="N1162" s="410">
        <f t="shared" si="170"/>
        <v>2453960</v>
      </c>
      <c r="O1162" s="410">
        <f t="shared" si="170"/>
        <v>2453960</v>
      </c>
      <c r="P1162" s="215">
        <f t="shared" si="170"/>
        <v>2754497</v>
      </c>
      <c r="Q1162" s="215">
        <f t="shared" si="170"/>
        <v>2086527</v>
      </c>
      <c r="R1162" s="215">
        <f t="shared" si="170"/>
        <v>2105882</v>
      </c>
      <c r="S1162" s="215">
        <f t="shared" si="170"/>
        <v>2190589</v>
      </c>
      <c r="T1162" s="215">
        <f t="shared" si="170"/>
        <v>2271789</v>
      </c>
      <c r="U1162" s="809"/>
      <c r="V1162" s="838"/>
      <c r="W1162" s="838"/>
      <c r="X1162" s="838"/>
      <c r="Y1162" s="838"/>
      <c r="Z1162" s="838"/>
      <c r="AA1162" s="838"/>
      <c r="AB1162" s="838"/>
      <c r="AC1162" s="838"/>
      <c r="AD1162" s="838"/>
      <c r="AE1162" s="838"/>
      <c r="AF1162" s="838"/>
    </row>
    <row r="1163" spans="1:32" s="404" customFormat="1" ht="24" customHeight="1">
      <c r="F1163" s="909" t="s">
        <v>1015</v>
      </c>
      <c r="G1163" s="909"/>
      <c r="H1163" s="909"/>
      <c r="I1163" s="909"/>
      <c r="J1163" s="909"/>
      <c r="K1163" s="909"/>
      <c r="L1163" s="215">
        <f t="shared" ref="L1163:T1163" si="171">L432+L495+L508+L650+L635+L641+L644+L647+L728+L731+L734+L737+L988+L991+L632+L542</f>
        <v>1303547</v>
      </c>
      <c r="M1163" s="215">
        <f t="shared" si="171"/>
        <v>1356956</v>
      </c>
      <c r="N1163" s="410">
        <f t="shared" si="171"/>
        <v>935357</v>
      </c>
      <c r="O1163" s="410">
        <f t="shared" si="171"/>
        <v>935357</v>
      </c>
      <c r="P1163" s="215">
        <f t="shared" si="171"/>
        <v>848917</v>
      </c>
      <c r="Q1163" s="215">
        <f t="shared" si="171"/>
        <v>750317</v>
      </c>
      <c r="R1163" s="215">
        <f t="shared" si="171"/>
        <v>676038</v>
      </c>
      <c r="S1163" s="215">
        <f t="shared" si="171"/>
        <v>595358</v>
      </c>
      <c r="T1163" s="215">
        <f t="shared" si="171"/>
        <v>511579</v>
      </c>
      <c r="U1163" s="809"/>
      <c r="V1163" s="838"/>
      <c r="W1163" s="838"/>
      <c r="X1163" s="838"/>
      <c r="Y1163" s="838"/>
      <c r="Z1163" s="838"/>
      <c r="AA1163" s="838"/>
      <c r="AB1163" s="838"/>
      <c r="AC1163" s="838"/>
      <c r="AD1163" s="838"/>
      <c r="AE1163" s="838"/>
      <c r="AF1163" s="838"/>
    </row>
    <row r="1164" spans="1:32" s="439" customFormat="1" ht="24" customHeight="1">
      <c r="F1164" s="440"/>
      <c r="G1164" s="440"/>
      <c r="H1164" s="440"/>
      <c r="I1164" s="440"/>
      <c r="J1164" s="440"/>
      <c r="K1164" s="440"/>
      <c r="L1164" s="215"/>
      <c r="M1164" s="215"/>
      <c r="N1164" s="410"/>
      <c r="O1164" s="410"/>
      <c r="P1164" s="215"/>
      <c r="Q1164" s="215"/>
      <c r="R1164" s="215"/>
      <c r="S1164" s="215"/>
      <c r="T1164" s="215"/>
      <c r="U1164" s="809"/>
      <c r="V1164" s="838"/>
      <c r="W1164" s="838"/>
      <c r="X1164" s="838"/>
      <c r="Y1164" s="838"/>
      <c r="Z1164" s="838"/>
      <c r="AA1164" s="838"/>
      <c r="AB1164" s="838"/>
      <c r="AC1164" s="838"/>
      <c r="AD1164" s="838"/>
      <c r="AE1164" s="838"/>
      <c r="AF1164" s="838"/>
    </row>
    <row r="1165" spans="1:32" s="263" customFormat="1" ht="24" customHeight="1">
      <c r="G1165" s="269" t="s">
        <v>958</v>
      </c>
      <c r="H1165" s="372"/>
      <c r="I1165" s="372"/>
      <c r="J1165" s="372"/>
      <c r="L1165" s="288">
        <f t="shared" ref="L1165:T1165" si="172">L36+L359</f>
        <v>163107</v>
      </c>
      <c r="M1165" s="288">
        <f t="shared" si="172"/>
        <v>291580</v>
      </c>
      <c r="N1165" s="223">
        <f t="shared" si="172"/>
        <v>200000</v>
      </c>
      <c r="O1165" s="223">
        <f t="shared" si="172"/>
        <v>350000</v>
      </c>
      <c r="P1165" s="288">
        <f t="shared" si="172"/>
        <v>275000</v>
      </c>
      <c r="Q1165" s="288">
        <f t="shared" si="172"/>
        <v>250000</v>
      </c>
      <c r="R1165" s="288">
        <f t="shared" si="172"/>
        <v>250000</v>
      </c>
      <c r="S1165" s="288">
        <f t="shared" si="172"/>
        <v>250000</v>
      </c>
      <c r="T1165" s="288">
        <f t="shared" si="172"/>
        <v>250000</v>
      </c>
      <c r="U1165" s="373"/>
      <c r="V1165" s="839"/>
      <c r="W1165" s="839"/>
      <c r="X1165" s="839"/>
      <c r="Y1165" s="839"/>
      <c r="Z1165" s="839"/>
      <c r="AA1165" s="839"/>
      <c r="AB1165" s="839"/>
      <c r="AC1165" s="839"/>
      <c r="AD1165" s="839"/>
      <c r="AE1165" s="839"/>
      <c r="AF1165" s="839"/>
    </row>
    <row r="1166" spans="1:32" s="263" customFormat="1" ht="24" customHeight="1">
      <c r="G1166" s="269"/>
      <c r="H1166" s="372"/>
      <c r="I1166" s="372"/>
      <c r="J1166" s="372"/>
      <c r="L1166" s="288"/>
      <c r="M1166" s="288"/>
      <c r="N1166" s="223"/>
      <c r="O1166" s="223"/>
      <c r="P1166" s="288"/>
      <c r="Q1166" s="288"/>
      <c r="R1166" s="288"/>
      <c r="S1166" s="288"/>
      <c r="T1166" s="288"/>
      <c r="U1166" s="373"/>
      <c r="V1166" s="839"/>
      <c r="W1166" s="839"/>
      <c r="X1166" s="839"/>
      <c r="Y1166" s="839"/>
      <c r="Z1166" s="839"/>
      <c r="AA1166" s="839"/>
      <c r="AB1166" s="839"/>
      <c r="AC1166" s="839"/>
      <c r="AD1166" s="839"/>
      <c r="AE1166" s="839"/>
      <c r="AF1166" s="839"/>
    </row>
    <row r="1167" spans="1:32" s="296" customFormat="1" ht="24" customHeight="1">
      <c r="A1167" s="903" t="s">
        <v>1060</v>
      </c>
      <c r="B1167" s="903"/>
      <c r="C1167" s="903"/>
      <c r="D1167" s="903"/>
      <c r="E1167" s="903"/>
      <c r="F1167" s="903"/>
      <c r="G1167" s="903"/>
      <c r="H1167" s="903"/>
      <c r="I1167" s="903"/>
      <c r="J1167" s="903"/>
      <c r="K1167" s="903"/>
      <c r="L1167" s="299"/>
      <c r="M1167" s="299"/>
      <c r="N1167" s="299"/>
      <c r="O1167" s="299"/>
      <c r="P1167" s="299"/>
      <c r="Q1167" s="297"/>
      <c r="R1167" s="297"/>
      <c r="S1167" s="297"/>
      <c r="T1167" s="297"/>
      <c r="U1167" s="800"/>
      <c r="V1167" s="300"/>
      <c r="W1167" s="300"/>
      <c r="X1167" s="300"/>
      <c r="Y1167" s="300"/>
      <c r="Z1167" s="300"/>
      <c r="AA1167" s="300"/>
      <c r="AB1167" s="300"/>
      <c r="AC1167" s="300"/>
      <c r="AD1167" s="300"/>
      <c r="AE1167" s="300"/>
      <c r="AF1167" s="300"/>
    </row>
    <row r="1168" spans="1:32" s="202" customFormat="1" ht="24" customHeight="1">
      <c r="I1168" s="914" t="s">
        <v>668</v>
      </c>
      <c r="J1168" s="914"/>
      <c r="K1168" s="267" t="s">
        <v>691</v>
      </c>
      <c r="L1168" s="218"/>
      <c r="M1168" s="218"/>
      <c r="N1168" s="219"/>
      <c r="O1168" s="219"/>
      <c r="P1168" s="218"/>
      <c r="Q1168" s="218"/>
      <c r="R1168" s="218"/>
      <c r="S1168" s="218"/>
      <c r="T1168" s="218"/>
      <c r="U1168" s="65"/>
      <c r="V1168" s="838"/>
      <c r="W1168" s="838"/>
      <c r="X1168" s="838"/>
      <c r="Y1168" s="838"/>
      <c r="Z1168" s="838"/>
      <c r="AA1168" s="838"/>
      <c r="AB1168" s="838"/>
      <c r="AC1168" s="838"/>
      <c r="AD1168" s="838"/>
      <c r="AE1168" s="838"/>
      <c r="AF1168" s="838"/>
    </row>
    <row r="1169" spans="9:32" s="202" customFormat="1" ht="24" customHeight="1">
      <c r="K1169" s="202" t="s">
        <v>795</v>
      </c>
      <c r="L1169" s="218">
        <f t="shared" ref="L1169:T1169" si="173">L64+L96+L117+L118+L119+L120+L163+L191+L573+L679+L808+L836</f>
        <v>4912376</v>
      </c>
      <c r="M1169" s="218">
        <f t="shared" si="173"/>
        <v>5199965</v>
      </c>
      <c r="N1169" s="219">
        <f t="shared" si="173"/>
        <v>5612333</v>
      </c>
      <c r="O1169" s="219">
        <f t="shared" si="173"/>
        <v>5611603</v>
      </c>
      <c r="P1169" s="218">
        <f t="shared" si="173"/>
        <v>6005939</v>
      </c>
      <c r="Q1169" s="218">
        <f t="shared" si="173"/>
        <v>6186119</v>
      </c>
      <c r="R1169" s="218">
        <f t="shared" si="173"/>
        <v>6371701</v>
      </c>
      <c r="S1169" s="218">
        <f t="shared" si="173"/>
        <v>6562854</v>
      </c>
      <c r="T1169" s="218">
        <f t="shared" si="173"/>
        <v>6759741</v>
      </c>
      <c r="U1169" s="65"/>
      <c r="V1169" s="838"/>
      <c r="W1169" s="838"/>
      <c r="X1169" s="838"/>
      <c r="Y1169" s="838"/>
      <c r="Z1169" s="838"/>
      <c r="AA1169" s="838"/>
      <c r="AB1169" s="838"/>
      <c r="AC1169" s="838"/>
      <c r="AD1169" s="838"/>
      <c r="AE1169" s="838"/>
      <c r="AF1169" s="838"/>
    </row>
    <row r="1170" spans="9:32" s="202" customFormat="1" ht="24" customHeight="1">
      <c r="K1170" s="202" t="s">
        <v>796</v>
      </c>
      <c r="L1170" s="218">
        <f t="shared" ref="L1170:T1170" si="174">L66+L123+L193+L575+L680+L810+L238</f>
        <v>110883</v>
      </c>
      <c r="M1170" s="218">
        <f t="shared" si="174"/>
        <v>126368</v>
      </c>
      <c r="N1170" s="219">
        <f t="shared" si="174"/>
        <v>144000</v>
      </c>
      <c r="O1170" s="219">
        <f t="shared" si="174"/>
        <v>154450</v>
      </c>
      <c r="P1170" s="218">
        <f t="shared" si="174"/>
        <v>142500</v>
      </c>
      <c r="Q1170" s="218">
        <f t="shared" si="174"/>
        <v>142500</v>
      </c>
      <c r="R1170" s="218">
        <f t="shared" si="174"/>
        <v>142500</v>
      </c>
      <c r="S1170" s="218">
        <f t="shared" si="174"/>
        <v>142500</v>
      </c>
      <c r="T1170" s="218">
        <f t="shared" si="174"/>
        <v>142500</v>
      </c>
      <c r="U1170" s="65"/>
      <c r="V1170" s="838"/>
      <c r="W1170" s="838"/>
      <c r="X1170" s="838"/>
      <c r="Y1170" s="838"/>
      <c r="Z1170" s="838"/>
      <c r="AA1170" s="838"/>
      <c r="AB1170" s="838"/>
      <c r="AC1170" s="838"/>
      <c r="AD1170" s="838"/>
      <c r="AE1170" s="838"/>
      <c r="AF1170" s="838"/>
    </row>
    <row r="1171" spans="9:32" s="202" customFormat="1" ht="24" customHeight="1">
      <c r="K1171" s="202" t="s">
        <v>797</v>
      </c>
      <c r="L1171" s="252">
        <f t="shared" ref="L1171:T1171" si="175">L59+L60+L61+L62+L63+L121+L122+L164+L809+L838+L839+L840+L65+L574+L837+L192</f>
        <v>239814</v>
      </c>
      <c r="M1171" s="252">
        <f t="shared" si="175"/>
        <v>294990</v>
      </c>
      <c r="N1171" s="251">
        <f t="shared" si="175"/>
        <v>392900</v>
      </c>
      <c r="O1171" s="251">
        <f t="shared" si="175"/>
        <v>319400</v>
      </c>
      <c r="P1171" s="252">
        <f t="shared" si="175"/>
        <v>401600</v>
      </c>
      <c r="Q1171" s="252">
        <f t="shared" si="175"/>
        <v>392600</v>
      </c>
      <c r="R1171" s="252">
        <f t="shared" si="175"/>
        <v>392600</v>
      </c>
      <c r="S1171" s="252">
        <f t="shared" si="175"/>
        <v>392600</v>
      </c>
      <c r="T1171" s="252">
        <f t="shared" si="175"/>
        <v>392600</v>
      </c>
      <c r="U1171" s="65"/>
      <c r="V1171" s="838"/>
      <c r="W1171" s="838"/>
      <c r="X1171" s="838"/>
      <c r="Y1171" s="838"/>
      <c r="Z1171" s="838"/>
      <c r="AA1171" s="838"/>
      <c r="AB1171" s="838"/>
      <c r="AC1171" s="838"/>
      <c r="AD1171" s="838"/>
      <c r="AE1171" s="838"/>
      <c r="AF1171" s="838"/>
    </row>
    <row r="1172" spans="9:32" s="267" customFormat="1" ht="24" customHeight="1">
      <c r="K1172" s="267" t="s">
        <v>773</v>
      </c>
      <c r="L1172" s="220">
        <f t="shared" ref="L1172:T1172" si="176">SUM(L1169:L1171)</f>
        <v>5263073</v>
      </c>
      <c r="M1172" s="220">
        <f t="shared" si="176"/>
        <v>5621323</v>
      </c>
      <c r="N1172" s="221">
        <f t="shared" si="176"/>
        <v>6149233</v>
      </c>
      <c r="O1172" s="221">
        <f t="shared" si="176"/>
        <v>6085453</v>
      </c>
      <c r="P1172" s="220">
        <f t="shared" si="176"/>
        <v>6550039</v>
      </c>
      <c r="Q1172" s="220">
        <f t="shared" si="176"/>
        <v>6721219</v>
      </c>
      <c r="R1172" s="220">
        <f t="shared" si="176"/>
        <v>6906801</v>
      </c>
      <c r="S1172" s="220">
        <f t="shared" si="176"/>
        <v>7097954</v>
      </c>
      <c r="T1172" s="220">
        <f t="shared" si="176"/>
        <v>7294841</v>
      </c>
      <c r="U1172" s="796"/>
    </row>
    <row r="1173" spans="9:32" s="202" customFormat="1" ht="24" customHeight="1">
      <c r="L1173" s="218"/>
      <c r="M1173" s="218"/>
      <c r="N1173" s="219"/>
      <c r="O1173" s="219"/>
      <c r="P1173" s="218"/>
      <c r="Q1173" s="218"/>
      <c r="R1173" s="218"/>
      <c r="S1173" s="218"/>
      <c r="T1173" s="218"/>
      <c r="U1173" s="65"/>
      <c r="V1173" s="838"/>
      <c r="W1173" s="838"/>
      <c r="X1173" s="838"/>
      <c r="Y1173" s="838"/>
      <c r="Z1173" s="838"/>
      <c r="AA1173" s="838"/>
      <c r="AB1173" s="838"/>
      <c r="AC1173" s="838"/>
      <c r="AD1173" s="838"/>
      <c r="AE1173" s="838"/>
      <c r="AF1173" s="838"/>
    </row>
    <row r="1174" spans="9:32" s="202" customFormat="1" ht="24" customHeight="1">
      <c r="I1174" s="902" t="s">
        <v>670</v>
      </c>
      <c r="J1174" s="902"/>
      <c r="K1174" s="267" t="s">
        <v>691</v>
      </c>
      <c r="L1174" s="218"/>
      <c r="M1174" s="218"/>
      <c r="N1174" s="219"/>
      <c r="O1174" s="219"/>
      <c r="P1174" s="218"/>
      <c r="Q1174" s="218"/>
      <c r="R1174" s="218"/>
      <c r="S1174" s="218"/>
      <c r="T1174" s="218"/>
      <c r="U1174" s="65"/>
      <c r="V1174" s="838"/>
      <c r="W1174" s="838"/>
      <c r="X1174" s="838"/>
      <c r="Y1174" s="838"/>
      <c r="Z1174" s="838"/>
      <c r="AA1174" s="838"/>
      <c r="AB1174" s="838"/>
      <c r="AC1174" s="838"/>
      <c r="AD1174" s="838"/>
      <c r="AE1174" s="838"/>
      <c r="AF1174" s="838"/>
    </row>
    <row r="1175" spans="9:32" s="202" customFormat="1" ht="24" customHeight="1">
      <c r="K1175" s="202" t="s">
        <v>795</v>
      </c>
      <c r="L1175" s="218">
        <f>L898</f>
        <v>201312</v>
      </c>
      <c r="M1175" s="218">
        <f t="shared" ref="M1175:T1175" si="177">M898</f>
        <v>211185</v>
      </c>
      <c r="N1175" s="219">
        <f t="shared" si="177"/>
        <v>223828</v>
      </c>
      <c r="O1175" s="219">
        <f t="shared" si="177"/>
        <v>215000</v>
      </c>
      <c r="P1175" s="218">
        <f t="shared" si="177"/>
        <v>226998</v>
      </c>
      <c r="Q1175" s="218">
        <f t="shared" si="177"/>
        <v>233808</v>
      </c>
      <c r="R1175" s="218">
        <f t="shared" si="177"/>
        <v>240822</v>
      </c>
      <c r="S1175" s="218">
        <f t="shared" si="177"/>
        <v>248047</v>
      </c>
      <c r="T1175" s="218">
        <f t="shared" si="177"/>
        <v>255488</v>
      </c>
      <c r="U1175" s="65"/>
      <c r="V1175" s="838"/>
      <c r="W1175" s="838"/>
      <c r="X1175" s="838"/>
      <c r="Y1175" s="838"/>
      <c r="Z1175" s="838"/>
      <c r="AA1175" s="838"/>
      <c r="AB1175" s="838"/>
      <c r="AC1175" s="838"/>
      <c r="AD1175" s="838"/>
      <c r="AE1175" s="838"/>
      <c r="AF1175" s="838"/>
    </row>
    <row r="1176" spans="9:32" s="202" customFormat="1" ht="24" customHeight="1">
      <c r="K1176" s="202" t="s">
        <v>797</v>
      </c>
      <c r="L1176" s="252">
        <f>L899</f>
        <v>190592</v>
      </c>
      <c r="M1176" s="252">
        <f t="shared" ref="M1176:T1176" si="178">M899</f>
        <v>200317</v>
      </c>
      <c r="N1176" s="258">
        <f t="shared" si="178"/>
        <v>232689</v>
      </c>
      <c r="O1176" s="258">
        <f t="shared" si="178"/>
        <v>190000</v>
      </c>
      <c r="P1176" s="257">
        <f t="shared" si="178"/>
        <v>195700</v>
      </c>
      <c r="Q1176" s="257">
        <f t="shared" si="178"/>
        <v>201571</v>
      </c>
      <c r="R1176" s="257">
        <f t="shared" si="178"/>
        <v>207618</v>
      </c>
      <c r="S1176" s="257">
        <f t="shared" si="178"/>
        <v>213847</v>
      </c>
      <c r="T1176" s="257">
        <f t="shared" si="178"/>
        <v>220262</v>
      </c>
      <c r="U1176" s="65"/>
      <c r="V1176" s="838"/>
      <c r="W1176" s="838"/>
      <c r="X1176" s="838"/>
      <c r="Y1176" s="838"/>
      <c r="Z1176" s="838"/>
      <c r="AA1176" s="838"/>
      <c r="AB1176" s="838"/>
      <c r="AC1176" s="838"/>
      <c r="AD1176" s="838"/>
      <c r="AE1176" s="838"/>
      <c r="AF1176" s="838"/>
    </row>
    <row r="1177" spans="9:32" s="267" customFormat="1" ht="24" customHeight="1">
      <c r="K1177" s="267" t="s">
        <v>773</v>
      </c>
      <c r="L1177" s="220">
        <f t="shared" ref="L1177:T1177" si="179">SUM(L1175:L1176)</f>
        <v>391904</v>
      </c>
      <c r="M1177" s="220">
        <f t="shared" si="179"/>
        <v>411502</v>
      </c>
      <c r="N1177" s="221">
        <f t="shared" si="179"/>
        <v>456517</v>
      </c>
      <c r="O1177" s="221">
        <f t="shared" si="179"/>
        <v>405000</v>
      </c>
      <c r="P1177" s="220">
        <f t="shared" si="179"/>
        <v>422698</v>
      </c>
      <c r="Q1177" s="220">
        <f t="shared" si="179"/>
        <v>435379</v>
      </c>
      <c r="R1177" s="220">
        <f t="shared" si="179"/>
        <v>448440</v>
      </c>
      <c r="S1177" s="220">
        <f t="shared" si="179"/>
        <v>461894</v>
      </c>
      <c r="T1177" s="220">
        <f t="shared" si="179"/>
        <v>475750</v>
      </c>
      <c r="U1177" s="796"/>
    </row>
    <row r="1178" spans="9:32" s="202" customFormat="1" ht="24" customHeight="1">
      <c r="L1178" s="218"/>
      <c r="M1178" s="218"/>
      <c r="N1178" s="219"/>
      <c r="O1178" s="219"/>
      <c r="P1178" s="218"/>
      <c r="Q1178" s="218"/>
      <c r="R1178" s="218"/>
      <c r="S1178" s="218"/>
      <c r="T1178" s="218"/>
      <c r="U1178" s="65"/>
      <c r="V1178" s="838"/>
      <c r="W1178" s="838"/>
      <c r="X1178" s="838"/>
      <c r="Y1178" s="838"/>
      <c r="Z1178" s="838"/>
      <c r="AA1178" s="838"/>
      <c r="AB1178" s="838"/>
      <c r="AC1178" s="838"/>
      <c r="AD1178" s="838"/>
      <c r="AE1178" s="838"/>
      <c r="AF1178" s="838"/>
    </row>
    <row r="1179" spans="9:32" s="202" customFormat="1" ht="24" customHeight="1">
      <c r="I1179" s="902" t="s">
        <v>773</v>
      </c>
      <c r="J1179" s="902"/>
      <c r="K1179" s="267" t="s">
        <v>691</v>
      </c>
      <c r="L1179" s="218"/>
      <c r="M1179" s="218"/>
      <c r="N1179" s="219"/>
      <c r="O1179" s="219"/>
      <c r="P1179" s="218"/>
      <c r="Q1179" s="218"/>
      <c r="R1179" s="218"/>
      <c r="S1179" s="218"/>
      <c r="T1179" s="218"/>
      <c r="U1179" s="65"/>
      <c r="V1179" s="838"/>
      <c r="W1179" s="838"/>
      <c r="X1179" s="838"/>
      <c r="Y1179" s="838"/>
      <c r="Z1179" s="838"/>
      <c r="AA1179" s="838"/>
      <c r="AB1179" s="838"/>
      <c r="AC1179" s="838"/>
      <c r="AD1179" s="838"/>
      <c r="AE1179" s="838"/>
      <c r="AF1179" s="838"/>
    </row>
    <row r="1180" spans="9:32" s="202" customFormat="1" ht="24" customHeight="1">
      <c r="K1180" s="202" t="s">
        <v>795</v>
      </c>
      <c r="L1180" s="218">
        <f t="shared" ref="L1180:T1180" si="180">L1169+L1175</f>
        <v>5113688</v>
      </c>
      <c r="M1180" s="218">
        <f t="shared" si="180"/>
        <v>5411150</v>
      </c>
      <c r="N1180" s="219">
        <f t="shared" si="180"/>
        <v>5836161</v>
      </c>
      <c r="O1180" s="219">
        <f t="shared" si="180"/>
        <v>5826603</v>
      </c>
      <c r="P1180" s="218">
        <f t="shared" si="180"/>
        <v>6232937</v>
      </c>
      <c r="Q1180" s="218">
        <f t="shared" si="180"/>
        <v>6419927</v>
      </c>
      <c r="R1180" s="218">
        <f t="shared" si="180"/>
        <v>6612523</v>
      </c>
      <c r="S1180" s="218">
        <f t="shared" si="180"/>
        <v>6810901</v>
      </c>
      <c r="T1180" s="218">
        <f t="shared" si="180"/>
        <v>7015229</v>
      </c>
      <c r="U1180" s="65"/>
      <c r="V1180" s="838"/>
      <c r="W1180" s="838"/>
      <c r="X1180" s="838"/>
      <c r="Y1180" s="838"/>
      <c r="Z1180" s="838"/>
      <c r="AA1180" s="838"/>
      <c r="AB1180" s="838"/>
      <c r="AC1180" s="838"/>
      <c r="AD1180" s="838"/>
      <c r="AE1180" s="838"/>
      <c r="AF1180" s="838"/>
    </row>
    <row r="1181" spans="9:32" s="202" customFormat="1" ht="24" customHeight="1">
      <c r="K1181" s="202" t="s">
        <v>796</v>
      </c>
      <c r="L1181" s="218">
        <f>L1170</f>
        <v>110883</v>
      </c>
      <c r="M1181" s="218">
        <f t="shared" ref="M1181:T1181" si="181">M1170</f>
        <v>126368</v>
      </c>
      <c r="N1181" s="219">
        <f t="shared" si="181"/>
        <v>144000</v>
      </c>
      <c r="O1181" s="219">
        <f t="shared" si="181"/>
        <v>154450</v>
      </c>
      <c r="P1181" s="218">
        <f t="shared" si="181"/>
        <v>142500</v>
      </c>
      <c r="Q1181" s="218">
        <f t="shared" si="181"/>
        <v>142500</v>
      </c>
      <c r="R1181" s="218">
        <f t="shared" si="181"/>
        <v>142500</v>
      </c>
      <c r="S1181" s="218">
        <f t="shared" si="181"/>
        <v>142500</v>
      </c>
      <c r="T1181" s="218">
        <f t="shared" si="181"/>
        <v>142500</v>
      </c>
      <c r="U1181" s="65"/>
      <c r="V1181" s="838"/>
      <c r="W1181" s="838"/>
      <c r="X1181" s="838"/>
      <c r="Y1181" s="838"/>
      <c r="Z1181" s="838"/>
      <c r="AA1181" s="838"/>
      <c r="AB1181" s="838"/>
      <c r="AC1181" s="838"/>
      <c r="AD1181" s="838"/>
      <c r="AE1181" s="838"/>
      <c r="AF1181" s="838"/>
    </row>
    <row r="1182" spans="9:32" s="202" customFormat="1" ht="24" customHeight="1">
      <c r="K1182" s="202" t="s">
        <v>797</v>
      </c>
      <c r="L1182" s="252">
        <f t="shared" ref="L1182:T1182" si="182">L1171+L1176</f>
        <v>430406</v>
      </c>
      <c r="M1182" s="252">
        <f t="shared" si="182"/>
        <v>495307</v>
      </c>
      <c r="N1182" s="251">
        <f t="shared" si="182"/>
        <v>625589</v>
      </c>
      <c r="O1182" s="251">
        <f t="shared" si="182"/>
        <v>509400</v>
      </c>
      <c r="P1182" s="252">
        <f t="shared" si="182"/>
        <v>597300</v>
      </c>
      <c r="Q1182" s="252">
        <f t="shared" si="182"/>
        <v>594171</v>
      </c>
      <c r="R1182" s="252">
        <f t="shared" si="182"/>
        <v>600218</v>
      </c>
      <c r="S1182" s="252">
        <f t="shared" si="182"/>
        <v>606447</v>
      </c>
      <c r="T1182" s="252">
        <f t="shared" si="182"/>
        <v>612862</v>
      </c>
      <c r="U1182" s="65"/>
      <c r="V1182" s="838"/>
      <c r="W1182" s="838"/>
      <c r="X1182" s="838"/>
      <c r="Y1182" s="838"/>
      <c r="Z1182" s="838"/>
      <c r="AA1182" s="838"/>
      <c r="AB1182" s="838"/>
      <c r="AC1182" s="838"/>
      <c r="AD1182" s="838"/>
      <c r="AE1182" s="838"/>
      <c r="AF1182" s="838"/>
    </row>
    <row r="1183" spans="9:32" s="267" customFormat="1" ht="24" customHeight="1">
      <c r="K1183" s="267" t="s">
        <v>773</v>
      </c>
      <c r="L1183" s="220">
        <f t="shared" ref="L1183:T1183" si="183">SUM(L1180:L1182)</f>
        <v>5654977</v>
      </c>
      <c r="M1183" s="220">
        <f t="shared" si="183"/>
        <v>6032825</v>
      </c>
      <c r="N1183" s="221">
        <f t="shared" si="183"/>
        <v>6605750</v>
      </c>
      <c r="O1183" s="221">
        <f t="shared" si="183"/>
        <v>6490453</v>
      </c>
      <c r="P1183" s="220">
        <f t="shared" si="183"/>
        <v>6972737</v>
      </c>
      <c r="Q1183" s="220">
        <f t="shared" si="183"/>
        <v>7156598</v>
      </c>
      <c r="R1183" s="220">
        <f t="shared" si="183"/>
        <v>7355241</v>
      </c>
      <c r="S1183" s="220">
        <f t="shared" si="183"/>
        <v>7559848</v>
      </c>
      <c r="T1183" s="220">
        <f t="shared" si="183"/>
        <v>7770591</v>
      </c>
      <c r="U1183" s="796"/>
    </row>
    <row r="1184" spans="9:32" s="300" customFormat="1" ht="24" customHeight="1">
      <c r="L1184" s="441"/>
      <c r="M1184" s="441"/>
      <c r="N1184" s="481"/>
      <c r="O1184" s="481"/>
      <c r="P1184" s="441"/>
      <c r="Q1184" s="441"/>
      <c r="R1184" s="441"/>
      <c r="S1184" s="441"/>
      <c r="T1184" s="441"/>
      <c r="U1184" s="65"/>
      <c r="V1184" s="442"/>
    </row>
    <row r="1185" spans="1:32" s="296" customFormat="1" ht="24" customHeight="1">
      <c r="A1185" s="903" t="s">
        <v>1141</v>
      </c>
      <c r="B1185" s="903"/>
      <c r="C1185" s="903"/>
      <c r="D1185" s="903"/>
      <c r="E1185" s="903"/>
      <c r="F1185" s="903"/>
      <c r="G1185" s="903"/>
      <c r="H1185" s="903"/>
      <c r="I1185" s="903"/>
      <c r="J1185" s="903"/>
      <c r="K1185" s="903"/>
      <c r="L1185" s="299"/>
      <c r="M1185" s="299"/>
      <c r="N1185" s="299"/>
      <c r="O1185" s="299"/>
      <c r="P1185" s="299"/>
      <c r="Q1185" s="297"/>
      <c r="R1185" s="297"/>
      <c r="S1185" s="297"/>
      <c r="T1185" s="297"/>
      <c r="U1185" s="800"/>
      <c r="V1185" s="300"/>
      <c r="W1185" s="300"/>
      <c r="X1185" s="300"/>
      <c r="Y1185" s="300"/>
      <c r="Z1185" s="300"/>
      <c r="AA1185" s="300"/>
      <c r="AB1185" s="300"/>
      <c r="AC1185" s="300"/>
      <c r="AD1185" s="300"/>
      <c r="AE1185" s="300"/>
      <c r="AF1185" s="300"/>
    </row>
    <row r="1186" spans="1:32" s="300" customFormat="1" ht="24" customHeight="1">
      <c r="I1186" s="914" t="s">
        <v>668</v>
      </c>
      <c r="J1186" s="914"/>
      <c r="K1186" s="267" t="s">
        <v>692</v>
      </c>
      <c r="L1186" s="441"/>
      <c r="M1186" s="441"/>
      <c r="N1186" s="481"/>
      <c r="O1186" s="481"/>
      <c r="P1186" s="441"/>
      <c r="Q1186" s="441"/>
      <c r="R1186" s="441"/>
      <c r="S1186" s="441"/>
      <c r="T1186" s="441"/>
      <c r="U1186" s="65"/>
      <c r="V1186" s="442"/>
    </row>
    <row r="1187" spans="1:32" s="300" customFormat="1" ht="24" customHeight="1">
      <c r="I1187" s="439"/>
      <c r="J1187" s="439"/>
      <c r="K1187" s="439" t="s">
        <v>1142</v>
      </c>
      <c r="L1187" s="215">
        <f t="shared" ref="L1187:T1187" si="184">L67+L97+L124+L165+L194+L576+L681+L811+L841</f>
        <v>278936</v>
      </c>
      <c r="M1187" s="215">
        <f t="shared" si="184"/>
        <v>295804</v>
      </c>
      <c r="N1187" s="410">
        <f t="shared" si="184"/>
        <v>336851</v>
      </c>
      <c r="O1187" s="410">
        <f t="shared" si="184"/>
        <v>330597</v>
      </c>
      <c r="P1187" s="215">
        <f t="shared" si="184"/>
        <v>355389</v>
      </c>
      <c r="Q1187" s="215">
        <f t="shared" si="184"/>
        <v>368108</v>
      </c>
      <c r="R1187" s="215">
        <f t="shared" si="184"/>
        <v>386744</v>
      </c>
      <c r="S1187" s="215">
        <f t="shared" si="184"/>
        <v>406658</v>
      </c>
      <c r="T1187" s="215">
        <f t="shared" si="184"/>
        <v>427672</v>
      </c>
      <c r="U1187" s="65"/>
      <c r="V1187" s="442"/>
    </row>
    <row r="1188" spans="1:32" s="300" customFormat="1" ht="24" customHeight="1">
      <c r="I1188" s="439"/>
      <c r="J1188" s="439"/>
      <c r="K1188" s="439" t="s">
        <v>955</v>
      </c>
      <c r="L1188" s="215">
        <f t="shared" ref="L1188:T1188" si="185">L125</f>
        <v>722940</v>
      </c>
      <c r="M1188" s="215">
        <f t="shared" si="185"/>
        <v>825413</v>
      </c>
      <c r="N1188" s="410">
        <f t="shared" si="185"/>
        <v>966211</v>
      </c>
      <c r="O1188" s="410">
        <f t="shared" si="185"/>
        <v>966211</v>
      </c>
      <c r="P1188" s="215">
        <f t="shared" si="185"/>
        <v>963361</v>
      </c>
      <c r="Q1188" s="215">
        <f t="shared" si="185"/>
        <v>1008544</v>
      </c>
      <c r="R1188" s="215">
        <f t="shared" si="185"/>
        <v>1058544</v>
      </c>
      <c r="S1188" s="215">
        <f t="shared" si="185"/>
        <v>1108544</v>
      </c>
      <c r="T1188" s="215">
        <f t="shared" si="185"/>
        <v>1158544</v>
      </c>
      <c r="U1188" s="65"/>
      <c r="V1188" s="442"/>
    </row>
    <row r="1189" spans="1:32" s="300" customFormat="1" ht="24" customHeight="1">
      <c r="I1189" s="439"/>
      <c r="J1189" s="439"/>
      <c r="K1189" s="439" t="s">
        <v>1143</v>
      </c>
      <c r="L1189" s="436">
        <f t="shared" ref="L1189:T1189" si="186">L68+L98+L126+L166+L195+L577+L682+L812+L842</f>
        <v>384640</v>
      </c>
      <c r="M1189" s="436">
        <f t="shared" si="186"/>
        <v>410468</v>
      </c>
      <c r="N1189" s="482">
        <f t="shared" si="186"/>
        <v>454940</v>
      </c>
      <c r="O1189" s="482">
        <f t="shared" si="186"/>
        <v>447875</v>
      </c>
      <c r="P1189" s="436">
        <f t="shared" si="186"/>
        <v>483707</v>
      </c>
      <c r="Q1189" s="436">
        <f t="shared" si="186"/>
        <v>497510</v>
      </c>
      <c r="R1189" s="436">
        <f t="shared" si="186"/>
        <v>512435</v>
      </c>
      <c r="S1189" s="436">
        <f t="shared" si="186"/>
        <v>527808</v>
      </c>
      <c r="T1189" s="436">
        <f t="shared" si="186"/>
        <v>543642</v>
      </c>
      <c r="U1189" s="65"/>
      <c r="V1189" s="442"/>
    </row>
    <row r="1190" spans="1:32" s="300" customFormat="1" ht="24" customHeight="1">
      <c r="I1190" s="267"/>
      <c r="J1190" s="267"/>
      <c r="K1190" s="267" t="s">
        <v>773</v>
      </c>
      <c r="L1190" s="288">
        <f>SUM(L1187:L1189)</f>
        <v>1386516</v>
      </c>
      <c r="M1190" s="288">
        <f t="shared" ref="M1190:T1190" si="187">SUM(M1187:M1189)</f>
        <v>1531685</v>
      </c>
      <c r="N1190" s="223">
        <f t="shared" si="187"/>
        <v>1758002</v>
      </c>
      <c r="O1190" s="223">
        <f t="shared" si="187"/>
        <v>1744683</v>
      </c>
      <c r="P1190" s="288">
        <f t="shared" si="187"/>
        <v>1802457</v>
      </c>
      <c r="Q1190" s="288">
        <f t="shared" si="187"/>
        <v>1874162</v>
      </c>
      <c r="R1190" s="288">
        <f t="shared" si="187"/>
        <v>1957723</v>
      </c>
      <c r="S1190" s="288">
        <f t="shared" si="187"/>
        <v>2043010</v>
      </c>
      <c r="T1190" s="288">
        <f t="shared" si="187"/>
        <v>2129858</v>
      </c>
      <c r="U1190" s="65"/>
      <c r="V1190" s="442"/>
    </row>
    <row r="1191" spans="1:32" s="300" customFormat="1" ht="24" customHeight="1">
      <c r="I1191" s="439"/>
      <c r="J1191" s="439"/>
      <c r="K1191" s="439"/>
      <c r="L1191" s="215"/>
      <c r="M1191" s="215"/>
      <c r="N1191" s="410"/>
      <c r="O1191" s="410"/>
      <c r="P1191" s="215"/>
      <c r="Q1191" s="215"/>
      <c r="R1191" s="215"/>
      <c r="S1191" s="215"/>
      <c r="T1191" s="215"/>
      <c r="U1191" s="65"/>
      <c r="V1191" s="442"/>
    </row>
    <row r="1192" spans="1:32" s="300" customFormat="1" ht="24" customHeight="1">
      <c r="I1192" s="902" t="s">
        <v>670</v>
      </c>
      <c r="J1192" s="902"/>
      <c r="K1192" s="267" t="s">
        <v>692</v>
      </c>
      <c r="L1192" s="215"/>
      <c r="M1192" s="215"/>
      <c r="N1192" s="410"/>
      <c r="O1192" s="410"/>
      <c r="P1192" s="215"/>
      <c r="Q1192" s="215"/>
      <c r="R1192" s="215"/>
      <c r="S1192" s="215"/>
      <c r="T1192" s="215"/>
      <c r="U1192" s="65"/>
      <c r="V1192" s="442"/>
    </row>
    <row r="1193" spans="1:32" s="300" customFormat="1" ht="24" customHeight="1">
      <c r="I1193" s="439"/>
      <c r="J1193" s="439"/>
      <c r="K1193" s="439" t="s">
        <v>1142</v>
      </c>
      <c r="L1193" s="215">
        <f>L900</f>
        <v>21767</v>
      </c>
      <c r="M1193" s="215">
        <f t="shared" ref="M1193:T1193" si="188">M900</f>
        <v>22558</v>
      </c>
      <c r="N1193" s="410">
        <f t="shared" si="188"/>
        <v>24435</v>
      </c>
      <c r="O1193" s="410">
        <f t="shared" si="188"/>
        <v>23500</v>
      </c>
      <c r="P1193" s="215">
        <f t="shared" si="188"/>
        <v>24252</v>
      </c>
      <c r="Q1193" s="215">
        <f t="shared" si="188"/>
        <v>25672</v>
      </c>
      <c r="R1193" s="215">
        <f t="shared" si="188"/>
        <v>27213</v>
      </c>
      <c r="S1193" s="215">
        <f t="shared" si="188"/>
        <v>28873</v>
      </c>
      <c r="T1193" s="215">
        <f t="shared" si="188"/>
        <v>30633</v>
      </c>
      <c r="U1193" s="65"/>
      <c r="V1193" s="442"/>
    </row>
    <row r="1194" spans="1:32" s="300" customFormat="1" ht="24" customHeight="1">
      <c r="I1194" s="439"/>
      <c r="J1194" s="439"/>
      <c r="K1194" s="439" t="s">
        <v>1143</v>
      </c>
      <c r="L1194" s="436">
        <f>L901</f>
        <v>29361</v>
      </c>
      <c r="M1194" s="436">
        <f t="shared" ref="M1194:T1194" si="189">M901</f>
        <v>30778</v>
      </c>
      <c r="N1194" s="482">
        <f t="shared" si="189"/>
        <v>34263</v>
      </c>
      <c r="O1194" s="482">
        <f t="shared" si="189"/>
        <v>31000</v>
      </c>
      <c r="P1194" s="436">
        <f t="shared" si="189"/>
        <v>31720</v>
      </c>
      <c r="Q1194" s="436">
        <f t="shared" si="189"/>
        <v>32672</v>
      </c>
      <c r="R1194" s="436">
        <f t="shared" si="189"/>
        <v>33652</v>
      </c>
      <c r="S1194" s="436">
        <f t="shared" si="189"/>
        <v>34662</v>
      </c>
      <c r="T1194" s="436">
        <f t="shared" si="189"/>
        <v>35702</v>
      </c>
      <c r="U1194" s="65"/>
      <c r="V1194" s="442"/>
    </row>
    <row r="1195" spans="1:32" s="300" customFormat="1" ht="24" customHeight="1">
      <c r="I1195" s="267"/>
      <c r="J1195" s="267"/>
      <c r="K1195" s="267" t="s">
        <v>773</v>
      </c>
      <c r="L1195" s="288">
        <f>SUM(L1193:L1194)</f>
        <v>51128</v>
      </c>
      <c r="M1195" s="288">
        <f t="shared" ref="M1195:T1195" si="190">SUM(M1193:M1194)</f>
        <v>53336</v>
      </c>
      <c r="N1195" s="223">
        <f t="shared" si="190"/>
        <v>58698</v>
      </c>
      <c r="O1195" s="223">
        <f t="shared" si="190"/>
        <v>54500</v>
      </c>
      <c r="P1195" s="288">
        <f t="shared" si="190"/>
        <v>55972</v>
      </c>
      <c r="Q1195" s="288">
        <f t="shared" si="190"/>
        <v>58344</v>
      </c>
      <c r="R1195" s="288">
        <f t="shared" si="190"/>
        <v>60865</v>
      </c>
      <c r="S1195" s="288">
        <f t="shared" si="190"/>
        <v>63535</v>
      </c>
      <c r="T1195" s="288">
        <f t="shared" si="190"/>
        <v>66335</v>
      </c>
      <c r="U1195" s="65"/>
      <c r="V1195" s="442"/>
    </row>
    <row r="1196" spans="1:32" s="300" customFormat="1" ht="24" customHeight="1">
      <c r="I1196" s="439"/>
      <c r="J1196" s="439"/>
      <c r="K1196" s="439"/>
      <c r="L1196" s="215"/>
      <c r="M1196" s="215"/>
      <c r="N1196" s="410"/>
      <c r="O1196" s="410"/>
      <c r="P1196" s="215"/>
      <c r="Q1196" s="215"/>
      <c r="R1196" s="215"/>
      <c r="S1196" s="215"/>
      <c r="T1196" s="215"/>
      <c r="U1196" s="65"/>
      <c r="V1196" s="442"/>
    </row>
    <row r="1197" spans="1:32" s="300" customFormat="1" ht="24" customHeight="1">
      <c r="I1197" s="902" t="s">
        <v>773</v>
      </c>
      <c r="J1197" s="902"/>
      <c r="K1197" s="267" t="s">
        <v>692</v>
      </c>
      <c r="L1197" s="215"/>
      <c r="M1197" s="215"/>
      <c r="N1197" s="410"/>
      <c r="O1197" s="410"/>
      <c r="P1197" s="215"/>
      <c r="Q1197" s="215"/>
      <c r="R1197" s="215"/>
      <c r="S1197" s="215"/>
      <c r="T1197" s="215"/>
      <c r="U1197" s="65"/>
      <c r="V1197" s="442"/>
    </row>
    <row r="1198" spans="1:32" s="300" customFormat="1" ht="24" customHeight="1">
      <c r="I1198" s="439"/>
      <c r="J1198" s="439"/>
      <c r="K1198" s="439" t="s">
        <v>1142</v>
      </c>
      <c r="L1198" s="215">
        <f t="shared" ref="L1198:T1198" si="191">L1187+L1193</f>
        <v>300703</v>
      </c>
      <c r="M1198" s="215">
        <f t="shared" si="191"/>
        <v>318362</v>
      </c>
      <c r="N1198" s="410">
        <f t="shared" si="191"/>
        <v>361286</v>
      </c>
      <c r="O1198" s="410">
        <f t="shared" si="191"/>
        <v>354097</v>
      </c>
      <c r="P1198" s="215">
        <f t="shared" si="191"/>
        <v>379641</v>
      </c>
      <c r="Q1198" s="215">
        <f t="shared" si="191"/>
        <v>393780</v>
      </c>
      <c r="R1198" s="215">
        <f t="shared" si="191"/>
        <v>413957</v>
      </c>
      <c r="S1198" s="215">
        <f t="shared" si="191"/>
        <v>435531</v>
      </c>
      <c r="T1198" s="215">
        <f t="shared" si="191"/>
        <v>458305</v>
      </c>
      <c r="U1198" s="65"/>
      <c r="V1198" s="442"/>
    </row>
    <row r="1199" spans="1:32" s="300" customFormat="1" ht="24" customHeight="1">
      <c r="I1199" s="439"/>
      <c r="J1199" s="439"/>
      <c r="K1199" s="439" t="s">
        <v>955</v>
      </c>
      <c r="L1199" s="215">
        <f>L1188</f>
        <v>722940</v>
      </c>
      <c r="M1199" s="215">
        <f t="shared" ref="M1199:T1199" si="192">M1188</f>
        <v>825413</v>
      </c>
      <c r="N1199" s="410">
        <f t="shared" si="192"/>
        <v>966211</v>
      </c>
      <c r="O1199" s="410">
        <f t="shared" si="192"/>
        <v>966211</v>
      </c>
      <c r="P1199" s="215">
        <f t="shared" si="192"/>
        <v>963361</v>
      </c>
      <c r="Q1199" s="215">
        <f t="shared" si="192"/>
        <v>1008544</v>
      </c>
      <c r="R1199" s="215">
        <f t="shared" si="192"/>
        <v>1058544</v>
      </c>
      <c r="S1199" s="215">
        <f t="shared" si="192"/>
        <v>1108544</v>
      </c>
      <c r="T1199" s="215">
        <f t="shared" si="192"/>
        <v>1158544</v>
      </c>
      <c r="U1199" s="65"/>
      <c r="V1199" s="442"/>
    </row>
    <row r="1200" spans="1:32" s="300" customFormat="1" ht="24" customHeight="1">
      <c r="I1200" s="439"/>
      <c r="J1200" s="439"/>
      <c r="K1200" s="439" t="s">
        <v>1143</v>
      </c>
      <c r="L1200" s="436">
        <f t="shared" ref="L1200:T1200" si="193">L1189+L1194</f>
        <v>414001</v>
      </c>
      <c r="M1200" s="436">
        <f t="shared" si="193"/>
        <v>441246</v>
      </c>
      <c r="N1200" s="482">
        <f t="shared" si="193"/>
        <v>489203</v>
      </c>
      <c r="O1200" s="482">
        <f t="shared" si="193"/>
        <v>478875</v>
      </c>
      <c r="P1200" s="436">
        <f t="shared" si="193"/>
        <v>515427</v>
      </c>
      <c r="Q1200" s="436">
        <f t="shared" si="193"/>
        <v>530182</v>
      </c>
      <c r="R1200" s="436">
        <f t="shared" si="193"/>
        <v>546087</v>
      </c>
      <c r="S1200" s="436">
        <f t="shared" si="193"/>
        <v>562470</v>
      </c>
      <c r="T1200" s="436">
        <f t="shared" si="193"/>
        <v>579344</v>
      </c>
      <c r="U1200" s="65"/>
      <c r="V1200" s="442"/>
    </row>
    <row r="1201" spans="1:32" s="300" customFormat="1" ht="24" customHeight="1">
      <c r="I1201" s="267"/>
      <c r="J1201" s="267"/>
      <c r="K1201" s="267" t="s">
        <v>773</v>
      </c>
      <c r="L1201" s="288">
        <f>SUM(L1198:L1200)</f>
        <v>1437644</v>
      </c>
      <c r="M1201" s="288">
        <f t="shared" ref="M1201:T1201" si="194">SUM(M1198:M1200)</f>
        <v>1585021</v>
      </c>
      <c r="N1201" s="223">
        <f t="shared" si="194"/>
        <v>1816700</v>
      </c>
      <c r="O1201" s="223">
        <f t="shared" si="194"/>
        <v>1799183</v>
      </c>
      <c r="P1201" s="288">
        <f t="shared" si="194"/>
        <v>1858429</v>
      </c>
      <c r="Q1201" s="288">
        <f t="shared" si="194"/>
        <v>1932506</v>
      </c>
      <c r="R1201" s="288">
        <f t="shared" si="194"/>
        <v>2018588</v>
      </c>
      <c r="S1201" s="288">
        <f t="shared" si="194"/>
        <v>2106545</v>
      </c>
      <c r="T1201" s="288">
        <f t="shared" si="194"/>
        <v>2196193</v>
      </c>
      <c r="U1201" s="65"/>
      <c r="V1201" s="442"/>
    </row>
    <row r="1202" spans="1:32" s="202" customFormat="1" ht="24" customHeight="1">
      <c r="L1202" s="218"/>
      <c r="M1202" s="218"/>
      <c r="N1202" s="219"/>
      <c r="O1202" s="219"/>
      <c r="P1202" s="218"/>
      <c r="Q1202" s="218"/>
      <c r="R1202" s="218"/>
      <c r="S1202" s="218"/>
      <c r="T1202" s="218"/>
      <c r="U1202" s="65"/>
      <c r="V1202" s="838"/>
      <c r="W1202" s="838"/>
      <c r="X1202" s="838"/>
      <c r="Y1202" s="838"/>
      <c r="Z1202" s="838"/>
      <c r="AA1202" s="838"/>
      <c r="AB1202" s="838"/>
      <c r="AC1202" s="838"/>
      <c r="AD1202" s="838"/>
      <c r="AE1202" s="838"/>
      <c r="AF1202" s="838"/>
    </row>
    <row r="1203" spans="1:32" s="296" customFormat="1" ht="24" customHeight="1">
      <c r="A1203" s="903" t="s">
        <v>1158</v>
      </c>
      <c r="B1203" s="903"/>
      <c r="C1203" s="903"/>
      <c r="D1203" s="903"/>
      <c r="E1203" s="903"/>
      <c r="F1203" s="903"/>
      <c r="G1203" s="903"/>
      <c r="H1203" s="903"/>
      <c r="I1203" s="903"/>
      <c r="J1203" s="903"/>
      <c r="K1203" s="903"/>
      <c r="L1203" s="297"/>
      <c r="M1203" s="297"/>
      <c r="N1203" s="297"/>
      <c r="O1203" s="297"/>
      <c r="P1203" s="297"/>
      <c r="Q1203" s="297"/>
      <c r="R1203" s="297"/>
      <c r="S1203" s="297"/>
      <c r="T1203" s="297"/>
      <c r="U1203" s="800"/>
      <c r="V1203" s="876"/>
      <c r="W1203" s="876"/>
      <c r="X1203" s="300"/>
      <c r="Y1203" s="300"/>
      <c r="Z1203" s="300"/>
      <c r="AA1203" s="300"/>
      <c r="AB1203" s="300"/>
      <c r="AC1203" s="300"/>
      <c r="AD1203" s="300"/>
      <c r="AE1203" s="300"/>
      <c r="AF1203" s="300"/>
    </row>
    <row r="1204" spans="1:32" s="267" customFormat="1" ht="24" customHeight="1">
      <c r="G1204" s="901" t="s">
        <v>816</v>
      </c>
      <c r="H1204" s="901"/>
      <c r="I1204" s="901"/>
      <c r="J1204" s="901"/>
      <c r="K1204" s="901"/>
      <c r="L1204" s="259">
        <f t="shared" ref="L1204:T1204" si="195">SUM(L1205:L1208)</f>
        <v>337766</v>
      </c>
      <c r="M1204" s="259">
        <f t="shared" si="195"/>
        <v>337766</v>
      </c>
      <c r="N1204" s="260">
        <f t="shared" si="195"/>
        <v>337766</v>
      </c>
      <c r="O1204" s="260">
        <f t="shared" si="195"/>
        <v>337766</v>
      </c>
      <c r="P1204" s="259">
        <f t="shared" si="195"/>
        <v>337766</v>
      </c>
      <c r="Q1204" s="259">
        <f t="shared" si="195"/>
        <v>337766</v>
      </c>
      <c r="R1204" s="259">
        <f t="shared" si="195"/>
        <v>337766</v>
      </c>
      <c r="S1204" s="259">
        <f t="shared" si="195"/>
        <v>337766</v>
      </c>
      <c r="T1204" s="259">
        <f t="shared" si="195"/>
        <v>112589</v>
      </c>
      <c r="U1204" s="65"/>
      <c r="V1204" s="466"/>
      <c r="W1204" s="466"/>
    </row>
    <row r="1205" spans="1:32" s="202" customFormat="1" ht="24" customHeight="1">
      <c r="K1205" s="202" t="s">
        <v>832</v>
      </c>
      <c r="L1205" s="232">
        <f t="shared" ref="L1205:T1205" si="196">L344</f>
        <v>73787</v>
      </c>
      <c r="M1205" s="232">
        <f t="shared" si="196"/>
        <v>73787</v>
      </c>
      <c r="N1205" s="233">
        <f t="shared" si="196"/>
        <v>73787</v>
      </c>
      <c r="O1205" s="233">
        <f t="shared" si="196"/>
        <v>73787</v>
      </c>
      <c r="P1205" s="232">
        <f t="shared" si="196"/>
        <v>73787</v>
      </c>
      <c r="Q1205" s="232">
        <f t="shared" si="196"/>
        <v>73787</v>
      </c>
      <c r="R1205" s="232">
        <f t="shared" si="196"/>
        <v>73787</v>
      </c>
      <c r="S1205" s="232">
        <f t="shared" si="196"/>
        <v>73787</v>
      </c>
      <c r="T1205" s="232">
        <f t="shared" si="196"/>
        <v>24596</v>
      </c>
      <c r="U1205" s="65"/>
      <c r="V1205" s="218"/>
      <c r="W1205" s="218"/>
      <c r="X1205" s="838"/>
      <c r="Y1205" s="838"/>
      <c r="Z1205" s="838"/>
      <c r="AA1205" s="838"/>
      <c r="AB1205" s="838"/>
      <c r="AC1205" s="838"/>
      <c r="AD1205" s="838"/>
      <c r="AE1205" s="838"/>
      <c r="AF1205" s="838"/>
    </row>
    <row r="1206" spans="1:32" s="202" customFormat="1" ht="24" customHeight="1">
      <c r="K1206" s="202" t="s">
        <v>550</v>
      </c>
      <c r="L1206" s="232">
        <f>L627</f>
        <v>197544</v>
      </c>
      <c r="M1206" s="232">
        <f t="shared" ref="M1206:T1206" si="197">M627</f>
        <v>197544</v>
      </c>
      <c r="N1206" s="233">
        <f t="shared" si="197"/>
        <v>197544</v>
      </c>
      <c r="O1206" s="233">
        <f t="shared" si="197"/>
        <v>197544</v>
      </c>
      <c r="P1206" s="232">
        <f t="shared" si="197"/>
        <v>197544</v>
      </c>
      <c r="Q1206" s="232">
        <f t="shared" si="197"/>
        <v>197544</v>
      </c>
      <c r="R1206" s="232">
        <f t="shared" si="197"/>
        <v>197544</v>
      </c>
      <c r="S1206" s="232">
        <f t="shared" si="197"/>
        <v>197544</v>
      </c>
      <c r="T1206" s="232">
        <f t="shared" si="197"/>
        <v>65848</v>
      </c>
      <c r="U1206" s="65"/>
      <c r="V1206" s="218"/>
      <c r="W1206" s="218"/>
      <c r="X1206" s="838"/>
      <c r="Y1206" s="838"/>
      <c r="Z1206" s="838"/>
      <c r="AA1206" s="838"/>
      <c r="AB1206" s="838"/>
      <c r="AC1206" s="838"/>
      <c r="AD1206" s="838"/>
      <c r="AE1206" s="838"/>
      <c r="AF1206" s="838"/>
    </row>
    <row r="1207" spans="1:32" s="202" customFormat="1" ht="24" customHeight="1">
      <c r="K1207" s="202" t="s">
        <v>551</v>
      </c>
      <c r="L1207" s="232">
        <f>L724</f>
        <v>59015</v>
      </c>
      <c r="M1207" s="232">
        <f t="shared" ref="M1207:T1207" si="198">M724</f>
        <v>59015</v>
      </c>
      <c r="N1207" s="233">
        <f t="shared" si="198"/>
        <v>59015</v>
      </c>
      <c r="O1207" s="233">
        <f t="shared" si="198"/>
        <v>59015</v>
      </c>
      <c r="P1207" s="232">
        <f t="shared" si="198"/>
        <v>59015</v>
      </c>
      <c r="Q1207" s="232">
        <f t="shared" si="198"/>
        <v>59015</v>
      </c>
      <c r="R1207" s="232">
        <f t="shared" si="198"/>
        <v>59015</v>
      </c>
      <c r="S1207" s="232">
        <f t="shared" si="198"/>
        <v>59015</v>
      </c>
      <c r="T1207" s="232">
        <f t="shared" si="198"/>
        <v>19672</v>
      </c>
      <c r="U1207" s="65"/>
      <c r="V1207" s="218"/>
      <c r="W1207" s="218"/>
      <c r="X1207" s="838"/>
      <c r="Y1207" s="838"/>
      <c r="Z1207" s="838"/>
      <c r="AA1207" s="838"/>
      <c r="AB1207" s="838"/>
      <c r="AC1207" s="838"/>
      <c r="AD1207" s="838"/>
      <c r="AE1207" s="838"/>
      <c r="AF1207" s="838"/>
    </row>
    <row r="1208" spans="1:32" s="202" customFormat="1" ht="24" customHeight="1">
      <c r="K1208" s="202" t="s">
        <v>479</v>
      </c>
      <c r="L1208" s="232">
        <f>L1019</f>
        <v>7420</v>
      </c>
      <c r="M1208" s="232">
        <f t="shared" ref="M1208:T1208" si="199">M1019</f>
        <v>7420</v>
      </c>
      <c r="N1208" s="233">
        <f t="shared" si="199"/>
        <v>7420</v>
      </c>
      <c r="O1208" s="233">
        <f t="shared" si="199"/>
        <v>7420</v>
      </c>
      <c r="P1208" s="232">
        <f t="shared" si="199"/>
        <v>7420</v>
      </c>
      <c r="Q1208" s="232">
        <f t="shared" si="199"/>
        <v>7420</v>
      </c>
      <c r="R1208" s="232">
        <f t="shared" si="199"/>
        <v>7420</v>
      </c>
      <c r="S1208" s="232">
        <f t="shared" si="199"/>
        <v>7420</v>
      </c>
      <c r="T1208" s="232">
        <f t="shared" si="199"/>
        <v>2473</v>
      </c>
      <c r="U1208" s="65"/>
      <c r="V1208" s="218"/>
      <c r="W1208" s="218"/>
      <c r="X1208" s="838"/>
      <c r="Y1208" s="838"/>
      <c r="Z1208" s="838"/>
      <c r="AA1208" s="838"/>
      <c r="AB1208" s="838"/>
      <c r="AC1208" s="838"/>
      <c r="AD1208" s="838"/>
      <c r="AE1208" s="838"/>
      <c r="AF1208" s="838"/>
    </row>
    <row r="1209" spans="1:32" s="365" customFormat="1" ht="24" customHeight="1">
      <c r="L1209" s="232"/>
      <c r="M1209" s="232"/>
      <c r="N1209" s="233"/>
      <c r="O1209" s="233"/>
      <c r="P1209" s="232"/>
      <c r="Q1209" s="232"/>
      <c r="R1209" s="232"/>
      <c r="S1209" s="232"/>
      <c r="T1209" s="232"/>
      <c r="U1209" s="65"/>
      <c r="V1209" s="838"/>
      <c r="W1209" s="838"/>
      <c r="X1209" s="838"/>
      <c r="Y1209" s="838"/>
      <c r="Z1209" s="838"/>
      <c r="AA1209" s="838"/>
      <c r="AB1209" s="838"/>
      <c r="AC1209" s="838"/>
      <c r="AD1209" s="838"/>
      <c r="AE1209" s="838"/>
      <c r="AF1209" s="838"/>
    </row>
    <row r="1210" spans="1:32" s="365" customFormat="1" ht="24" customHeight="1">
      <c r="G1210" s="901" t="s">
        <v>1045</v>
      </c>
      <c r="H1210" s="901"/>
      <c r="I1210" s="901"/>
      <c r="J1210" s="901"/>
      <c r="K1210" s="901"/>
      <c r="L1210" s="259">
        <f t="shared" ref="L1210:T1210" si="200">SUM(L1211:L1214)</f>
        <v>1294265</v>
      </c>
      <c r="M1210" s="259">
        <f t="shared" si="200"/>
        <v>1475105</v>
      </c>
      <c r="N1210" s="260">
        <f t="shared" si="200"/>
        <v>1150000</v>
      </c>
      <c r="O1210" s="260">
        <f t="shared" si="200"/>
        <v>1515810</v>
      </c>
      <c r="P1210" s="259">
        <f t="shared" si="200"/>
        <v>956000</v>
      </c>
      <c r="Q1210" s="259">
        <f t="shared" si="200"/>
        <v>1150000</v>
      </c>
      <c r="R1210" s="259">
        <f t="shared" si="200"/>
        <v>1038500</v>
      </c>
      <c r="S1210" s="259">
        <f t="shared" si="200"/>
        <v>1122310</v>
      </c>
      <c r="T1210" s="259">
        <f t="shared" si="200"/>
        <v>1126190</v>
      </c>
      <c r="U1210" s="65"/>
      <c r="V1210" s="466"/>
      <c r="W1210" s="466"/>
      <c r="X1210" s="838"/>
      <c r="Y1210" s="838"/>
      <c r="Z1210" s="838"/>
      <c r="AA1210" s="838"/>
      <c r="AB1210" s="838"/>
      <c r="AC1210" s="838"/>
      <c r="AD1210" s="838"/>
      <c r="AE1210" s="838"/>
      <c r="AF1210" s="838"/>
    </row>
    <row r="1211" spans="1:32" s="365" customFormat="1" ht="24" customHeight="1">
      <c r="G1211" s="368"/>
      <c r="H1211" s="368"/>
      <c r="I1211" s="368"/>
      <c r="J1211" s="368"/>
      <c r="K1211" s="368" t="s">
        <v>832</v>
      </c>
      <c r="L1211" s="232">
        <f t="shared" ref="L1211:T1211" si="201">L342</f>
        <v>300000</v>
      </c>
      <c r="M1211" s="232">
        <f t="shared" si="201"/>
        <v>300000</v>
      </c>
      <c r="N1211" s="233">
        <f t="shared" si="201"/>
        <v>300000</v>
      </c>
      <c r="O1211" s="233">
        <f t="shared" si="201"/>
        <v>300000</v>
      </c>
      <c r="P1211" s="232">
        <f t="shared" si="201"/>
        <v>406000</v>
      </c>
      <c r="Q1211" s="232">
        <f t="shared" si="201"/>
        <v>700000</v>
      </c>
      <c r="R1211" s="232">
        <f t="shared" si="201"/>
        <v>588500</v>
      </c>
      <c r="S1211" s="232">
        <f t="shared" si="201"/>
        <v>573500</v>
      </c>
      <c r="T1211" s="232">
        <f t="shared" si="201"/>
        <v>547787</v>
      </c>
      <c r="U1211" s="65"/>
      <c r="V1211" s="218"/>
      <c r="W1211" s="218"/>
      <c r="X1211" s="838"/>
      <c r="Y1211" s="838"/>
      <c r="Z1211" s="838"/>
      <c r="AA1211" s="838"/>
      <c r="AB1211" s="838"/>
      <c r="AC1211" s="838"/>
      <c r="AD1211" s="838"/>
      <c r="AE1211" s="838"/>
      <c r="AF1211" s="838"/>
    </row>
    <row r="1212" spans="1:32" s="365" customFormat="1" ht="24" customHeight="1">
      <c r="G1212" s="368"/>
      <c r="H1212" s="368"/>
      <c r="I1212" s="368"/>
      <c r="J1212" s="368"/>
      <c r="K1212" s="368" t="s">
        <v>746</v>
      </c>
      <c r="L1212" s="232">
        <f t="shared" ref="L1212:T1212" si="202">L416</f>
        <v>509430</v>
      </c>
      <c r="M1212" s="232">
        <f t="shared" si="202"/>
        <v>695767</v>
      </c>
      <c r="N1212" s="233">
        <f t="shared" si="202"/>
        <v>400000</v>
      </c>
      <c r="O1212" s="233">
        <f t="shared" si="202"/>
        <v>771007</v>
      </c>
      <c r="P1212" s="232">
        <f t="shared" si="202"/>
        <v>100000</v>
      </c>
      <c r="Q1212" s="232">
        <f t="shared" si="202"/>
        <v>0</v>
      </c>
      <c r="R1212" s="232">
        <f t="shared" si="202"/>
        <v>0</v>
      </c>
      <c r="S1212" s="232">
        <f t="shared" si="202"/>
        <v>98810</v>
      </c>
      <c r="T1212" s="232">
        <f t="shared" si="202"/>
        <v>128403</v>
      </c>
      <c r="U1212" s="65"/>
      <c r="V1212" s="218"/>
      <c r="W1212" s="218"/>
      <c r="X1212" s="838"/>
      <c r="Y1212" s="838"/>
      <c r="Z1212" s="838"/>
      <c r="AA1212" s="838"/>
      <c r="AB1212" s="838"/>
      <c r="AC1212" s="838"/>
      <c r="AD1212" s="838"/>
      <c r="AE1212" s="838"/>
      <c r="AF1212" s="838"/>
    </row>
    <row r="1213" spans="1:32" s="365" customFormat="1" ht="24" customHeight="1">
      <c r="G1213" s="368"/>
      <c r="H1213" s="368"/>
      <c r="I1213" s="368"/>
      <c r="J1213" s="368"/>
      <c r="K1213" s="368" t="s">
        <v>550</v>
      </c>
      <c r="L1213" s="232">
        <f>L621</f>
        <v>259341</v>
      </c>
      <c r="M1213" s="232">
        <f t="shared" ref="M1213:T1213" si="203">M621</f>
        <v>316911</v>
      </c>
      <c r="N1213" s="233">
        <f t="shared" si="203"/>
        <v>250000</v>
      </c>
      <c r="O1213" s="233">
        <f t="shared" si="203"/>
        <v>290356</v>
      </c>
      <c r="P1213" s="232">
        <f t="shared" si="203"/>
        <v>250000</v>
      </c>
      <c r="Q1213" s="232">
        <f t="shared" si="203"/>
        <v>250000</v>
      </c>
      <c r="R1213" s="232">
        <f t="shared" si="203"/>
        <v>250000</v>
      </c>
      <c r="S1213" s="232">
        <f t="shared" si="203"/>
        <v>250000</v>
      </c>
      <c r="T1213" s="232">
        <f t="shared" si="203"/>
        <v>250000</v>
      </c>
      <c r="U1213" s="65"/>
      <c r="V1213" s="218"/>
      <c r="W1213" s="218"/>
      <c r="X1213" s="838"/>
      <c r="Y1213" s="838"/>
      <c r="Z1213" s="838"/>
      <c r="AA1213" s="838"/>
      <c r="AB1213" s="838"/>
      <c r="AC1213" s="838"/>
      <c r="AD1213" s="838"/>
      <c r="AE1213" s="838"/>
      <c r="AF1213" s="838"/>
    </row>
    <row r="1214" spans="1:32" s="365" customFormat="1" ht="24" customHeight="1">
      <c r="G1214" s="368"/>
      <c r="H1214" s="368"/>
      <c r="I1214" s="368"/>
      <c r="J1214" s="368"/>
      <c r="K1214" s="368" t="s">
        <v>551</v>
      </c>
      <c r="L1214" s="232">
        <f>L718</f>
        <v>225494</v>
      </c>
      <c r="M1214" s="232">
        <f t="shared" ref="M1214:T1214" si="204">M718</f>
        <v>162427</v>
      </c>
      <c r="N1214" s="233">
        <f t="shared" si="204"/>
        <v>200000</v>
      </c>
      <c r="O1214" s="233">
        <f t="shared" si="204"/>
        <v>154447</v>
      </c>
      <c r="P1214" s="232">
        <f t="shared" si="204"/>
        <v>200000</v>
      </c>
      <c r="Q1214" s="232">
        <f t="shared" si="204"/>
        <v>200000</v>
      </c>
      <c r="R1214" s="232">
        <f t="shared" si="204"/>
        <v>200000</v>
      </c>
      <c r="S1214" s="232">
        <f t="shared" si="204"/>
        <v>200000</v>
      </c>
      <c r="T1214" s="232">
        <f t="shared" si="204"/>
        <v>200000</v>
      </c>
      <c r="U1214" s="65"/>
      <c r="V1214" s="218"/>
      <c r="W1214" s="218"/>
      <c r="X1214" s="838"/>
      <c r="Y1214" s="838"/>
      <c r="Z1214" s="838"/>
      <c r="AA1214" s="838"/>
      <c r="AB1214" s="838"/>
      <c r="AC1214" s="838"/>
      <c r="AD1214" s="838"/>
      <c r="AE1214" s="838"/>
      <c r="AF1214" s="838"/>
    </row>
    <row r="1215" spans="1:32" s="369" customFormat="1" ht="24" customHeight="1">
      <c r="L1215" s="232"/>
      <c r="M1215" s="232"/>
      <c r="N1215" s="233"/>
      <c r="O1215" s="233"/>
      <c r="P1215" s="232"/>
      <c r="Q1215" s="232"/>
      <c r="R1215" s="232"/>
      <c r="S1215" s="232"/>
      <c r="T1215" s="232"/>
      <c r="U1215" s="65"/>
      <c r="V1215" s="838"/>
      <c r="W1215" s="838"/>
      <c r="X1215" s="838"/>
      <c r="Y1215" s="838"/>
      <c r="Z1215" s="838"/>
      <c r="AA1215" s="838"/>
      <c r="AB1215" s="838"/>
      <c r="AC1215" s="838"/>
      <c r="AD1215" s="838"/>
      <c r="AE1215" s="838"/>
      <c r="AF1215" s="838"/>
    </row>
    <row r="1216" spans="1:32" s="369" customFormat="1" ht="24" customHeight="1">
      <c r="G1216" s="901" t="s">
        <v>1204</v>
      </c>
      <c r="H1216" s="901"/>
      <c r="I1216" s="901"/>
      <c r="J1216" s="901"/>
      <c r="K1216" s="901"/>
      <c r="L1216" s="259">
        <f>SUM(L1217:L1220)</f>
        <v>1</v>
      </c>
      <c r="M1216" s="259">
        <f t="shared" ref="M1216:T1216" si="205">SUM(M1217:M1220)</f>
        <v>6</v>
      </c>
      <c r="N1216" s="260">
        <f t="shared" si="205"/>
        <v>0</v>
      </c>
      <c r="O1216" s="260">
        <f>SUM(O1217:O1220)</f>
        <v>0</v>
      </c>
      <c r="P1216" s="259">
        <f t="shared" si="205"/>
        <v>0</v>
      </c>
      <c r="Q1216" s="259">
        <f t="shared" si="205"/>
        <v>0</v>
      </c>
      <c r="R1216" s="259">
        <f t="shared" si="205"/>
        <v>0</v>
      </c>
      <c r="S1216" s="259">
        <f t="shared" si="205"/>
        <v>0</v>
      </c>
      <c r="T1216" s="259">
        <f t="shared" si="205"/>
        <v>0</v>
      </c>
      <c r="U1216" s="65"/>
      <c r="V1216" s="466"/>
      <c r="W1216" s="466"/>
      <c r="X1216" s="838"/>
      <c r="Y1216" s="838"/>
      <c r="Z1216" s="838"/>
      <c r="AA1216" s="838"/>
      <c r="AB1216" s="838"/>
      <c r="AC1216" s="838"/>
      <c r="AD1216" s="838"/>
      <c r="AE1216" s="838"/>
      <c r="AF1216" s="838"/>
    </row>
    <row r="1217" spans="1:32" s="369" customFormat="1" ht="24" customHeight="1">
      <c r="K1217" s="369" t="s">
        <v>1042</v>
      </c>
      <c r="L1217" s="232">
        <f t="shared" ref="L1217:T1217" si="206">L427</f>
        <v>109946</v>
      </c>
      <c r="M1217" s="232">
        <f t="shared" si="206"/>
        <v>3894</v>
      </c>
      <c r="N1217" s="233">
        <f t="shared" si="206"/>
        <v>446041</v>
      </c>
      <c r="O1217" s="233">
        <f t="shared" si="206"/>
        <v>409957</v>
      </c>
      <c r="P1217" s="232">
        <f t="shared" si="206"/>
        <v>45000</v>
      </c>
      <c r="Q1217" s="232">
        <f t="shared" si="206"/>
        <v>0</v>
      </c>
      <c r="R1217" s="232">
        <f t="shared" si="206"/>
        <v>0</v>
      </c>
      <c r="S1217" s="232">
        <f t="shared" si="206"/>
        <v>0</v>
      </c>
      <c r="T1217" s="232">
        <f t="shared" si="206"/>
        <v>0</v>
      </c>
      <c r="U1217" s="65"/>
      <c r="V1217" s="218"/>
      <c r="W1217" s="218"/>
      <c r="X1217" s="838"/>
      <c r="Y1217" s="838"/>
      <c r="Z1217" s="838"/>
      <c r="AA1217" s="838"/>
      <c r="AB1217" s="838"/>
      <c r="AC1217" s="838"/>
      <c r="AD1217" s="838"/>
      <c r="AE1217" s="838"/>
      <c r="AF1217" s="838"/>
    </row>
    <row r="1218" spans="1:32" s="369" customFormat="1" ht="24" customHeight="1">
      <c r="K1218" s="366" t="s">
        <v>1043</v>
      </c>
      <c r="L1218" s="367">
        <f t="shared" ref="L1218:T1218" si="207">-L357</f>
        <v>-71327</v>
      </c>
      <c r="M1218" s="367">
        <f t="shared" si="207"/>
        <v>-2475</v>
      </c>
      <c r="N1218" s="379">
        <f t="shared" si="207"/>
        <v>-133424</v>
      </c>
      <c r="O1218" s="379">
        <f t="shared" si="207"/>
        <v>-227014</v>
      </c>
      <c r="P1218" s="367">
        <f t="shared" si="207"/>
        <v>0</v>
      </c>
      <c r="Q1218" s="367">
        <f t="shared" si="207"/>
        <v>0</v>
      </c>
      <c r="R1218" s="367">
        <f t="shared" si="207"/>
        <v>0</v>
      </c>
      <c r="S1218" s="367">
        <f t="shared" si="207"/>
        <v>0</v>
      </c>
      <c r="T1218" s="367">
        <f t="shared" si="207"/>
        <v>0</v>
      </c>
      <c r="U1218" s="65"/>
      <c r="V1218" s="376"/>
      <c r="W1218" s="376"/>
      <c r="X1218" s="838"/>
      <c r="Y1218" s="838"/>
      <c r="Z1218" s="838"/>
      <c r="AA1218" s="838"/>
      <c r="AB1218" s="838"/>
      <c r="AC1218" s="838"/>
      <c r="AD1218" s="838"/>
      <c r="AE1218" s="838"/>
      <c r="AF1218" s="838"/>
    </row>
    <row r="1219" spans="1:32" s="369" customFormat="1" ht="24" customHeight="1">
      <c r="K1219" s="366" t="s">
        <v>1044</v>
      </c>
      <c r="L1219" s="367">
        <f t="shared" ref="L1219:T1219" si="208">-L375</f>
        <v>-38618</v>
      </c>
      <c r="M1219" s="367">
        <f t="shared" si="208"/>
        <v>-1413</v>
      </c>
      <c r="N1219" s="379">
        <f t="shared" si="208"/>
        <v>-312617</v>
      </c>
      <c r="O1219" s="379">
        <f t="shared" si="208"/>
        <v>-118943</v>
      </c>
      <c r="P1219" s="367">
        <f t="shared" si="208"/>
        <v>-29000</v>
      </c>
      <c r="Q1219" s="367">
        <f t="shared" si="208"/>
        <v>0</v>
      </c>
      <c r="R1219" s="367">
        <f t="shared" si="208"/>
        <v>0</v>
      </c>
      <c r="S1219" s="367">
        <f t="shared" si="208"/>
        <v>0</v>
      </c>
      <c r="T1219" s="367">
        <f t="shared" si="208"/>
        <v>0</v>
      </c>
      <c r="U1219" s="65"/>
      <c r="V1219" s="376"/>
      <c r="W1219" s="376"/>
      <c r="X1219" s="838"/>
      <c r="Y1219" s="838"/>
      <c r="Z1219" s="838"/>
      <c r="AA1219" s="838"/>
      <c r="AB1219" s="838"/>
      <c r="AC1219" s="838"/>
      <c r="AD1219" s="838"/>
      <c r="AE1219" s="838"/>
      <c r="AF1219" s="838"/>
    </row>
    <row r="1220" spans="1:32" s="784" customFormat="1" ht="24" customHeight="1">
      <c r="K1220" s="366" t="s">
        <v>1381</v>
      </c>
      <c r="L1220" s="367">
        <v>0</v>
      </c>
      <c r="M1220" s="367">
        <v>0</v>
      </c>
      <c r="N1220" s="379">
        <v>0</v>
      </c>
      <c r="O1220" s="379">
        <f>-O376</f>
        <v>-64000</v>
      </c>
      <c r="P1220" s="367">
        <f>-P376</f>
        <v>-16000</v>
      </c>
      <c r="Q1220" s="367">
        <v>0</v>
      </c>
      <c r="R1220" s="367">
        <v>0</v>
      </c>
      <c r="S1220" s="367">
        <v>0</v>
      </c>
      <c r="T1220" s="367">
        <v>0</v>
      </c>
      <c r="U1220" s="65"/>
      <c r="V1220" s="376"/>
      <c r="W1220" s="376"/>
      <c r="X1220" s="838"/>
      <c r="Y1220" s="838"/>
      <c r="Z1220" s="838"/>
      <c r="AA1220" s="838"/>
      <c r="AB1220" s="838"/>
      <c r="AC1220" s="838"/>
      <c r="AD1220" s="838"/>
      <c r="AE1220" s="838"/>
      <c r="AF1220" s="838"/>
    </row>
    <row r="1221" spans="1:32" s="369" customFormat="1" ht="24" customHeight="1">
      <c r="K1221" s="366"/>
      <c r="L1221" s="367"/>
      <c r="M1221" s="367"/>
      <c r="N1221" s="379"/>
      <c r="O1221" s="379"/>
      <c r="P1221" s="367"/>
      <c r="Q1221" s="367"/>
      <c r="R1221" s="367"/>
      <c r="S1221" s="367"/>
      <c r="T1221" s="367"/>
      <c r="U1221" s="65"/>
      <c r="V1221" s="838"/>
      <c r="W1221" s="838"/>
      <c r="X1221" s="838"/>
      <c r="Y1221" s="838"/>
      <c r="Z1221" s="838"/>
      <c r="AA1221" s="838"/>
      <c r="AB1221" s="838"/>
      <c r="AC1221" s="838"/>
      <c r="AD1221" s="838"/>
      <c r="AE1221" s="838"/>
      <c r="AF1221" s="838"/>
    </row>
    <row r="1222" spans="1:32" s="284" customFormat="1" ht="24" customHeight="1">
      <c r="A1222" s="295" t="s">
        <v>1170</v>
      </c>
      <c r="B1222" s="295"/>
      <c r="C1222" s="295"/>
      <c r="D1222" s="295"/>
      <c r="E1222" s="295"/>
      <c r="F1222" s="295"/>
      <c r="G1222" s="295"/>
      <c r="H1222" s="295"/>
      <c r="I1222" s="295"/>
      <c r="J1222" s="295"/>
      <c r="K1222" s="295"/>
      <c r="L1222" s="297"/>
      <c r="M1222" s="297"/>
      <c r="N1222" s="297"/>
      <c r="O1222" s="297"/>
      <c r="P1222" s="297"/>
      <c r="Q1222" s="297"/>
      <c r="R1222" s="297"/>
      <c r="S1222" s="297"/>
      <c r="T1222" s="297"/>
      <c r="U1222" s="807"/>
      <c r="V1222" s="441"/>
      <c r="W1222" s="441"/>
      <c r="X1222" s="838"/>
      <c r="Y1222" s="838"/>
      <c r="Z1222" s="838"/>
      <c r="AA1222" s="838"/>
      <c r="AB1222" s="838"/>
      <c r="AC1222" s="838"/>
      <c r="AD1222" s="838"/>
      <c r="AE1222" s="838"/>
      <c r="AF1222" s="838"/>
    </row>
    <row r="1223" spans="1:32" s="375" customFormat="1" ht="24" customHeight="1">
      <c r="G1223" s="901" t="s">
        <v>1053</v>
      </c>
      <c r="H1223" s="901"/>
      <c r="I1223" s="901"/>
      <c r="J1223" s="901"/>
      <c r="K1223" s="901"/>
      <c r="L1223" s="259">
        <f t="shared" ref="L1223:T1223" si="209">SUM(L1224:L1224)</f>
        <v>1377783</v>
      </c>
      <c r="M1223" s="259">
        <f t="shared" si="209"/>
        <v>13364</v>
      </c>
      <c r="N1223" s="260">
        <f t="shared" si="209"/>
        <v>0</v>
      </c>
      <c r="O1223" s="260">
        <f t="shared" si="209"/>
        <v>328914</v>
      </c>
      <c r="P1223" s="259">
        <f t="shared" si="209"/>
        <v>0</v>
      </c>
      <c r="Q1223" s="259">
        <f t="shared" si="209"/>
        <v>0</v>
      </c>
      <c r="R1223" s="259">
        <f t="shared" si="209"/>
        <v>0</v>
      </c>
      <c r="S1223" s="259">
        <f t="shared" si="209"/>
        <v>0</v>
      </c>
      <c r="T1223" s="259">
        <f t="shared" si="209"/>
        <v>0</v>
      </c>
      <c r="U1223" s="65"/>
      <c r="V1223" s="466"/>
      <c r="W1223" s="466"/>
      <c r="X1223" s="838"/>
      <c r="Y1223" s="838"/>
      <c r="Z1223" s="838"/>
      <c r="AA1223" s="838"/>
      <c r="AB1223" s="838"/>
      <c r="AC1223" s="838"/>
      <c r="AD1223" s="838"/>
      <c r="AE1223" s="838"/>
      <c r="AF1223" s="838"/>
    </row>
    <row r="1224" spans="1:32" s="375" customFormat="1" ht="24" customHeight="1">
      <c r="K1224" s="375" t="s">
        <v>1042</v>
      </c>
      <c r="L1224" s="232">
        <f t="shared" ref="L1224:T1224" si="210">L422</f>
        <v>1377783</v>
      </c>
      <c r="M1224" s="232">
        <f t="shared" si="210"/>
        <v>13364</v>
      </c>
      <c r="N1224" s="233">
        <f t="shared" si="210"/>
        <v>0</v>
      </c>
      <c r="O1224" s="233">
        <f t="shared" si="210"/>
        <v>328914</v>
      </c>
      <c r="P1224" s="232">
        <f t="shared" si="210"/>
        <v>0</v>
      </c>
      <c r="Q1224" s="232">
        <f t="shared" si="210"/>
        <v>0</v>
      </c>
      <c r="R1224" s="232">
        <f t="shared" si="210"/>
        <v>0</v>
      </c>
      <c r="S1224" s="232">
        <f t="shared" si="210"/>
        <v>0</v>
      </c>
      <c r="T1224" s="232">
        <f t="shared" si="210"/>
        <v>0</v>
      </c>
      <c r="U1224" s="65"/>
      <c r="V1224" s="218"/>
      <c r="W1224" s="218"/>
      <c r="X1224" s="838"/>
      <c r="Y1224" s="838"/>
      <c r="Z1224" s="838"/>
      <c r="AA1224" s="838"/>
      <c r="AB1224" s="838"/>
      <c r="AC1224" s="838"/>
      <c r="AD1224" s="838"/>
      <c r="AE1224" s="838"/>
      <c r="AF1224" s="838"/>
    </row>
    <row r="1225" spans="1:32" s="463" customFormat="1" ht="24" customHeight="1">
      <c r="L1225" s="232"/>
      <c r="M1225" s="232"/>
      <c r="N1225" s="233"/>
      <c r="O1225" s="233"/>
      <c r="P1225" s="232"/>
      <c r="Q1225" s="232"/>
      <c r="R1225" s="232"/>
      <c r="S1225" s="232"/>
      <c r="T1225" s="232"/>
      <c r="U1225" s="65"/>
      <c r="V1225" s="838"/>
      <c r="W1225" s="838"/>
      <c r="X1225" s="838"/>
      <c r="Y1225" s="838"/>
      <c r="Z1225" s="838"/>
      <c r="AA1225" s="838"/>
      <c r="AB1225" s="838"/>
      <c r="AC1225" s="838"/>
      <c r="AD1225" s="838"/>
      <c r="AE1225" s="838"/>
      <c r="AF1225" s="838"/>
    </row>
    <row r="1226" spans="1:32" s="463" customFormat="1" ht="24" customHeight="1">
      <c r="G1226" s="901" t="s">
        <v>1154</v>
      </c>
      <c r="H1226" s="901"/>
      <c r="I1226" s="901"/>
      <c r="J1226" s="901"/>
      <c r="K1226" s="901"/>
      <c r="L1226" s="259">
        <f>SUM(L1227:L1228)</f>
        <v>585222</v>
      </c>
      <c r="M1226" s="259">
        <f t="shared" ref="M1226:T1226" si="211">SUM(M1227:M1228)</f>
        <v>3929736</v>
      </c>
      <c r="N1226" s="260">
        <f t="shared" si="211"/>
        <v>768753</v>
      </c>
      <c r="O1226" s="260">
        <f t="shared" si="211"/>
        <v>828196</v>
      </c>
      <c r="P1226" s="259">
        <f t="shared" si="211"/>
        <v>0</v>
      </c>
      <c r="Q1226" s="259">
        <f t="shared" si="211"/>
        <v>0</v>
      </c>
      <c r="R1226" s="259">
        <f t="shared" si="211"/>
        <v>0</v>
      </c>
      <c r="S1226" s="259">
        <f t="shared" si="211"/>
        <v>0</v>
      </c>
      <c r="T1226" s="259">
        <f t="shared" si="211"/>
        <v>0</v>
      </c>
      <c r="U1226" s="65"/>
      <c r="V1226" s="466"/>
      <c r="W1226" s="466"/>
      <c r="X1226" s="838"/>
      <c r="Y1226" s="838"/>
      <c r="Z1226" s="838"/>
      <c r="AA1226" s="838"/>
      <c r="AB1226" s="838"/>
      <c r="AC1226" s="838"/>
      <c r="AD1226" s="838"/>
      <c r="AE1226" s="838"/>
      <c r="AF1226" s="838"/>
    </row>
    <row r="1227" spans="1:32" s="463" customFormat="1" ht="24" customHeight="1">
      <c r="G1227" s="461"/>
      <c r="H1227" s="461"/>
      <c r="I1227" s="461"/>
      <c r="J1227" s="461"/>
      <c r="K1227" s="463" t="s">
        <v>1042</v>
      </c>
      <c r="L1227" s="232">
        <f t="shared" ref="L1227:T1227" si="212">L424</f>
        <v>117202</v>
      </c>
      <c r="M1227" s="232">
        <f t="shared" si="212"/>
        <v>1211639</v>
      </c>
      <c r="N1227" s="233">
        <f t="shared" si="212"/>
        <v>645940</v>
      </c>
      <c r="O1227" s="233">
        <f t="shared" si="212"/>
        <v>627417</v>
      </c>
      <c r="P1227" s="232">
        <f t="shared" si="212"/>
        <v>0</v>
      </c>
      <c r="Q1227" s="232">
        <f t="shared" si="212"/>
        <v>0</v>
      </c>
      <c r="R1227" s="232">
        <f t="shared" si="212"/>
        <v>0</v>
      </c>
      <c r="S1227" s="232">
        <f t="shared" si="212"/>
        <v>0</v>
      </c>
      <c r="T1227" s="232">
        <f t="shared" si="212"/>
        <v>0</v>
      </c>
      <c r="U1227" s="65"/>
      <c r="V1227" s="218"/>
      <c r="W1227" s="218"/>
      <c r="X1227" s="838"/>
      <c r="Y1227" s="838"/>
      <c r="Z1227" s="838"/>
      <c r="AA1227" s="838"/>
      <c r="AB1227" s="838"/>
      <c r="AC1227" s="838"/>
      <c r="AD1227" s="838"/>
      <c r="AE1227" s="838"/>
      <c r="AF1227" s="838"/>
    </row>
    <row r="1228" spans="1:32" s="463" customFormat="1" ht="24" customHeight="1">
      <c r="G1228" s="461"/>
      <c r="H1228" s="461"/>
      <c r="I1228" s="461"/>
      <c r="J1228" s="461"/>
      <c r="K1228" s="463" t="s">
        <v>550</v>
      </c>
      <c r="L1228" s="232">
        <f>L629</f>
        <v>468020</v>
      </c>
      <c r="M1228" s="232">
        <f t="shared" ref="M1228:T1228" si="213">M629</f>
        <v>2718097</v>
      </c>
      <c r="N1228" s="233">
        <f t="shared" si="213"/>
        <v>122813</v>
      </c>
      <c r="O1228" s="233">
        <f t="shared" si="213"/>
        <v>200779</v>
      </c>
      <c r="P1228" s="232">
        <f t="shared" si="213"/>
        <v>0</v>
      </c>
      <c r="Q1228" s="232">
        <f t="shared" si="213"/>
        <v>0</v>
      </c>
      <c r="R1228" s="232">
        <f t="shared" si="213"/>
        <v>0</v>
      </c>
      <c r="S1228" s="232">
        <f t="shared" si="213"/>
        <v>0</v>
      </c>
      <c r="T1228" s="232">
        <f t="shared" si="213"/>
        <v>0</v>
      </c>
      <c r="U1228" s="65"/>
      <c r="V1228" s="218"/>
      <c r="W1228" s="218"/>
      <c r="X1228" s="838"/>
      <c r="Y1228" s="838"/>
      <c r="Z1228" s="838"/>
      <c r="AA1228" s="838"/>
      <c r="AB1228" s="838"/>
      <c r="AC1228" s="838"/>
      <c r="AD1228" s="838"/>
      <c r="AE1228" s="838"/>
      <c r="AF1228" s="838"/>
    </row>
    <row r="1229" spans="1:32" s="464" customFormat="1" ht="24" customHeight="1">
      <c r="G1229" s="465"/>
      <c r="H1229" s="465"/>
      <c r="I1229" s="465"/>
      <c r="J1229" s="465"/>
      <c r="L1229" s="232"/>
      <c r="M1229" s="232"/>
      <c r="N1229" s="233"/>
      <c r="O1229" s="233"/>
      <c r="P1229" s="232"/>
      <c r="Q1229" s="232"/>
      <c r="R1229" s="232"/>
      <c r="S1229" s="232"/>
      <c r="T1229" s="232"/>
      <c r="U1229" s="65"/>
      <c r="V1229" s="220"/>
      <c r="W1229" s="838"/>
      <c r="X1229" s="838"/>
      <c r="Y1229" s="838"/>
      <c r="Z1229" s="838"/>
      <c r="AA1229" s="838"/>
      <c r="AB1229" s="838"/>
      <c r="AC1229" s="838"/>
      <c r="AD1229" s="838"/>
      <c r="AE1229" s="838"/>
      <c r="AF1229" s="838"/>
    </row>
    <row r="1230" spans="1:32" s="464" customFormat="1" ht="24" customHeight="1">
      <c r="G1230" s="901" t="s">
        <v>1157</v>
      </c>
      <c r="H1230" s="901"/>
      <c r="I1230" s="901"/>
      <c r="J1230" s="901"/>
      <c r="K1230" s="901"/>
      <c r="L1230" s="259">
        <f t="shared" ref="L1230:T1230" si="214">SUM(L1231:L1231)</f>
        <v>128876</v>
      </c>
      <c r="M1230" s="259">
        <f t="shared" si="214"/>
        <v>174197</v>
      </c>
      <c r="N1230" s="260">
        <f t="shared" si="214"/>
        <v>203000</v>
      </c>
      <c r="O1230" s="260">
        <f t="shared" si="214"/>
        <v>246954</v>
      </c>
      <c r="P1230" s="259">
        <f t="shared" si="214"/>
        <v>257500</v>
      </c>
      <c r="Q1230" s="259">
        <f t="shared" si="214"/>
        <v>0</v>
      </c>
      <c r="R1230" s="259">
        <f t="shared" si="214"/>
        <v>0</v>
      </c>
      <c r="S1230" s="259">
        <f t="shared" si="214"/>
        <v>0</v>
      </c>
      <c r="T1230" s="259">
        <f t="shared" si="214"/>
        <v>0</v>
      </c>
      <c r="U1230" s="65"/>
      <c r="V1230" s="466"/>
      <c r="W1230" s="466"/>
      <c r="X1230" s="838"/>
      <c r="Y1230" s="838"/>
      <c r="Z1230" s="838"/>
      <c r="AA1230" s="838"/>
      <c r="AB1230" s="838"/>
      <c r="AC1230" s="838"/>
      <c r="AD1230" s="838"/>
      <c r="AE1230" s="838"/>
      <c r="AF1230" s="838"/>
    </row>
    <row r="1231" spans="1:32" s="464" customFormat="1" ht="24" customHeight="1">
      <c r="G1231" s="465"/>
      <c r="H1231" s="465"/>
      <c r="I1231" s="465"/>
      <c r="J1231" s="465"/>
      <c r="K1231" s="464" t="s">
        <v>550</v>
      </c>
      <c r="L1231" s="232">
        <f>L620</f>
        <v>128876</v>
      </c>
      <c r="M1231" s="232">
        <f t="shared" ref="M1231:T1231" si="215">M620</f>
        <v>174197</v>
      </c>
      <c r="N1231" s="233">
        <f t="shared" si="215"/>
        <v>203000</v>
      </c>
      <c r="O1231" s="233">
        <f t="shared" si="215"/>
        <v>246954</v>
      </c>
      <c r="P1231" s="232">
        <f t="shared" si="215"/>
        <v>257500</v>
      </c>
      <c r="Q1231" s="232">
        <f t="shared" si="215"/>
        <v>0</v>
      </c>
      <c r="R1231" s="232">
        <f t="shared" si="215"/>
        <v>0</v>
      </c>
      <c r="S1231" s="232">
        <f t="shared" si="215"/>
        <v>0</v>
      </c>
      <c r="T1231" s="232">
        <f t="shared" si="215"/>
        <v>0</v>
      </c>
      <c r="U1231" s="65"/>
      <c r="V1231" s="218"/>
      <c r="W1231" s="218"/>
      <c r="X1231" s="838"/>
      <c r="Y1231" s="838"/>
      <c r="Z1231" s="838"/>
      <c r="AA1231" s="838"/>
      <c r="AB1231" s="838"/>
      <c r="AC1231" s="838"/>
      <c r="AD1231" s="838"/>
      <c r="AE1231" s="838"/>
      <c r="AF1231" s="838"/>
    </row>
    <row r="1232" spans="1:32" s="464" customFormat="1" ht="24" customHeight="1">
      <c r="G1232" s="465"/>
      <c r="H1232" s="465"/>
      <c r="I1232" s="465"/>
      <c r="J1232" s="465"/>
      <c r="L1232" s="232"/>
      <c r="M1232" s="232"/>
      <c r="N1232" s="233"/>
      <c r="O1232" s="233"/>
      <c r="P1232" s="232"/>
      <c r="Q1232" s="232"/>
      <c r="R1232" s="232"/>
      <c r="S1232" s="232"/>
      <c r="T1232" s="232"/>
      <c r="U1232" s="65"/>
      <c r="V1232" s="220"/>
      <c r="W1232" s="838"/>
      <c r="X1232" s="838"/>
      <c r="Y1232" s="838"/>
      <c r="Z1232" s="838"/>
      <c r="AA1232" s="838"/>
      <c r="AB1232" s="838"/>
      <c r="AC1232" s="838"/>
      <c r="AD1232" s="838"/>
      <c r="AE1232" s="838"/>
      <c r="AF1232" s="838"/>
    </row>
    <row r="1233" spans="1:32" s="464" customFormat="1" ht="24" customHeight="1">
      <c r="E1233" s="901" t="s">
        <v>1301</v>
      </c>
      <c r="F1233" s="901"/>
      <c r="G1233" s="901"/>
      <c r="H1233" s="901"/>
      <c r="I1233" s="901"/>
      <c r="J1233" s="901"/>
      <c r="K1233" s="901"/>
      <c r="L1233" s="259">
        <f>SUM(L1234:L1235)</f>
        <v>15955</v>
      </c>
      <c r="M1233" s="259">
        <f t="shared" ref="M1233:T1233" si="216">SUM(M1234:M1235)</f>
        <v>29870</v>
      </c>
      <c r="N1233" s="260">
        <f t="shared" si="216"/>
        <v>18000</v>
      </c>
      <c r="O1233" s="260">
        <f t="shared" si="216"/>
        <v>52142</v>
      </c>
      <c r="P1233" s="259">
        <f t="shared" si="216"/>
        <v>722500</v>
      </c>
      <c r="Q1233" s="259">
        <f t="shared" si="216"/>
        <v>0</v>
      </c>
      <c r="R1233" s="259">
        <f t="shared" si="216"/>
        <v>0</v>
      </c>
      <c r="S1233" s="259">
        <f t="shared" si="216"/>
        <v>0</v>
      </c>
      <c r="T1233" s="259">
        <f t="shared" si="216"/>
        <v>0</v>
      </c>
      <c r="U1233" s="65"/>
      <c r="V1233" s="466"/>
      <c r="W1233" s="466"/>
      <c r="X1233" s="218"/>
      <c r="Y1233" s="838"/>
      <c r="Z1233" s="838"/>
      <c r="AA1233" s="838"/>
      <c r="AB1233" s="838"/>
      <c r="AC1233" s="838"/>
      <c r="AD1233" s="838"/>
      <c r="AE1233" s="838"/>
      <c r="AF1233" s="838"/>
    </row>
    <row r="1234" spans="1:32" s="464" customFormat="1" ht="24" customHeight="1">
      <c r="G1234" s="465"/>
      <c r="H1234" s="465"/>
      <c r="I1234" s="465"/>
      <c r="J1234" s="465"/>
      <c r="K1234" s="464" t="s">
        <v>550</v>
      </c>
      <c r="L1234" s="232">
        <f>L625</f>
        <v>15955</v>
      </c>
      <c r="M1234" s="232">
        <f t="shared" ref="M1234:T1234" si="217">M625</f>
        <v>24195</v>
      </c>
      <c r="N1234" s="233">
        <f t="shared" si="217"/>
        <v>14580</v>
      </c>
      <c r="O1234" s="233">
        <f t="shared" si="217"/>
        <v>47935</v>
      </c>
      <c r="P1234" s="232">
        <f t="shared" si="217"/>
        <v>533500</v>
      </c>
      <c r="Q1234" s="232">
        <f t="shared" si="217"/>
        <v>0</v>
      </c>
      <c r="R1234" s="232">
        <f t="shared" si="217"/>
        <v>0</v>
      </c>
      <c r="S1234" s="232">
        <f t="shared" si="217"/>
        <v>0</v>
      </c>
      <c r="T1234" s="232">
        <f t="shared" si="217"/>
        <v>0</v>
      </c>
      <c r="U1234" s="65"/>
      <c r="V1234" s="218"/>
      <c r="W1234" s="218"/>
      <c r="X1234" s="838"/>
      <c r="Y1234" s="838"/>
      <c r="Z1234" s="838"/>
      <c r="AA1234" s="838"/>
      <c r="AB1234" s="838"/>
      <c r="AC1234" s="838"/>
      <c r="AD1234" s="838"/>
      <c r="AE1234" s="838"/>
      <c r="AF1234" s="838"/>
    </row>
    <row r="1235" spans="1:32" s="674" customFormat="1" ht="24" customHeight="1">
      <c r="G1235" s="673"/>
      <c r="H1235" s="673"/>
      <c r="I1235" s="673"/>
      <c r="J1235" s="673"/>
      <c r="K1235" s="674" t="s">
        <v>551</v>
      </c>
      <c r="L1235" s="232">
        <f>L722</f>
        <v>0</v>
      </c>
      <c r="M1235" s="232">
        <f t="shared" ref="M1235:T1235" si="218">M722</f>
        <v>5675</v>
      </c>
      <c r="N1235" s="233">
        <f t="shared" si="218"/>
        <v>3420</v>
      </c>
      <c r="O1235" s="233">
        <f t="shared" si="218"/>
        <v>4207</v>
      </c>
      <c r="P1235" s="232">
        <f t="shared" si="218"/>
        <v>189000</v>
      </c>
      <c r="Q1235" s="232">
        <f t="shared" si="218"/>
        <v>0</v>
      </c>
      <c r="R1235" s="232">
        <f t="shared" si="218"/>
        <v>0</v>
      </c>
      <c r="S1235" s="232">
        <f t="shared" si="218"/>
        <v>0</v>
      </c>
      <c r="T1235" s="232">
        <f t="shared" si="218"/>
        <v>0</v>
      </c>
      <c r="U1235" s="209"/>
      <c r="V1235" s="218"/>
      <c r="W1235" s="218"/>
      <c r="X1235" s="838"/>
      <c r="Y1235" s="838"/>
      <c r="Z1235" s="838"/>
      <c r="AA1235" s="838"/>
      <c r="AB1235" s="838"/>
      <c r="AC1235" s="838"/>
      <c r="AD1235" s="838"/>
      <c r="AE1235" s="838"/>
      <c r="AF1235" s="838"/>
    </row>
    <row r="1236" spans="1:32" s="464" customFormat="1" ht="24" customHeight="1">
      <c r="G1236" s="465"/>
      <c r="H1236" s="465"/>
      <c r="I1236" s="465"/>
      <c r="J1236" s="465"/>
      <c r="L1236" s="232"/>
      <c r="M1236" s="232"/>
      <c r="N1236" s="233"/>
      <c r="O1236" s="233"/>
      <c r="P1236" s="232"/>
      <c r="Q1236" s="232"/>
      <c r="R1236" s="232"/>
      <c r="S1236" s="232"/>
      <c r="T1236" s="232"/>
      <c r="U1236" s="65"/>
      <c r="V1236" s="220"/>
      <c r="W1236" s="838"/>
      <c r="X1236" s="838"/>
      <c r="Y1236" s="838"/>
      <c r="Z1236" s="838"/>
      <c r="AA1236" s="838"/>
      <c r="AB1236" s="838"/>
      <c r="AC1236" s="838"/>
      <c r="AD1236" s="838"/>
      <c r="AE1236" s="838"/>
      <c r="AF1236" s="838"/>
    </row>
    <row r="1237" spans="1:32" s="560" customFormat="1" ht="24" customHeight="1">
      <c r="G1237" s="901" t="s">
        <v>1201</v>
      </c>
      <c r="H1237" s="901"/>
      <c r="I1237" s="901"/>
      <c r="J1237" s="901"/>
      <c r="K1237" s="901"/>
      <c r="L1237" s="259">
        <f t="shared" ref="L1237:T1237" si="219">SUM(L1238:L1239)</f>
        <v>5354</v>
      </c>
      <c r="M1237" s="259">
        <f t="shared" si="219"/>
        <v>-21616</v>
      </c>
      <c r="N1237" s="260">
        <f t="shared" si="219"/>
        <v>0</v>
      </c>
      <c r="O1237" s="260">
        <f t="shared" si="219"/>
        <v>0</v>
      </c>
      <c r="P1237" s="259">
        <f t="shared" si="219"/>
        <v>0</v>
      </c>
      <c r="Q1237" s="259">
        <f t="shared" si="219"/>
        <v>0</v>
      </c>
      <c r="R1237" s="259">
        <f t="shared" si="219"/>
        <v>0</v>
      </c>
      <c r="S1237" s="259">
        <f t="shared" si="219"/>
        <v>0</v>
      </c>
      <c r="T1237" s="259">
        <f t="shared" si="219"/>
        <v>0</v>
      </c>
      <c r="U1237" s="65"/>
      <c r="V1237" s="466"/>
      <c r="W1237" s="466"/>
      <c r="X1237" s="838"/>
      <c r="Y1237" s="838"/>
      <c r="Z1237" s="838"/>
      <c r="AA1237" s="838"/>
      <c r="AB1237" s="838"/>
      <c r="AC1237" s="838"/>
      <c r="AD1237" s="838"/>
      <c r="AE1237" s="838"/>
      <c r="AF1237" s="838"/>
    </row>
    <row r="1238" spans="1:32" s="560" customFormat="1" ht="24" customHeight="1">
      <c r="G1238" s="559"/>
      <c r="H1238" s="559"/>
      <c r="I1238" s="559"/>
      <c r="J1238" s="559"/>
      <c r="K1238" s="560" t="s">
        <v>1042</v>
      </c>
      <c r="L1238" s="232">
        <f t="shared" ref="L1238:T1238" si="220">L407</f>
        <v>57430</v>
      </c>
      <c r="M1238" s="232">
        <f t="shared" si="220"/>
        <v>454548</v>
      </c>
      <c r="N1238" s="233">
        <f t="shared" si="220"/>
        <v>65200</v>
      </c>
      <c r="O1238" s="233">
        <f t="shared" si="220"/>
        <v>65200</v>
      </c>
      <c r="P1238" s="232">
        <f t="shared" si="220"/>
        <v>0</v>
      </c>
      <c r="Q1238" s="232">
        <f t="shared" si="220"/>
        <v>0</v>
      </c>
      <c r="R1238" s="232">
        <f t="shared" si="220"/>
        <v>0</v>
      </c>
      <c r="S1238" s="232">
        <f t="shared" si="220"/>
        <v>0</v>
      </c>
      <c r="T1238" s="232">
        <f t="shared" si="220"/>
        <v>0</v>
      </c>
      <c r="U1238" s="65"/>
      <c r="V1238" s="218"/>
      <c r="W1238" s="218"/>
      <c r="X1238" s="838"/>
      <c r="Y1238" s="838"/>
      <c r="Z1238" s="838"/>
      <c r="AA1238" s="838"/>
      <c r="AB1238" s="838"/>
      <c r="AC1238" s="838"/>
      <c r="AD1238" s="838"/>
      <c r="AE1238" s="838"/>
      <c r="AF1238" s="838"/>
    </row>
    <row r="1239" spans="1:32" s="560" customFormat="1" ht="24" customHeight="1">
      <c r="K1239" s="366" t="s">
        <v>1043</v>
      </c>
      <c r="L1239" s="367">
        <f t="shared" ref="L1239:T1239" si="221">-L358</f>
        <v>-52076</v>
      </c>
      <c r="M1239" s="367">
        <f t="shared" si="221"/>
        <v>-476164</v>
      </c>
      <c r="N1239" s="379">
        <f t="shared" si="221"/>
        <v>-65200</v>
      </c>
      <c r="O1239" s="379">
        <f t="shared" si="221"/>
        <v>-65200</v>
      </c>
      <c r="P1239" s="367">
        <f t="shared" si="221"/>
        <v>0</v>
      </c>
      <c r="Q1239" s="367">
        <f t="shared" si="221"/>
        <v>0</v>
      </c>
      <c r="R1239" s="367">
        <f t="shared" si="221"/>
        <v>0</v>
      </c>
      <c r="S1239" s="367">
        <f t="shared" si="221"/>
        <v>0</v>
      </c>
      <c r="T1239" s="367">
        <f t="shared" si="221"/>
        <v>0</v>
      </c>
      <c r="U1239" s="65"/>
      <c r="V1239" s="376"/>
      <c r="W1239" s="376"/>
      <c r="X1239" s="838"/>
      <c r="Y1239" s="838"/>
      <c r="Z1239" s="838"/>
      <c r="AA1239" s="838"/>
      <c r="AB1239" s="838"/>
      <c r="AC1239" s="838"/>
      <c r="AD1239" s="838"/>
      <c r="AE1239" s="838"/>
      <c r="AF1239" s="838"/>
    </row>
    <row r="1240" spans="1:32" s="680" customFormat="1" ht="24" customHeight="1">
      <c r="K1240" s="366"/>
      <c r="L1240" s="367"/>
      <c r="M1240" s="367"/>
      <c r="N1240" s="379"/>
      <c r="O1240" s="379"/>
      <c r="P1240" s="367"/>
      <c r="Q1240" s="367"/>
      <c r="R1240" s="367"/>
      <c r="S1240" s="367"/>
      <c r="T1240" s="367"/>
      <c r="U1240" s="65"/>
      <c r="V1240" s="376"/>
      <c r="W1240" s="376"/>
      <c r="X1240" s="838"/>
      <c r="Y1240" s="838"/>
      <c r="Z1240" s="838"/>
      <c r="AA1240" s="838"/>
      <c r="AB1240" s="838"/>
      <c r="AC1240" s="838"/>
      <c r="AD1240" s="838"/>
      <c r="AE1240" s="838"/>
      <c r="AF1240" s="838"/>
    </row>
    <row r="1241" spans="1:32" s="680" customFormat="1" ht="24" customHeight="1">
      <c r="G1241" s="908" t="s">
        <v>1411</v>
      </c>
      <c r="H1241" s="908"/>
      <c r="I1241" s="908"/>
      <c r="J1241" s="908"/>
      <c r="K1241" s="908"/>
      <c r="L1241" s="259">
        <f t="shared" ref="L1241:T1241" si="222">L1242</f>
        <v>0</v>
      </c>
      <c r="M1241" s="259">
        <f t="shared" si="222"/>
        <v>0</v>
      </c>
      <c r="N1241" s="260">
        <f t="shared" si="222"/>
        <v>522000</v>
      </c>
      <c r="O1241" s="260">
        <f t="shared" si="222"/>
        <v>228480</v>
      </c>
      <c r="P1241" s="259">
        <f t="shared" si="222"/>
        <v>0</v>
      </c>
      <c r="Q1241" s="259">
        <f t="shared" si="222"/>
        <v>0</v>
      </c>
      <c r="R1241" s="259">
        <f t="shared" si="222"/>
        <v>0</v>
      </c>
      <c r="S1241" s="259">
        <f t="shared" si="222"/>
        <v>0</v>
      </c>
      <c r="T1241" s="259">
        <f t="shared" si="222"/>
        <v>0</v>
      </c>
      <c r="U1241" s="65"/>
      <c r="V1241" s="466"/>
      <c r="W1241" s="466"/>
      <c r="X1241" s="838"/>
      <c r="Y1241" s="838"/>
      <c r="Z1241" s="838"/>
      <c r="AA1241" s="838"/>
      <c r="AB1241" s="838"/>
      <c r="AC1241" s="838"/>
      <c r="AD1241" s="838"/>
      <c r="AE1241" s="838"/>
      <c r="AF1241" s="838"/>
    </row>
    <row r="1242" spans="1:32" s="680" customFormat="1" ht="24" customHeight="1">
      <c r="K1242" s="680" t="s">
        <v>1042</v>
      </c>
      <c r="L1242" s="232">
        <f t="shared" ref="L1242:T1242" si="223">L425</f>
        <v>0</v>
      </c>
      <c r="M1242" s="232">
        <f t="shared" si="223"/>
        <v>0</v>
      </c>
      <c r="N1242" s="233">
        <f t="shared" si="223"/>
        <v>522000</v>
      </c>
      <c r="O1242" s="233">
        <f t="shared" si="223"/>
        <v>228480</v>
      </c>
      <c r="P1242" s="232">
        <f t="shared" si="223"/>
        <v>0</v>
      </c>
      <c r="Q1242" s="232">
        <f t="shared" si="223"/>
        <v>0</v>
      </c>
      <c r="R1242" s="232">
        <f t="shared" si="223"/>
        <v>0</v>
      </c>
      <c r="S1242" s="232">
        <f t="shared" si="223"/>
        <v>0</v>
      </c>
      <c r="T1242" s="232">
        <f t="shared" si="223"/>
        <v>0</v>
      </c>
      <c r="U1242" s="65"/>
      <c r="V1242" s="218"/>
      <c r="W1242" s="218"/>
      <c r="X1242" s="838"/>
      <c r="Y1242" s="838"/>
      <c r="Z1242" s="838"/>
      <c r="AA1242" s="838"/>
      <c r="AB1242" s="838"/>
      <c r="AC1242" s="838"/>
      <c r="AD1242" s="838"/>
      <c r="AE1242" s="838"/>
      <c r="AF1242" s="838"/>
    </row>
    <row r="1243" spans="1:32" s="560" customFormat="1" ht="24" customHeight="1">
      <c r="K1243" s="366"/>
      <c r="L1243" s="367"/>
      <c r="M1243" s="367"/>
      <c r="N1243" s="379"/>
      <c r="O1243" s="379"/>
      <c r="P1243" s="367"/>
      <c r="Q1243" s="367"/>
      <c r="R1243" s="367"/>
      <c r="S1243" s="367"/>
      <c r="T1243" s="367"/>
      <c r="U1243" s="65"/>
      <c r="V1243" s="838"/>
      <c r="W1243" s="838"/>
      <c r="X1243" s="838"/>
      <c r="Y1243" s="838"/>
      <c r="Z1243" s="838"/>
      <c r="AA1243" s="838"/>
      <c r="AB1243" s="838"/>
      <c r="AC1243" s="838"/>
      <c r="AD1243" s="838"/>
      <c r="AE1243" s="838"/>
      <c r="AF1243" s="838"/>
    </row>
    <row r="1244" spans="1:32" ht="24" customHeight="1">
      <c r="J1244" s="325"/>
      <c r="K1244" s="325"/>
      <c r="L1244" s="289"/>
      <c r="M1244" s="289"/>
      <c r="V1244" s="393"/>
    </row>
    <row r="1245" spans="1:32" s="364" customFormat="1" ht="35.1" customHeight="1">
      <c r="A1245" s="915" t="s">
        <v>1054</v>
      </c>
      <c r="B1245" s="915"/>
      <c r="C1245" s="915"/>
      <c r="D1245" s="915"/>
      <c r="E1245" s="915"/>
      <c r="F1245" s="915"/>
      <c r="G1245" s="915"/>
      <c r="H1245" s="915"/>
      <c r="I1245" s="915"/>
      <c r="J1245" s="915"/>
      <c r="K1245" s="915"/>
      <c r="L1245" s="915"/>
      <c r="M1245" s="915"/>
      <c r="N1245" s="915"/>
      <c r="O1245" s="915"/>
      <c r="P1245" s="915"/>
      <c r="Q1245" s="915"/>
      <c r="R1245" s="915"/>
      <c r="S1245" s="915"/>
      <c r="T1245" s="915"/>
      <c r="U1245" s="802"/>
      <c r="V1245" s="380"/>
      <c r="W1245" s="380"/>
    </row>
    <row r="1246" spans="1:32" ht="24" customHeight="1">
      <c r="N1246" s="200"/>
      <c r="O1246" s="200"/>
      <c r="V1246" s="393"/>
    </row>
    <row r="1247" spans="1:32" ht="24" customHeight="1">
      <c r="N1247" s="200"/>
      <c r="O1247" s="200"/>
      <c r="V1247" s="393"/>
    </row>
    <row r="1248" spans="1:32" ht="24" customHeight="1">
      <c r="N1248" s="200"/>
      <c r="O1248" s="200"/>
      <c r="U1248" s="344"/>
      <c r="V1248" s="393"/>
    </row>
    <row r="1249" spans="14:22" ht="24" customHeight="1">
      <c r="N1249" s="200"/>
      <c r="O1249" s="200"/>
      <c r="U1249" s="344"/>
      <c r="V1249" s="393"/>
    </row>
    <row r="1250" spans="14:22" ht="24" customHeight="1">
      <c r="N1250" s="200"/>
      <c r="O1250" s="200"/>
      <c r="U1250" s="344"/>
      <c r="V1250" s="393"/>
    </row>
    <row r="1251" spans="14:22" ht="24" customHeight="1">
      <c r="N1251" s="200"/>
      <c r="O1251" s="200"/>
      <c r="U1251" s="344"/>
      <c r="V1251" s="393"/>
    </row>
    <row r="1252" spans="14:22" ht="24" customHeight="1">
      <c r="N1252" s="200"/>
      <c r="O1252" s="200"/>
      <c r="U1252" s="344"/>
      <c r="V1252" s="393"/>
    </row>
    <row r="1253" spans="14:22" ht="24" customHeight="1">
      <c r="N1253" s="200"/>
      <c r="O1253" s="200"/>
      <c r="U1253" s="344"/>
      <c r="V1253" s="393"/>
    </row>
    <row r="1254" spans="14:22" ht="24" customHeight="1">
      <c r="N1254" s="200"/>
      <c r="O1254" s="200"/>
      <c r="U1254" s="344"/>
      <c r="V1254" s="393"/>
    </row>
    <row r="1255" spans="14:22" ht="24" customHeight="1">
      <c r="N1255" s="200"/>
      <c r="O1255" s="200"/>
      <c r="U1255" s="344"/>
      <c r="V1255" s="393"/>
    </row>
    <row r="1256" spans="14:22" ht="24" customHeight="1">
      <c r="N1256" s="200"/>
      <c r="O1256" s="200"/>
      <c r="U1256" s="344"/>
      <c r="V1256" s="393"/>
    </row>
    <row r="1257" spans="14:22" ht="24" customHeight="1">
      <c r="N1257" s="200"/>
      <c r="O1257" s="200"/>
      <c r="U1257" s="344"/>
      <c r="V1257" s="393"/>
    </row>
    <row r="1258" spans="14:22" ht="24" customHeight="1">
      <c r="N1258" s="200"/>
      <c r="O1258" s="200"/>
      <c r="U1258" s="344"/>
      <c r="V1258" s="393"/>
    </row>
    <row r="1259" spans="14:22" ht="24" customHeight="1">
      <c r="N1259" s="200"/>
      <c r="O1259" s="200"/>
      <c r="U1259" s="344"/>
      <c r="V1259" s="393"/>
    </row>
    <row r="1260" spans="14:22" ht="24" customHeight="1">
      <c r="N1260" s="200"/>
      <c r="O1260" s="200"/>
      <c r="U1260" s="344"/>
      <c r="V1260" s="393"/>
    </row>
    <row r="1261" spans="14:22" ht="24" customHeight="1">
      <c r="N1261" s="200"/>
      <c r="O1261" s="200"/>
      <c r="U1261" s="344"/>
      <c r="V1261" s="393"/>
    </row>
    <row r="1262" spans="14:22" ht="24" customHeight="1">
      <c r="N1262" s="200"/>
      <c r="O1262" s="200"/>
      <c r="U1262" s="344"/>
    </row>
    <row r="1263" spans="14:22" ht="24" customHeight="1">
      <c r="N1263" s="200"/>
      <c r="O1263" s="200"/>
      <c r="U1263" s="344"/>
    </row>
    <row r="1264" spans="14:22" ht="24" customHeight="1">
      <c r="N1264" s="200"/>
      <c r="O1264" s="200"/>
      <c r="U1264" s="344"/>
    </row>
    <row r="1265" spans="14:21" ht="24" customHeight="1">
      <c r="N1265" s="200"/>
      <c r="O1265" s="200"/>
      <c r="U1265" s="344"/>
    </row>
    <row r="1266" spans="14:21" ht="24" customHeight="1">
      <c r="N1266" s="200"/>
      <c r="O1266" s="200"/>
      <c r="U1266" s="344"/>
    </row>
    <row r="1267" spans="14:21" ht="24" customHeight="1">
      <c r="N1267" s="200"/>
      <c r="O1267" s="200"/>
      <c r="U1267" s="344"/>
    </row>
    <row r="1268" spans="14:21" ht="24" customHeight="1">
      <c r="N1268" s="200"/>
      <c r="O1268" s="200"/>
      <c r="U1268" s="344"/>
    </row>
    <row r="1269" spans="14:21" ht="24" customHeight="1">
      <c r="N1269" s="200"/>
      <c r="O1269" s="200"/>
      <c r="U1269" s="344"/>
    </row>
    <row r="1270" spans="14:21" ht="24" customHeight="1">
      <c r="N1270" s="200"/>
      <c r="O1270" s="200"/>
      <c r="U1270" s="344"/>
    </row>
    <row r="1271" spans="14:21" ht="24" customHeight="1">
      <c r="N1271" s="200"/>
      <c r="O1271" s="200"/>
      <c r="U1271" s="344"/>
    </row>
    <row r="1272" spans="14:21" ht="24" customHeight="1">
      <c r="N1272" s="200"/>
      <c r="O1272" s="200"/>
      <c r="U1272" s="344"/>
    </row>
    <row r="1273" spans="14:21" ht="24" customHeight="1">
      <c r="N1273" s="200"/>
      <c r="O1273" s="200"/>
      <c r="U1273" s="344"/>
    </row>
    <row r="1274" spans="14:21" ht="24" customHeight="1">
      <c r="N1274" s="200"/>
      <c r="O1274" s="200"/>
      <c r="U1274" s="344"/>
    </row>
    <row r="1275" spans="14:21" ht="24" customHeight="1">
      <c r="N1275" s="200"/>
      <c r="O1275" s="200"/>
      <c r="U1275" s="344"/>
    </row>
    <row r="1276" spans="14:21" ht="24" customHeight="1">
      <c r="N1276" s="200"/>
      <c r="O1276" s="200"/>
      <c r="U1276" s="344"/>
    </row>
    <row r="1277" spans="14:21" ht="24" customHeight="1">
      <c r="N1277" s="200"/>
      <c r="O1277" s="200"/>
      <c r="U1277" s="344"/>
    </row>
    <row r="1278" spans="14:21" ht="24" customHeight="1">
      <c r="N1278" s="200"/>
      <c r="O1278" s="200"/>
      <c r="U1278" s="344"/>
    </row>
    <row r="1279" spans="14:21" ht="24" customHeight="1">
      <c r="N1279" s="200"/>
      <c r="O1279" s="200"/>
      <c r="U1279" s="344"/>
    </row>
    <row r="1280" spans="14:21" ht="24" customHeight="1">
      <c r="N1280" s="200"/>
      <c r="O1280" s="200"/>
      <c r="U1280" s="344"/>
    </row>
    <row r="1281" spans="14:21" ht="24" customHeight="1">
      <c r="N1281" s="200"/>
      <c r="O1281" s="200"/>
      <c r="U1281" s="344"/>
    </row>
    <row r="1282" spans="14:21" ht="24" customHeight="1">
      <c r="N1282" s="200"/>
      <c r="O1282" s="200"/>
      <c r="U1282" s="344"/>
    </row>
    <row r="1283" spans="14:21" ht="24" customHeight="1">
      <c r="N1283" s="200"/>
      <c r="O1283" s="200"/>
      <c r="U1283" s="344"/>
    </row>
    <row r="1284" spans="14:21" ht="24" customHeight="1">
      <c r="N1284" s="200"/>
      <c r="O1284" s="200"/>
      <c r="U1284" s="344"/>
    </row>
    <row r="1285" spans="14:21" ht="24" customHeight="1">
      <c r="N1285" s="200"/>
      <c r="O1285" s="200"/>
      <c r="U1285" s="344"/>
    </row>
    <row r="1286" spans="14:21" ht="24" customHeight="1">
      <c r="N1286" s="200"/>
      <c r="O1286" s="200"/>
      <c r="U1286" s="344"/>
    </row>
    <row r="1287" spans="14:21" ht="24" customHeight="1">
      <c r="N1287" s="200"/>
      <c r="O1287" s="200"/>
      <c r="U1287" s="344"/>
    </row>
    <row r="1288" spans="14:21" ht="24" customHeight="1">
      <c r="N1288" s="200"/>
      <c r="O1288" s="200"/>
      <c r="U1288" s="344"/>
    </row>
    <row r="1289" spans="14:21" ht="24" customHeight="1">
      <c r="N1289" s="200"/>
      <c r="O1289" s="200"/>
      <c r="U1289" s="344"/>
    </row>
    <row r="1290" spans="14:21" ht="24" customHeight="1">
      <c r="N1290" s="200"/>
      <c r="O1290" s="200"/>
      <c r="U1290" s="344"/>
    </row>
    <row r="1291" spans="14:21" ht="24" customHeight="1">
      <c r="N1291" s="200"/>
      <c r="O1291" s="200"/>
      <c r="U1291" s="344"/>
    </row>
    <row r="1292" spans="14:21" ht="24" customHeight="1">
      <c r="N1292" s="200"/>
      <c r="O1292" s="200"/>
      <c r="U1292" s="344"/>
    </row>
    <row r="1293" spans="14:21" ht="24" customHeight="1">
      <c r="N1293" s="200"/>
      <c r="O1293" s="200"/>
      <c r="U1293" s="344"/>
    </row>
    <row r="1294" spans="14:21" ht="24" customHeight="1">
      <c r="N1294" s="200"/>
      <c r="O1294" s="200"/>
      <c r="U1294" s="344"/>
    </row>
    <row r="1295" spans="14:21" ht="24" customHeight="1">
      <c r="N1295" s="200"/>
      <c r="O1295" s="200"/>
      <c r="U1295" s="344"/>
    </row>
    <row r="1296" spans="14:21" ht="24" customHeight="1">
      <c r="N1296" s="200"/>
      <c r="O1296" s="200"/>
      <c r="U1296" s="344"/>
    </row>
    <row r="1297" spans="14:21" ht="24" customHeight="1">
      <c r="N1297" s="200"/>
      <c r="O1297" s="200"/>
      <c r="U1297" s="344"/>
    </row>
    <row r="1298" spans="14:21" ht="24" customHeight="1">
      <c r="N1298" s="200"/>
      <c r="O1298" s="200"/>
      <c r="U1298" s="344"/>
    </row>
    <row r="1299" spans="14:21" ht="24" customHeight="1">
      <c r="N1299" s="200"/>
      <c r="O1299" s="200"/>
      <c r="U1299" s="344"/>
    </row>
    <row r="1300" spans="14:21" ht="24" customHeight="1">
      <c r="N1300" s="200"/>
      <c r="O1300" s="200"/>
      <c r="U1300" s="344"/>
    </row>
    <row r="1301" spans="14:21" ht="24" customHeight="1">
      <c r="N1301" s="200"/>
      <c r="O1301" s="200"/>
      <c r="U1301" s="344"/>
    </row>
    <row r="1302" spans="14:21" ht="24" customHeight="1">
      <c r="N1302" s="200"/>
      <c r="O1302" s="200"/>
      <c r="U1302" s="344"/>
    </row>
    <row r="1303" spans="14:21" ht="24" customHeight="1">
      <c r="N1303" s="200"/>
      <c r="O1303" s="200"/>
      <c r="U1303" s="344"/>
    </row>
    <row r="1304" spans="14:21" ht="24" customHeight="1">
      <c r="N1304" s="200"/>
      <c r="O1304" s="200"/>
      <c r="U1304" s="344"/>
    </row>
    <row r="1305" spans="14:21" ht="24" customHeight="1">
      <c r="N1305" s="200"/>
      <c r="O1305" s="200"/>
      <c r="U1305" s="344"/>
    </row>
    <row r="1306" spans="14:21" ht="24" customHeight="1">
      <c r="N1306" s="200"/>
      <c r="O1306" s="200"/>
      <c r="U1306" s="344"/>
    </row>
    <row r="1307" spans="14:21" ht="24" customHeight="1">
      <c r="N1307" s="200"/>
      <c r="O1307" s="200"/>
      <c r="U1307" s="344"/>
    </row>
    <row r="1308" spans="14:21" ht="24" customHeight="1">
      <c r="N1308" s="200"/>
      <c r="O1308" s="200"/>
      <c r="U1308" s="344"/>
    </row>
    <row r="1309" spans="14:21" ht="24" customHeight="1">
      <c r="N1309" s="200"/>
      <c r="O1309" s="200"/>
      <c r="U1309" s="344"/>
    </row>
    <row r="1310" spans="14:21" ht="24" customHeight="1">
      <c r="N1310" s="200"/>
      <c r="O1310" s="200"/>
      <c r="U1310" s="344"/>
    </row>
    <row r="1311" spans="14:21" ht="24" customHeight="1">
      <c r="N1311" s="200"/>
      <c r="O1311" s="200"/>
      <c r="U1311" s="344"/>
    </row>
    <row r="1312" spans="14:21" ht="24" customHeight="1">
      <c r="N1312" s="200"/>
      <c r="O1312" s="200"/>
      <c r="U1312" s="344"/>
    </row>
    <row r="1313" spans="14:21" ht="24" customHeight="1">
      <c r="N1313" s="200"/>
      <c r="O1313" s="200"/>
      <c r="U1313" s="344"/>
    </row>
    <row r="1314" spans="14:21" ht="24" customHeight="1">
      <c r="N1314" s="200"/>
      <c r="O1314" s="200"/>
      <c r="U1314" s="344"/>
    </row>
    <row r="1315" spans="14:21" ht="24" customHeight="1">
      <c r="N1315" s="200"/>
      <c r="O1315" s="200"/>
      <c r="U1315" s="344"/>
    </row>
    <row r="1316" spans="14:21" ht="24" customHeight="1">
      <c r="N1316" s="200"/>
      <c r="O1316" s="200"/>
      <c r="U1316" s="344"/>
    </row>
    <row r="1317" spans="14:21" ht="24" customHeight="1">
      <c r="N1317" s="200"/>
      <c r="O1317" s="200"/>
      <c r="U1317" s="344"/>
    </row>
    <row r="1318" spans="14:21" ht="24" customHeight="1">
      <c r="N1318" s="200"/>
      <c r="O1318" s="200"/>
      <c r="U1318" s="344"/>
    </row>
    <row r="1319" spans="14:21" ht="24" customHeight="1">
      <c r="N1319" s="200"/>
      <c r="O1319" s="200"/>
      <c r="U1319" s="344"/>
    </row>
    <row r="1320" spans="14:21" ht="24" customHeight="1">
      <c r="N1320" s="200"/>
      <c r="O1320" s="200"/>
      <c r="U1320" s="344"/>
    </row>
    <row r="1321" spans="14:21" ht="24" customHeight="1">
      <c r="N1321" s="200"/>
      <c r="O1321" s="200"/>
      <c r="U1321" s="344"/>
    </row>
    <row r="1322" spans="14:21" ht="24" customHeight="1">
      <c r="N1322" s="200"/>
      <c r="O1322" s="200"/>
      <c r="U1322" s="344"/>
    </row>
    <row r="1323" spans="14:21" ht="24" customHeight="1">
      <c r="N1323" s="200"/>
      <c r="O1323" s="200"/>
      <c r="U1323" s="344"/>
    </row>
    <row r="1324" spans="14:21" ht="24" customHeight="1">
      <c r="N1324" s="200"/>
      <c r="O1324" s="200"/>
      <c r="U1324" s="344"/>
    </row>
    <row r="1325" spans="14:21" ht="24" customHeight="1">
      <c r="N1325" s="200"/>
      <c r="O1325" s="200"/>
      <c r="U1325" s="344"/>
    </row>
    <row r="1326" spans="14:21" ht="24" customHeight="1">
      <c r="N1326" s="200"/>
      <c r="O1326" s="200"/>
      <c r="U1326" s="344"/>
    </row>
    <row r="1327" spans="14:21" ht="24" customHeight="1">
      <c r="N1327" s="200"/>
      <c r="O1327" s="200"/>
      <c r="U1327" s="344"/>
    </row>
    <row r="1328" spans="14:21" ht="24" customHeight="1">
      <c r="N1328" s="200"/>
      <c r="O1328" s="200"/>
      <c r="U1328" s="344"/>
    </row>
    <row r="1329" spans="14:21" ht="24" customHeight="1">
      <c r="N1329" s="200"/>
      <c r="O1329" s="200"/>
      <c r="U1329" s="344"/>
    </row>
    <row r="1330" spans="14:21" ht="24" customHeight="1">
      <c r="N1330" s="200"/>
      <c r="O1330" s="200"/>
      <c r="U1330" s="344"/>
    </row>
    <row r="1331" spans="14:21" ht="24" customHeight="1">
      <c r="N1331" s="200"/>
      <c r="O1331" s="200"/>
      <c r="U1331" s="344"/>
    </row>
    <row r="1332" spans="14:21" ht="24" customHeight="1">
      <c r="N1332" s="200"/>
      <c r="O1332" s="200"/>
      <c r="U1332" s="344"/>
    </row>
    <row r="1333" spans="14:21" ht="24" customHeight="1">
      <c r="N1333" s="200"/>
      <c r="O1333" s="200"/>
      <c r="U1333" s="344"/>
    </row>
    <row r="1334" spans="14:21" ht="24" customHeight="1">
      <c r="N1334" s="200"/>
      <c r="O1334" s="200"/>
      <c r="U1334" s="344"/>
    </row>
    <row r="1335" spans="14:21" ht="24" customHeight="1">
      <c r="N1335" s="200"/>
      <c r="O1335" s="200"/>
      <c r="U1335" s="344"/>
    </row>
    <row r="1336" spans="14:21" ht="24" customHeight="1">
      <c r="N1336" s="200"/>
      <c r="O1336" s="200"/>
      <c r="U1336" s="344"/>
    </row>
    <row r="1337" spans="14:21" ht="24" customHeight="1">
      <c r="N1337" s="200"/>
      <c r="O1337" s="200"/>
      <c r="U1337" s="344"/>
    </row>
    <row r="1338" spans="14:21" ht="24" customHeight="1">
      <c r="N1338" s="200"/>
      <c r="O1338" s="200"/>
      <c r="U1338" s="344"/>
    </row>
    <row r="1339" spans="14:21" ht="24" customHeight="1">
      <c r="N1339" s="200"/>
      <c r="O1339" s="200"/>
      <c r="U1339" s="344"/>
    </row>
    <row r="1340" spans="14:21" ht="24" customHeight="1">
      <c r="N1340" s="200"/>
      <c r="O1340" s="200"/>
      <c r="U1340" s="344"/>
    </row>
    <row r="1341" spans="14:21" ht="24" customHeight="1">
      <c r="N1341" s="200"/>
      <c r="O1341" s="200"/>
      <c r="U1341" s="344"/>
    </row>
    <row r="1342" spans="14:21" ht="24" customHeight="1">
      <c r="N1342" s="200"/>
      <c r="O1342" s="200"/>
      <c r="U1342" s="344"/>
    </row>
    <row r="1343" spans="14:21" ht="24" customHeight="1">
      <c r="N1343" s="200"/>
      <c r="O1343" s="200"/>
      <c r="U1343" s="344"/>
    </row>
    <row r="1344" spans="14:21" ht="24" customHeight="1">
      <c r="N1344" s="200"/>
      <c r="O1344" s="200"/>
      <c r="U1344" s="344"/>
    </row>
    <row r="1345" spans="14:21" ht="24" customHeight="1">
      <c r="N1345" s="200"/>
      <c r="O1345" s="200"/>
      <c r="U1345" s="344"/>
    </row>
    <row r="1346" spans="14:21" ht="24" customHeight="1">
      <c r="N1346" s="200"/>
      <c r="O1346" s="200"/>
      <c r="U1346" s="344"/>
    </row>
    <row r="1347" spans="14:21" ht="24" customHeight="1">
      <c r="N1347" s="200"/>
      <c r="O1347" s="200"/>
      <c r="U1347" s="344"/>
    </row>
    <row r="1348" spans="14:21" ht="24" customHeight="1">
      <c r="N1348" s="200"/>
      <c r="O1348" s="200"/>
      <c r="U1348" s="344"/>
    </row>
    <row r="1349" spans="14:21" ht="24" customHeight="1">
      <c r="N1349" s="200"/>
      <c r="O1349" s="200"/>
      <c r="U1349" s="344"/>
    </row>
    <row r="1350" spans="14:21" ht="24" customHeight="1">
      <c r="N1350" s="200"/>
      <c r="O1350" s="200"/>
      <c r="U1350" s="344"/>
    </row>
    <row r="1351" spans="14:21" ht="24" customHeight="1">
      <c r="N1351" s="200"/>
      <c r="O1351" s="200"/>
      <c r="U1351" s="344"/>
    </row>
    <row r="1352" spans="14:21" ht="24" customHeight="1">
      <c r="N1352" s="200"/>
      <c r="O1352" s="200"/>
      <c r="U1352" s="344"/>
    </row>
    <row r="1353" spans="14:21" ht="24" customHeight="1">
      <c r="N1353" s="200"/>
      <c r="O1353" s="200"/>
      <c r="U1353" s="344"/>
    </row>
    <row r="1354" spans="14:21" ht="24" customHeight="1">
      <c r="N1354" s="200"/>
      <c r="O1354" s="200"/>
      <c r="U1354" s="344"/>
    </row>
    <row r="1355" spans="14:21" ht="24" customHeight="1">
      <c r="N1355" s="200"/>
      <c r="O1355" s="200"/>
      <c r="U1355" s="344"/>
    </row>
    <row r="1356" spans="14:21" ht="24" customHeight="1">
      <c r="N1356" s="200"/>
      <c r="O1356" s="200"/>
      <c r="U1356" s="344"/>
    </row>
    <row r="1357" spans="14:21" ht="24" customHeight="1">
      <c r="N1357" s="200"/>
      <c r="O1357" s="200"/>
      <c r="U1357" s="344"/>
    </row>
    <row r="1358" spans="14:21" ht="24" customHeight="1">
      <c r="N1358" s="200"/>
      <c r="O1358" s="200"/>
      <c r="U1358" s="344"/>
    </row>
    <row r="1359" spans="14:21" ht="24" customHeight="1">
      <c r="N1359" s="200"/>
      <c r="O1359" s="200"/>
      <c r="U1359" s="344"/>
    </row>
    <row r="1360" spans="14:21" ht="24" customHeight="1">
      <c r="N1360" s="200"/>
      <c r="O1360" s="200"/>
      <c r="U1360" s="344"/>
    </row>
    <row r="1361" spans="14:21" ht="24" customHeight="1">
      <c r="N1361" s="200"/>
      <c r="O1361" s="200"/>
      <c r="U1361" s="344"/>
    </row>
    <row r="1362" spans="14:21" ht="24" customHeight="1">
      <c r="N1362" s="200"/>
      <c r="O1362" s="200"/>
      <c r="U1362" s="344"/>
    </row>
    <row r="1363" spans="14:21" ht="24" customHeight="1">
      <c r="N1363" s="200"/>
      <c r="O1363" s="200"/>
      <c r="U1363" s="344"/>
    </row>
    <row r="1364" spans="14:21" ht="24" customHeight="1">
      <c r="N1364" s="200"/>
      <c r="O1364" s="200"/>
      <c r="U1364" s="344"/>
    </row>
    <row r="1365" spans="14:21" ht="24" customHeight="1">
      <c r="N1365" s="200"/>
      <c r="O1365" s="200"/>
      <c r="U1365" s="344"/>
    </row>
    <row r="1366" spans="14:21" ht="24" customHeight="1">
      <c r="N1366" s="200"/>
      <c r="O1366" s="200"/>
      <c r="U1366" s="344"/>
    </row>
    <row r="1367" spans="14:21" ht="24" customHeight="1">
      <c r="N1367" s="200"/>
      <c r="O1367" s="200"/>
      <c r="U1367" s="344"/>
    </row>
    <row r="1368" spans="14:21" ht="24" customHeight="1">
      <c r="N1368" s="200"/>
      <c r="O1368" s="200"/>
      <c r="U1368" s="344"/>
    </row>
    <row r="1369" spans="14:21" ht="24" customHeight="1">
      <c r="N1369" s="200"/>
      <c r="O1369" s="200"/>
      <c r="U1369" s="344"/>
    </row>
    <row r="1370" spans="14:21" ht="24" customHeight="1">
      <c r="N1370" s="200"/>
      <c r="O1370" s="200"/>
      <c r="U1370" s="344"/>
    </row>
    <row r="1371" spans="14:21" ht="24" customHeight="1">
      <c r="N1371" s="200"/>
      <c r="O1371" s="200"/>
      <c r="U1371" s="344"/>
    </row>
    <row r="1372" spans="14:21" ht="24" customHeight="1">
      <c r="N1372" s="200"/>
      <c r="O1372" s="200"/>
      <c r="U1372" s="344"/>
    </row>
    <row r="1373" spans="14:21" ht="24" customHeight="1">
      <c r="N1373" s="200"/>
      <c r="O1373" s="200"/>
      <c r="U1373" s="344"/>
    </row>
    <row r="1374" spans="14:21" ht="24" customHeight="1">
      <c r="N1374" s="200"/>
      <c r="O1374" s="200"/>
      <c r="U1374" s="344"/>
    </row>
    <row r="1375" spans="14:21" ht="24" customHeight="1">
      <c r="N1375" s="200"/>
      <c r="O1375" s="200"/>
      <c r="U1375" s="344"/>
    </row>
    <row r="1376" spans="14:21" ht="24" customHeight="1">
      <c r="N1376" s="200"/>
      <c r="O1376" s="200"/>
      <c r="U1376" s="344"/>
    </row>
    <row r="1377" spans="14:21" ht="24" customHeight="1">
      <c r="N1377" s="200"/>
      <c r="O1377" s="200"/>
      <c r="U1377" s="344"/>
    </row>
    <row r="1378" spans="14:21" ht="24" customHeight="1">
      <c r="N1378" s="200"/>
      <c r="O1378" s="200"/>
      <c r="U1378" s="344"/>
    </row>
    <row r="1379" spans="14:21" ht="24" customHeight="1">
      <c r="N1379" s="200"/>
      <c r="O1379" s="200"/>
      <c r="U1379" s="344"/>
    </row>
    <row r="1380" spans="14:21" ht="24" customHeight="1">
      <c r="N1380" s="200"/>
      <c r="O1380" s="200"/>
      <c r="U1380" s="344"/>
    </row>
    <row r="1381" spans="14:21" ht="24" customHeight="1">
      <c r="N1381" s="200"/>
      <c r="O1381" s="200"/>
      <c r="U1381" s="344"/>
    </row>
    <row r="1382" spans="14:21" ht="24" customHeight="1">
      <c r="N1382" s="200"/>
      <c r="O1382" s="200"/>
      <c r="U1382" s="344"/>
    </row>
    <row r="1383" spans="14:21" ht="24" customHeight="1">
      <c r="N1383" s="200"/>
      <c r="O1383" s="200"/>
      <c r="U1383" s="344"/>
    </row>
    <row r="1384" spans="14:21" ht="24" customHeight="1">
      <c r="N1384" s="200"/>
      <c r="O1384" s="200"/>
      <c r="U1384" s="344"/>
    </row>
    <row r="1385" spans="14:21" ht="24" customHeight="1">
      <c r="N1385" s="200"/>
      <c r="O1385" s="200"/>
      <c r="U1385" s="344"/>
    </row>
    <row r="1386" spans="14:21" ht="24" customHeight="1">
      <c r="N1386" s="200"/>
      <c r="O1386" s="200"/>
      <c r="U1386" s="344"/>
    </row>
    <row r="1387" spans="14:21" ht="24" customHeight="1">
      <c r="N1387" s="200"/>
      <c r="O1387" s="200"/>
      <c r="U1387" s="344"/>
    </row>
    <row r="1388" spans="14:21" ht="24" customHeight="1">
      <c r="N1388" s="200"/>
      <c r="O1388" s="200"/>
      <c r="U1388" s="344"/>
    </row>
    <row r="1389" spans="14:21" ht="24" customHeight="1">
      <c r="N1389" s="200"/>
      <c r="O1389" s="200"/>
      <c r="U1389" s="344"/>
    </row>
    <row r="1390" spans="14:21" ht="24" customHeight="1">
      <c r="N1390" s="200"/>
      <c r="O1390" s="200"/>
      <c r="U1390" s="344"/>
    </row>
    <row r="1391" spans="14:21" ht="24" customHeight="1">
      <c r="N1391" s="200"/>
      <c r="O1391" s="200"/>
      <c r="U1391" s="344"/>
    </row>
    <row r="1392" spans="14:21" ht="24" customHeight="1">
      <c r="N1392" s="200"/>
      <c r="O1392" s="200"/>
      <c r="U1392" s="344"/>
    </row>
    <row r="1393" spans="14:21" ht="24" customHeight="1">
      <c r="N1393" s="200"/>
      <c r="O1393" s="200"/>
      <c r="U1393" s="344"/>
    </row>
    <row r="1394" spans="14:21" ht="24" customHeight="1">
      <c r="N1394" s="200"/>
      <c r="O1394" s="200"/>
      <c r="U1394" s="344"/>
    </row>
    <row r="1395" spans="14:21" ht="24" customHeight="1">
      <c r="N1395" s="200"/>
      <c r="O1395" s="200"/>
      <c r="U1395" s="344"/>
    </row>
    <row r="1396" spans="14:21" ht="24" customHeight="1">
      <c r="N1396" s="200"/>
      <c r="O1396" s="200"/>
      <c r="U1396" s="344"/>
    </row>
    <row r="1397" spans="14:21" ht="24" customHeight="1">
      <c r="N1397" s="200"/>
      <c r="O1397" s="200"/>
      <c r="U1397" s="344"/>
    </row>
    <row r="1398" spans="14:21" ht="24" customHeight="1">
      <c r="N1398" s="200"/>
      <c r="O1398" s="200"/>
      <c r="U1398" s="344"/>
    </row>
    <row r="1399" spans="14:21" ht="24" customHeight="1">
      <c r="N1399" s="200"/>
      <c r="O1399" s="200"/>
      <c r="U1399" s="344"/>
    </row>
    <row r="1400" spans="14:21" ht="24" customHeight="1">
      <c r="N1400" s="200"/>
      <c r="O1400" s="200"/>
      <c r="U1400" s="344"/>
    </row>
    <row r="1401" spans="14:21" ht="24" customHeight="1">
      <c r="N1401" s="200"/>
      <c r="O1401" s="200"/>
      <c r="U1401" s="344"/>
    </row>
    <row r="1402" spans="14:21" ht="24" customHeight="1">
      <c r="N1402" s="200"/>
      <c r="O1402" s="200"/>
      <c r="U1402" s="344"/>
    </row>
    <row r="1403" spans="14:21" ht="24" customHeight="1">
      <c r="N1403" s="200"/>
      <c r="O1403" s="200"/>
      <c r="U1403" s="344"/>
    </row>
    <row r="1404" spans="14:21" ht="24" customHeight="1">
      <c r="N1404" s="200"/>
      <c r="O1404" s="200"/>
      <c r="U1404" s="344"/>
    </row>
    <row r="1405" spans="14:21" ht="24" customHeight="1">
      <c r="N1405" s="200"/>
      <c r="O1405" s="200"/>
      <c r="U1405" s="344"/>
    </row>
    <row r="1406" spans="14:21" ht="24" customHeight="1">
      <c r="N1406" s="200"/>
      <c r="O1406" s="200"/>
      <c r="U1406" s="344"/>
    </row>
    <row r="1407" spans="14:21" ht="24" customHeight="1">
      <c r="N1407" s="200"/>
      <c r="O1407" s="200"/>
      <c r="U1407" s="344"/>
    </row>
    <row r="1408" spans="14:21" ht="24" customHeight="1">
      <c r="N1408" s="200"/>
      <c r="O1408" s="200"/>
      <c r="U1408" s="344"/>
    </row>
    <row r="1409" spans="14:21" ht="24" customHeight="1">
      <c r="N1409" s="200"/>
      <c r="O1409" s="200"/>
      <c r="U1409" s="344"/>
    </row>
    <row r="1410" spans="14:21" ht="24" customHeight="1">
      <c r="N1410" s="200"/>
      <c r="O1410" s="200"/>
      <c r="U1410" s="344"/>
    </row>
    <row r="1411" spans="14:21" ht="24" customHeight="1">
      <c r="N1411" s="200"/>
      <c r="O1411" s="200"/>
      <c r="U1411" s="344"/>
    </row>
    <row r="1412" spans="14:21" ht="24" customHeight="1">
      <c r="N1412" s="200"/>
      <c r="O1412" s="200"/>
      <c r="U1412" s="344"/>
    </row>
    <row r="1413" spans="14:21" ht="24" customHeight="1">
      <c r="N1413" s="200"/>
      <c r="O1413" s="200"/>
      <c r="U1413" s="344"/>
    </row>
    <row r="1414" spans="14:21" ht="24" customHeight="1">
      <c r="N1414" s="200"/>
      <c r="O1414" s="200"/>
      <c r="U1414" s="344"/>
    </row>
    <row r="1415" spans="14:21" ht="24" customHeight="1">
      <c r="N1415" s="200"/>
      <c r="O1415" s="200"/>
      <c r="U1415" s="344"/>
    </row>
    <row r="1416" spans="14:21" ht="24" customHeight="1">
      <c r="N1416" s="200"/>
      <c r="O1416" s="200"/>
      <c r="U1416" s="344"/>
    </row>
    <row r="1417" spans="14:21" ht="24" customHeight="1">
      <c r="N1417" s="200"/>
      <c r="O1417" s="200"/>
      <c r="U1417" s="344"/>
    </row>
    <row r="1418" spans="14:21" ht="24" customHeight="1">
      <c r="N1418" s="200"/>
      <c r="O1418" s="200"/>
      <c r="U1418" s="344"/>
    </row>
    <row r="1419" spans="14:21" ht="24" customHeight="1">
      <c r="N1419" s="200"/>
      <c r="O1419" s="200"/>
      <c r="U1419" s="344"/>
    </row>
    <row r="1420" spans="14:21" ht="24" customHeight="1">
      <c r="N1420" s="200"/>
      <c r="O1420" s="200"/>
      <c r="U1420" s="344"/>
    </row>
    <row r="1421" spans="14:21" ht="24" customHeight="1">
      <c r="N1421" s="200"/>
      <c r="O1421" s="200"/>
      <c r="U1421" s="344"/>
    </row>
    <row r="1422" spans="14:21" ht="24" customHeight="1">
      <c r="N1422" s="200"/>
      <c r="O1422" s="200"/>
      <c r="U1422" s="344"/>
    </row>
    <row r="1423" spans="14:21" ht="24" customHeight="1">
      <c r="N1423" s="200"/>
      <c r="O1423" s="200"/>
      <c r="U1423" s="344"/>
    </row>
    <row r="1424" spans="14:21" ht="24" customHeight="1">
      <c r="N1424" s="200"/>
      <c r="O1424" s="200"/>
      <c r="U1424" s="344"/>
    </row>
    <row r="1425" spans="14:21" ht="24" customHeight="1">
      <c r="N1425" s="200"/>
      <c r="O1425" s="200"/>
      <c r="U1425" s="344"/>
    </row>
    <row r="1426" spans="14:21" ht="24" customHeight="1">
      <c r="N1426" s="200"/>
      <c r="O1426" s="200"/>
      <c r="U1426" s="344"/>
    </row>
    <row r="1427" spans="14:21" ht="24" customHeight="1">
      <c r="N1427" s="200"/>
      <c r="O1427" s="200"/>
      <c r="U1427" s="344"/>
    </row>
    <row r="1428" spans="14:21" ht="24" customHeight="1">
      <c r="N1428" s="200"/>
      <c r="O1428" s="200"/>
      <c r="U1428" s="344"/>
    </row>
    <row r="1429" spans="14:21" ht="24" customHeight="1">
      <c r="N1429" s="200"/>
      <c r="O1429" s="200"/>
      <c r="U1429" s="344"/>
    </row>
    <row r="1430" spans="14:21" ht="24" customHeight="1">
      <c r="N1430" s="200"/>
      <c r="O1430" s="200"/>
      <c r="U1430" s="344"/>
    </row>
    <row r="1431" spans="14:21" ht="24" customHeight="1">
      <c r="N1431" s="200"/>
      <c r="O1431" s="200"/>
      <c r="U1431" s="344"/>
    </row>
    <row r="1432" spans="14:21" ht="24" customHeight="1">
      <c r="N1432" s="200"/>
      <c r="O1432" s="200"/>
      <c r="U1432" s="344"/>
    </row>
    <row r="1433" spans="14:21" ht="24" customHeight="1">
      <c r="N1433" s="200"/>
      <c r="O1433" s="200"/>
      <c r="U1433" s="344"/>
    </row>
    <row r="1434" spans="14:21" ht="24" customHeight="1">
      <c r="N1434" s="200"/>
      <c r="O1434" s="200"/>
      <c r="U1434" s="344"/>
    </row>
    <row r="1435" spans="14:21" ht="24" customHeight="1">
      <c r="N1435" s="200"/>
      <c r="O1435" s="200"/>
      <c r="U1435" s="344"/>
    </row>
    <row r="1436" spans="14:21" ht="24" customHeight="1">
      <c r="N1436" s="200"/>
      <c r="O1436" s="200"/>
      <c r="U1436" s="344"/>
    </row>
    <row r="1437" spans="14:21" ht="24" customHeight="1">
      <c r="N1437" s="200"/>
      <c r="O1437" s="200"/>
      <c r="U1437" s="344"/>
    </row>
    <row r="1438" spans="14:21" ht="24" customHeight="1">
      <c r="N1438" s="200"/>
      <c r="O1438" s="200"/>
      <c r="U1438" s="344"/>
    </row>
    <row r="1439" spans="14:21" ht="24" customHeight="1">
      <c r="N1439" s="200"/>
      <c r="O1439" s="200"/>
      <c r="U1439" s="344"/>
    </row>
    <row r="1440" spans="14:21" ht="24" customHeight="1">
      <c r="N1440" s="200"/>
      <c r="O1440" s="200"/>
      <c r="U1440" s="344"/>
    </row>
    <row r="1441" spans="14:21" ht="24" customHeight="1">
      <c r="N1441" s="200"/>
      <c r="O1441" s="200"/>
      <c r="U1441" s="344"/>
    </row>
    <row r="1442" spans="14:21" ht="24" customHeight="1">
      <c r="N1442" s="200"/>
      <c r="O1442" s="200"/>
      <c r="U1442" s="344"/>
    </row>
    <row r="1443" spans="14:21" ht="24" customHeight="1">
      <c r="N1443" s="200"/>
      <c r="O1443" s="200"/>
      <c r="U1443" s="344"/>
    </row>
    <row r="1444" spans="14:21" ht="24" customHeight="1">
      <c r="N1444" s="200"/>
      <c r="O1444" s="200"/>
      <c r="U1444" s="344"/>
    </row>
    <row r="1445" spans="14:21" ht="24" customHeight="1">
      <c r="N1445" s="200"/>
      <c r="O1445" s="200"/>
      <c r="U1445" s="344"/>
    </row>
    <row r="1446" spans="14:21" ht="24" customHeight="1">
      <c r="N1446" s="200"/>
      <c r="O1446" s="200"/>
      <c r="U1446" s="344"/>
    </row>
    <row r="1447" spans="14:21" ht="24" customHeight="1">
      <c r="N1447" s="200"/>
      <c r="O1447" s="200"/>
      <c r="U1447" s="344"/>
    </row>
    <row r="1448" spans="14:21" ht="24" customHeight="1">
      <c r="N1448" s="200"/>
      <c r="O1448" s="200"/>
      <c r="U1448" s="344"/>
    </row>
    <row r="1449" spans="14:21" ht="24" customHeight="1">
      <c r="N1449" s="200"/>
      <c r="O1449" s="200"/>
      <c r="U1449" s="344"/>
    </row>
  </sheetData>
  <sortState ref="A36:H45">
    <sortCondition ref="A36:A45"/>
  </sortState>
  <dataConsolidate/>
  <mergeCells count="74">
    <mergeCell ref="A7:K7"/>
    <mergeCell ref="D5:F5"/>
    <mergeCell ref="D46:K46"/>
    <mergeCell ref="D73:K73"/>
    <mergeCell ref="D31:K31"/>
    <mergeCell ref="A1245:T1245"/>
    <mergeCell ref="G1223:K1223"/>
    <mergeCell ref="I1117:J1117"/>
    <mergeCell ref="I1120:J1120"/>
    <mergeCell ref="I1122:J1122"/>
    <mergeCell ref="I1124:J1124"/>
    <mergeCell ref="I1168:J1168"/>
    <mergeCell ref="I1174:J1174"/>
    <mergeCell ref="I1179:J1179"/>
    <mergeCell ref="I1125:J1125"/>
    <mergeCell ref="F1138:K1138"/>
    <mergeCell ref="I1118:J1118"/>
    <mergeCell ref="G1204:K1204"/>
    <mergeCell ref="A1167:K1167"/>
    <mergeCell ref="A1203:K1203"/>
    <mergeCell ref="A1131:K1131"/>
    <mergeCell ref="D125:K125"/>
    <mergeCell ref="D74:K74"/>
    <mergeCell ref="D75:K75"/>
    <mergeCell ref="C521:K521"/>
    <mergeCell ref="F234:K234"/>
    <mergeCell ref="D326:K326"/>
    <mergeCell ref="D366:K366"/>
    <mergeCell ref="D456:K456"/>
    <mergeCell ref="D454:K454"/>
    <mergeCell ref="D483:K483"/>
    <mergeCell ref="D492:K492"/>
    <mergeCell ref="G1241:K1241"/>
    <mergeCell ref="G1216:K1216"/>
    <mergeCell ref="F1162:K1162"/>
    <mergeCell ref="D76:K76"/>
    <mergeCell ref="D455:K455"/>
    <mergeCell ref="D951:K951"/>
    <mergeCell ref="D325:K325"/>
    <mergeCell ref="D358:K358"/>
    <mergeCell ref="D327:K327"/>
    <mergeCell ref="D478:K478"/>
    <mergeCell ref="I1192:J1192"/>
    <mergeCell ref="F1163:K1163"/>
    <mergeCell ref="A1185:K1185"/>
    <mergeCell ref="I1186:J1186"/>
    <mergeCell ref="G1237:K1237"/>
    <mergeCell ref="A1048:J1048"/>
    <mergeCell ref="V277:W277"/>
    <mergeCell ref="A1097:K1097"/>
    <mergeCell ref="G1230:K1230"/>
    <mergeCell ref="F1161:K1161"/>
    <mergeCell ref="E1233:K1233"/>
    <mergeCell ref="G1226:K1226"/>
    <mergeCell ref="J1050:J1059"/>
    <mergeCell ref="D889:K889"/>
    <mergeCell ref="C519:K519"/>
    <mergeCell ref="J1067:J1076"/>
    <mergeCell ref="D973:K973"/>
    <mergeCell ref="A1112:K1112"/>
    <mergeCell ref="A1083:K1083"/>
    <mergeCell ref="V278:W278"/>
    <mergeCell ref="D974:K974"/>
    <mergeCell ref="C517:K517"/>
    <mergeCell ref="C515:K515"/>
    <mergeCell ref="D428:K428"/>
    <mergeCell ref="D463:K463"/>
    <mergeCell ref="G1210:K1210"/>
    <mergeCell ref="I1197:J1197"/>
    <mergeCell ref="A1151:K1151"/>
    <mergeCell ref="D796:K796"/>
    <mergeCell ref="D559:K559"/>
    <mergeCell ref="D673:K673"/>
    <mergeCell ref="D672:K672"/>
  </mergeCells>
  <printOptions horizontalCentered="1"/>
  <pageMargins left="0" right="0" top="0.25" bottom="0.25" header="0" footer="0"/>
  <pageSetup scale="55" fitToHeight="20" orientation="landscape" horizontalDpi="4294967293" r:id="rId1"/>
  <headerFooter alignWithMargins="0"/>
  <rowBreaks count="33" manualBreakCount="33">
    <brk id="57" max="19" man="1"/>
    <brk id="94" max="19" man="1"/>
    <brk id="115" max="19" man="1"/>
    <brk id="161" max="19" man="1"/>
    <brk id="189" max="19" man="1"/>
    <brk id="227" max="19" man="1"/>
    <brk id="235" max="19" man="1"/>
    <brk id="272" max="19" man="1"/>
    <brk id="284" max="19" man="1"/>
    <brk id="302" max="19" man="1"/>
    <brk id="320" max="19" man="1"/>
    <brk id="352" max="19" man="1"/>
    <brk id="385" max="19" man="1"/>
    <brk id="445" max="19" man="1"/>
    <brk id="485" max="19" man="1"/>
    <brk id="525" max="19" man="1"/>
    <brk id="549" max="19" man="1"/>
    <brk id="661" max="19" man="1"/>
    <brk id="734" max="19" man="1"/>
    <brk id="747" max="19" man="1"/>
    <brk id="787" max="19" man="1"/>
    <brk id="866" max="19" man="1"/>
    <brk id="878" max="19" man="1"/>
    <brk id="946" max="19" man="1"/>
    <brk id="969" max="19" man="1"/>
    <brk id="1000" max="19" man="1"/>
    <brk id="1029" max="19" man="1"/>
    <brk id="1047" max="19" man="1"/>
    <brk id="1082" max="19" man="1"/>
    <brk id="1111" max="19" man="1"/>
    <brk id="1150" max="19" man="1"/>
    <brk id="1184" max="19" man="1"/>
    <brk id="12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Budget Summary</vt:lpstr>
      <vt:lpstr>Budget Summary by Category</vt:lpstr>
      <vt:lpstr>Fund Balance History</vt:lpstr>
      <vt:lpstr>Fund Balance Summary</vt:lpstr>
      <vt:lpstr>Gen Fd Cover Sheets</vt:lpstr>
      <vt:lpstr>Veh &amp; Equip Cover Sheet</vt:lpstr>
      <vt:lpstr>Fund Cover Sheets</vt:lpstr>
      <vt:lpstr>Budget Detail FY 2016-23</vt:lpstr>
      <vt:lpstr>'Budget Detail FY 2016-23'!Print_Area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'Veh &amp; Equip Cover Sheet'!Print_Area</vt:lpstr>
      <vt:lpstr>'Budget Detail FY 2016-23'!Print_Titles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2018-04-11T17:02:25Z</cp:lastPrinted>
  <dcterms:created xsi:type="dcterms:W3CDTF">2010-07-13T03:18:21Z</dcterms:created>
  <dcterms:modified xsi:type="dcterms:W3CDTF">2018-04-11T17:02:56Z</dcterms:modified>
</cp:coreProperties>
</file>