
<file path=[Content_Types].xml><?xml version="1.0" encoding="utf-8"?>
<Types xmlns="http://schemas.openxmlformats.org/package/2006/content-types">
  <Override PartName="/xl/charts/chart6.xml" ContentType="application/vnd.openxmlformats-officedocument.drawingml.chart+xml"/>
  <Override PartName="/xl/charts/chart2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9.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worksheets/sheet1.xml" ContentType="application/vnd.openxmlformats-officedocument.spreadsheetml.worksheet+xml"/>
  <Override PartName="/xl/charts/chart16.xml" ContentType="application/vnd.openxmlformats-officedocument.drawingml.chart+xml"/>
  <Override PartName="/xl/charts/chart17.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alcChain.xml" ContentType="application/vnd.openxmlformats-officedocument.spreadsheetml.calcChain+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30.xml" ContentType="application/vnd.openxmlformats-officedocument.drawingml.chart+xml"/>
  <Override PartName="/docProps/core.xml" ContentType="application/vnd.openxmlformats-package.core-properties+xml"/>
  <Default Extension="bin" ContentType="application/vnd.openxmlformats-officedocument.spreadsheetml.printerSettings"/>
  <Override PartName="/xl/charts/chart7.xml" ContentType="application/vnd.openxmlformats-officedocument.drawingml.chart+xml"/>
  <Override PartName="/xl/charts/chart10.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defaultThemeVersion="124226"/>
  <bookViews>
    <workbookView xWindow="0" yWindow="720" windowWidth="12120" windowHeight="5655" tabRatio="956" activeTab="7"/>
  </bookViews>
  <sheets>
    <sheet name="Budget Summary" sheetId="42" r:id="rId1"/>
    <sheet name="Budget Summary by Category" sheetId="43" r:id="rId2"/>
    <sheet name="Fund Balance History" sheetId="45" r:id="rId3"/>
    <sheet name="Fund Balance Summary" sheetId="44" r:id="rId4"/>
    <sheet name="Gen Fd Cover Sheets" sheetId="40" r:id="rId5"/>
    <sheet name="Veh &amp; Equip Cover Sheet" sheetId="51" r:id="rId6"/>
    <sheet name="Fund Cover Sheets" sheetId="39" r:id="rId7"/>
    <sheet name="Budget Detail FY 2014-21" sheetId="36" r:id="rId8"/>
  </sheets>
  <definedNames>
    <definedName name="_xlnm.Print_Area" localSheetId="7">'Budget Detail FY 2014-21'!$A$4:$T$1274</definedName>
    <definedName name="_xlnm.Print_Area" localSheetId="0">'Budget Summary'!$A$1:$K$37,'Budget Summary'!$A$40:$K$76</definedName>
    <definedName name="_xlnm.Print_Area" localSheetId="1">'Budget Summary by Category'!$A$1:$M$36,'Budget Summary by Category'!$A$39:$K$74</definedName>
    <definedName name="_xlnm.Print_Area" localSheetId="2">'Fund Balance History'!$A$1:$K$48</definedName>
    <definedName name="_xlnm.Print_Area" localSheetId="3">'Fund Balance Summary'!$A$1:$L$36</definedName>
    <definedName name="_xlnm.Print_Area" localSheetId="6">'Fund Cover Sheets'!$A$1:$K$916</definedName>
    <definedName name="_xlnm.Print_Area" localSheetId="4">'Gen Fd Cover Sheets'!$A$1:$K$185</definedName>
    <definedName name="_xlnm.Print_Area" localSheetId="5">'Veh &amp; Equip Cover Sheet'!$A$1:$K$63</definedName>
    <definedName name="_xlnm.Print_Titles" localSheetId="7">'Budget Detail FY 2014-21'!$3:$6</definedName>
  </definedNames>
  <calcPr calcId="125725"/>
</workbook>
</file>

<file path=xl/calcChain.xml><?xml version="1.0" encoding="utf-8"?>
<calcChain xmlns="http://schemas.openxmlformats.org/spreadsheetml/2006/main">
  <c r="P5" i="36"/>
  <c r="G10" i="51"/>
  <c r="G160" i="40"/>
  <c r="G129"/>
  <c r="G101"/>
  <c r="G68"/>
  <c r="G40"/>
  <c r="G9"/>
  <c r="G7" i="45"/>
  <c r="G46" i="42"/>
  <c r="G7"/>
  <c r="G881" i="39"/>
  <c r="G831"/>
  <c r="G779"/>
  <c r="G739"/>
  <c r="G700"/>
  <c r="G661"/>
  <c r="G623"/>
  <c r="G575"/>
  <c r="G533"/>
  <c r="G488"/>
  <c r="G445"/>
  <c r="G396"/>
  <c r="G349"/>
  <c r="G311"/>
  <c r="G249"/>
  <c r="G199"/>
  <c r="G164"/>
  <c r="G125"/>
  <c r="G90"/>
  <c r="G54"/>
  <c r="G8"/>
  <c r="D165" i="40"/>
  <c r="C165"/>
  <c r="D106" l="1"/>
  <c r="C106"/>
  <c r="O684" i="36"/>
  <c r="O582"/>
  <c r="O236"/>
  <c r="T788" l="1"/>
  <c r="S788"/>
  <c r="R788"/>
  <c r="Q788"/>
  <c r="P788"/>
  <c r="R185" l="1"/>
  <c r="Q185"/>
  <c r="P185"/>
  <c r="Q710"/>
  <c r="R710"/>
  <c r="P710"/>
  <c r="Q618"/>
  <c r="R618"/>
  <c r="P618"/>
  <c r="Q421" l="1"/>
  <c r="R421"/>
  <c r="P421"/>
  <c r="L1113" l="1"/>
  <c r="Q245"/>
  <c r="P424"/>
  <c r="P417"/>
  <c r="Q205" l="1"/>
  <c r="R205"/>
  <c r="S205"/>
  <c r="T205"/>
  <c r="P205"/>
  <c r="P140"/>
  <c r="Q140"/>
  <c r="R140"/>
  <c r="S140"/>
  <c r="T140"/>
  <c r="Q136" l="1"/>
  <c r="P136"/>
  <c r="P696"/>
  <c r="P690"/>
  <c r="Q769" l="1"/>
  <c r="R762"/>
  <c r="S342" l="1"/>
  <c r="P334"/>
  <c r="P598"/>
  <c r="T342"/>
  <c r="M1274"/>
  <c r="N1274"/>
  <c r="Q1274"/>
  <c r="R1274"/>
  <c r="S1274"/>
  <c r="T1274"/>
  <c r="M1273"/>
  <c r="N1273"/>
  <c r="O1273"/>
  <c r="Q1273"/>
  <c r="R1273"/>
  <c r="S1273"/>
  <c r="T1273"/>
  <c r="L1274"/>
  <c r="L1273"/>
  <c r="M1270"/>
  <c r="N1270"/>
  <c r="O1270"/>
  <c r="L1270"/>
  <c r="R1243"/>
  <c r="S1243"/>
  <c r="T1243"/>
  <c r="Q1266"/>
  <c r="T1266"/>
  <c r="P1266"/>
  <c r="T417"/>
  <c r="S417"/>
  <c r="R417"/>
  <c r="R1272" l="1"/>
  <c r="Q1272"/>
  <c r="N1272"/>
  <c r="M1272"/>
  <c r="S1272"/>
  <c r="L1272"/>
  <c r="T1272"/>
  <c r="O1034"/>
  <c r="D19" i="51"/>
  <c r="E19"/>
  <c r="G19"/>
  <c r="I19"/>
  <c r="J19"/>
  <c r="K19"/>
  <c r="C19"/>
  <c r="D258" i="39"/>
  <c r="E258"/>
  <c r="G258"/>
  <c r="I258"/>
  <c r="J258"/>
  <c r="K258"/>
  <c r="C258"/>
  <c r="O459" i="36"/>
  <c r="O458"/>
  <c r="O140" s="1"/>
  <c r="P11" l="1"/>
  <c r="T526" l="1"/>
  <c r="S526"/>
  <c r="R526"/>
  <c r="Q526"/>
  <c r="P526"/>
  <c r="O526"/>
  <c r="O486"/>
  <c r="P484"/>
  <c r="Q484"/>
  <c r="R484"/>
  <c r="S484"/>
  <c r="T484"/>
  <c r="O484"/>
  <c r="O474"/>
  <c r="O497"/>
  <c r="L470" l="1"/>
  <c r="Q468"/>
  <c r="P553" l="1"/>
  <c r="O467"/>
  <c r="F19" i="51" l="1"/>
  <c r="F258" i="39"/>
  <c r="Q250" i="36"/>
  <c r="R250"/>
  <c r="S250"/>
  <c r="T250"/>
  <c r="P250"/>
  <c r="P317" l="1"/>
  <c r="P161" l="1"/>
  <c r="Q9"/>
  <c r="R9" s="1"/>
  <c r="S9" s="1"/>
  <c r="T9" s="1"/>
  <c r="P27"/>
  <c r="P26" l="1"/>
  <c r="P852" l="1"/>
  <c r="P816"/>
  <c r="P707"/>
  <c r="P615"/>
  <c r="P236" l="1"/>
  <c r="R392"/>
  <c r="S392"/>
  <c r="T392"/>
  <c r="Q392"/>
  <c r="P392"/>
  <c r="P263" s="1"/>
  <c r="P222"/>
  <c r="P190"/>
  <c r="Q805" l="1"/>
  <c r="R805"/>
  <c r="S805"/>
  <c r="T805"/>
  <c r="P805"/>
  <c r="Q26" l="1"/>
  <c r="R26" s="1"/>
  <c r="S26" s="1"/>
  <c r="T26" s="1"/>
  <c r="O343" l="1"/>
  <c r="O375"/>
  <c r="O387" s="1"/>
  <c r="N375"/>
  <c r="D14" i="40" l="1"/>
  <c r="F14"/>
  <c r="C14"/>
  <c r="P255" i="36"/>
  <c r="D705" i="39" l="1"/>
  <c r="E705"/>
  <c r="F705"/>
  <c r="G705"/>
  <c r="H705"/>
  <c r="I705"/>
  <c r="J705"/>
  <c r="K705"/>
  <c r="C705"/>
  <c r="O1015" i="36" l="1"/>
  <c r="L1015"/>
  <c r="Q809" l="1"/>
  <c r="R809"/>
  <c r="S809"/>
  <c r="T809"/>
  <c r="Q623" l="1"/>
  <c r="P623"/>
  <c r="O623"/>
  <c r="P375"/>
  <c r="P426"/>
  <c r="Q424"/>
  <c r="O424"/>
  <c r="P387" l="1"/>
  <c r="P1243"/>
  <c r="O422"/>
  <c r="P422"/>
  <c r="O345"/>
  <c r="P606" l="1"/>
  <c r="O259"/>
  <c r="P12" l="1"/>
  <c r="P764" l="1"/>
  <c r="D213" i="39" l="1"/>
  <c r="C213"/>
  <c r="O620" i="36"/>
  <c r="O804"/>
  <c r="K213" i="39"/>
  <c r="J213"/>
  <c r="O385" i="36"/>
  <c r="O376"/>
  <c r="O1274" s="1"/>
  <c r="P414"/>
  <c r="O1272" l="1"/>
  <c r="P376"/>
  <c r="P1274" s="1"/>
  <c r="P1273"/>
  <c r="I213" i="39"/>
  <c r="N426" i="36"/>
  <c r="O419"/>
  <c r="F213" i="39" s="1"/>
  <c r="P372" i="36"/>
  <c r="O372"/>
  <c r="P1272" l="1"/>
  <c r="P966" l="1"/>
  <c r="O966"/>
  <c r="P328" l="1"/>
  <c r="P621" l="1"/>
  <c r="Q227"/>
  <c r="R227" s="1"/>
  <c r="S227" s="1"/>
  <c r="T227" s="1"/>
  <c r="P41"/>
  <c r="O211" l="1"/>
  <c r="N211"/>
  <c r="M214"/>
  <c r="L211"/>
  <c r="R146"/>
  <c r="S146"/>
  <c r="T146"/>
  <c r="Q146"/>
  <c r="P146"/>
  <c r="Q319"/>
  <c r="R319"/>
  <c r="S319"/>
  <c r="T319"/>
  <c r="P319"/>
  <c r="Q31"/>
  <c r="R31"/>
  <c r="S31"/>
  <c r="T31"/>
  <c r="P31"/>
  <c r="P562" l="1"/>
  <c r="O659" l="1"/>
  <c r="P659"/>
  <c r="R659"/>
  <c r="S659" s="1"/>
  <c r="Q659"/>
  <c r="T557"/>
  <c r="S557"/>
  <c r="R557"/>
  <c r="Q557"/>
  <c r="P557"/>
  <c r="O557"/>
  <c r="T382" l="1"/>
  <c r="S382"/>
  <c r="R382"/>
  <c r="Q382"/>
  <c r="P382"/>
  <c r="O382"/>
  <c r="P964"/>
  <c r="Q905"/>
  <c r="R905" s="1"/>
  <c r="S905" s="1"/>
  <c r="T905" s="1"/>
  <c r="Q10"/>
  <c r="O234" l="1"/>
  <c r="O205" l="1"/>
  <c r="R245" l="1"/>
  <c r="S245" s="1"/>
  <c r="T245" s="1"/>
  <c r="P15" l="1"/>
  <c r="Q15" s="1"/>
  <c r="R15" s="1"/>
  <c r="S15" s="1"/>
  <c r="T15" s="1"/>
  <c r="Q553"/>
  <c r="R553" s="1"/>
  <c r="S553" s="1"/>
  <c r="T553" s="1"/>
  <c r="P611" l="1"/>
  <c r="Q603"/>
  <c r="R603"/>
  <c r="S603"/>
  <c r="T603"/>
  <c r="P603"/>
  <c r="O1266"/>
  <c r="T911" l="1"/>
  <c r="S911"/>
  <c r="R911"/>
  <c r="Q911"/>
  <c r="P911"/>
  <c r="O911"/>
  <c r="P839"/>
  <c r="O256" l="1"/>
  <c r="O252"/>
  <c r="Q54"/>
  <c r="R54"/>
  <c r="S54"/>
  <c r="T54"/>
  <c r="P54"/>
  <c r="Q244" l="1"/>
  <c r="P156" l="1"/>
  <c r="O1196" l="1"/>
  <c r="M1196"/>
  <c r="L1196"/>
  <c r="Q149" l="1"/>
  <c r="R149"/>
  <c r="S149"/>
  <c r="T149"/>
  <c r="P149"/>
  <c r="M1179"/>
  <c r="N1179"/>
  <c r="O1179"/>
  <c r="P1179"/>
  <c r="Q1179"/>
  <c r="R1179"/>
  <c r="S1179"/>
  <c r="T1179"/>
  <c r="L1179"/>
  <c r="L1180" s="1"/>
  <c r="Q1180" l="1"/>
  <c r="M1180"/>
  <c r="P1180"/>
  <c r="N1180"/>
  <c r="O1180"/>
  <c r="M1163"/>
  <c r="L1157"/>
  <c r="M1158"/>
  <c r="M1176"/>
  <c r="N1176"/>
  <c r="O1176"/>
  <c r="P1176"/>
  <c r="Q1176"/>
  <c r="R1176"/>
  <c r="S1176"/>
  <c r="T1176"/>
  <c r="L1176"/>
  <c r="L1177" s="1"/>
  <c r="M1173"/>
  <c r="N1173"/>
  <c r="O1173"/>
  <c r="P1173"/>
  <c r="Q1173"/>
  <c r="R1173"/>
  <c r="S1173"/>
  <c r="T1173"/>
  <c r="L1173"/>
  <c r="L1174" s="1"/>
  <c r="D36" i="51"/>
  <c r="F36"/>
  <c r="H36"/>
  <c r="I36"/>
  <c r="J36"/>
  <c r="K36"/>
  <c r="C36"/>
  <c r="D275" i="39"/>
  <c r="F275"/>
  <c r="H275"/>
  <c r="I275"/>
  <c r="J275"/>
  <c r="K275"/>
  <c r="C275"/>
  <c r="P848" i="36"/>
  <c r="P809"/>
  <c r="P91"/>
  <c r="O1177" l="1"/>
  <c r="Q1174"/>
  <c r="M1174"/>
  <c r="P1174"/>
  <c r="M1177"/>
  <c r="N1177"/>
  <c r="G36" i="51"/>
  <c r="N1174" i="36"/>
  <c r="G275" i="39"/>
  <c r="P1177" i="36"/>
  <c r="Q1177"/>
  <c r="O1174"/>
  <c r="P209" l="1"/>
  <c r="Q845" l="1"/>
  <c r="R845"/>
  <c r="S845"/>
  <c r="T845"/>
  <c r="P845"/>
  <c r="Q607"/>
  <c r="R607"/>
  <c r="S607"/>
  <c r="T607"/>
  <c r="P607"/>
  <c r="Q611"/>
  <c r="R611" s="1"/>
  <c r="S611" s="1"/>
  <c r="T611" s="1"/>
  <c r="Q306"/>
  <c r="R306" s="1"/>
  <c r="S306" s="1"/>
  <c r="T306" s="1"/>
  <c r="P289" l="1"/>
  <c r="Q289" s="1"/>
  <c r="R289" s="1"/>
  <c r="S289" s="1"/>
  <c r="T289" s="1"/>
  <c r="Q211"/>
  <c r="R211"/>
  <c r="S211"/>
  <c r="T211"/>
  <c r="P211"/>
  <c r="S620" l="1"/>
  <c r="S1266" s="1"/>
  <c r="S1265" s="1"/>
  <c r="O926" l="1"/>
  <c r="O827"/>
  <c r="O679" l="1"/>
  <c r="O577"/>
  <c r="O199"/>
  <c r="O170"/>
  <c r="O132"/>
  <c r="O104"/>
  <c r="O72"/>
  <c r="O929" l="1"/>
  <c r="O928"/>
  <c r="O927"/>
  <c r="O830"/>
  <c r="O829"/>
  <c r="O828"/>
  <c r="O682"/>
  <c r="O681"/>
  <c r="O680"/>
  <c r="O580"/>
  <c r="O579"/>
  <c r="O578"/>
  <c r="O202"/>
  <c r="O201"/>
  <c r="O200"/>
  <c r="O173"/>
  <c r="O172"/>
  <c r="O171"/>
  <c r="O135"/>
  <c r="O134"/>
  <c r="O133"/>
  <c r="O107"/>
  <c r="O106"/>
  <c r="O105"/>
  <c r="O77"/>
  <c r="O76"/>
  <c r="O75"/>
  <c r="O74"/>
  <c r="O73"/>
  <c r="Q11" l="1"/>
  <c r="R11" s="1"/>
  <c r="S11" s="1"/>
  <c r="T11" s="1"/>
  <c r="D16" i="51"/>
  <c r="E16"/>
  <c r="F16"/>
  <c r="G16"/>
  <c r="H16"/>
  <c r="I16"/>
  <c r="J16"/>
  <c r="K16"/>
  <c r="C16"/>
  <c r="Q964" i="36"/>
  <c r="R964"/>
  <c r="S964"/>
  <c r="T964"/>
  <c r="O953"/>
  <c r="T503" l="1"/>
  <c r="T502"/>
  <c r="T489"/>
  <c r="T488"/>
  <c r="D840" i="39" l="1"/>
  <c r="E840"/>
  <c r="F840"/>
  <c r="G840"/>
  <c r="H840"/>
  <c r="I840"/>
  <c r="J840"/>
  <c r="K840"/>
  <c r="C840"/>
  <c r="D710"/>
  <c r="E710"/>
  <c r="F710"/>
  <c r="C710"/>
  <c r="T1025" i="36"/>
  <c r="T1024"/>
  <c r="S1025"/>
  <c r="S1024"/>
  <c r="R1025"/>
  <c r="R1024"/>
  <c r="Q1025"/>
  <c r="Q1024"/>
  <c r="P1025"/>
  <c r="P1024"/>
  <c r="T626"/>
  <c r="S626"/>
  <c r="R626"/>
  <c r="Q626"/>
  <c r="P626"/>
  <c r="T625"/>
  <c r="S625"/>
  <c r="R625"/>
  <c r="Q625"/>
  <c r="P625"/>
  <c r="J710" i="39" l="1"/>
  <c r="G710"/>
  <c r="K710"/>
  <c r="I710"/>
  <c r="H710"/>
  <c r="O1187" i="36" l="1"/>
  <c r="M1187"/>
  <c r="L1187"/>
  <c r="O1186"/>
  <c r="M1186"/>
  <c r="L1186"/>
  <c r="O267"/>
  <c r="O266"/>
  <c r="O264"/>
  <c r="O263"/>
  <c r="O567"/>
  <c r="D666" i="39"/>
  <c r="E666"/>
  <c r="F666"/>
  <c r="G666"/>
  <c r="H666"/>
  <c r="I666"/>
  <c r="J666"/>
  <c r="K666"/>
  <c r="C666"/>
  <c r="D583"/>
  <c r="E583"/>
  <c r="F583"/>
  <c r="G583"/>
  <c r="I32" i="43" s="1"/>
  <c r="H583" i="39"/>
  <c r="I583"/>
  <c r="J583"/>
  <c r="K583"/>
  <c r="C583"/>
  <c r="D582"/>
  <c r="E582"/>
  <c r="F582"/>
  <c r="G582"/>
  <c r="H582"/>
  <c r="I582"/>
  <c r="J582"/>
  <c r="K582"/>
  <c r="C582"/>
  <c r="D453"/>
  <c r="E453"/>
  <c r="F453"/>
  <c r="G453"/>
  <c r="H453"/>
  <c r="I453"/>
  <c r="J453"/>
  <c r="K453"/>
  <c r="C453"/>
  <c r="D402"/>
  <c r="E402"/>
  <c r="F402"/>
  <c r="G402"/>
  <c r="H402"/>
  <c r="I402"/>
  <c r="J402"/>
  <c r="K402"/>
  <c r="C402"/>
  <c r="D368"/>
  <c r="E368"/>
  <c r="F368"/>
  <c r="G368"/>
  <c r="H368"/>
  <c r="I368"/>
  <c r="J368"/>
  <c r="K368"/>
  <c r="C368"/>
  <c r="D355"/>
  <c r="E355"/>
  <c r="F355"/>
  <c r="G355"/>
  <c r="H355"/>
  <c r="I355"/>
  <c r="J355"/>
  <c r="K355"/>
  <c r="C355"/>
  <c r="D255"/>
  <c r="E255"/>
  <c r="F255"/>
  <c r="G255"/>
  <c r="H255"/>
  <c r="I255"/>
  <c r="J255"/>
  <c r="K255"/>
  <c r="C255"/>
  <c r="D205"/>
  <c r="E205"/>
  <c r="F205"/>
  <c r="G205"/>
  <c r="H205"/>
  <c r="I205"/>
  <c r="J205"/>
  <c r="K205"/>
  <c r="C205"/>
  <c r="D129"/>
  <c r="E129"/>
  <c r="F129"/>
  <c r="G129"/>
  <c r="H129"/>
  <c r="I129"/>
  <c r="J129"/>
  <c r="K129"/>
  <c r="C129"/>
  <c r="D16"/>
  <c r="E16"/>
  <c r="F16"/>
  <c r="G16"/>
  <c r="H16"/>
  <c r="I16"/>
  <c r="J16"/>
  <c r="K16"/>
  <c r="C16"/>
  <c r="O918" i="36"/>
  <c r="P931"/>
  <c r="P692"/>
  <c r="S644"/>
  <c r="R644"/>
  <c r="Q644"/>
  <c r="P644"/>
  <c r="P729" s="1"/>
  <c r="R620"/>
  <c r="Q616"/>
  <c r="P582"/>
  <c r="Q582" s="1"/>
  <c r="R582" s="1"/>
  <c r="S582" s="1"/>
  <c r="T582" s="1"/>
  <c r="O265"/>
  <c r="S537"/>
  <c r="R537"/>
  <c r="Q537"/>
  <c r="P537"/>
  <c r="S503"/>
  <c r="R503"/>
  <c r="Q503"/>
  <c r="P503"/>
  <c r="S502"/>
  <c r="R502"/>
  <c r="Q502"/>
  <c r="P502"/>
  <c r="S489"/>
  <c r="R489"/>
  <c r="Q489"/>
  <c r="P489"/>
  <c r="S488"/>
  <c r="R488"/>
  <c r="Q488"/>
  <c r="P488"/>
  <c r="P1265" l="1"/>
  <c r="R1266"/>
  <c r="P490"/>
  <c r="O268"/>
  <c r="R1186"/>
  <c r="Q1186"/>
  <c r="S1186"/>
  <c r="Q1187"/>
  <c r="P1186"/>
  <c r="P1187"/>
  <c r="S1187"/>
  <c r="R1187"/>
  <c r="Q375"/>
  <c r="R244"/>
  <c r="S244" s="1"/>
  <c r="T244" s="1"/>
  <c r="P215"/>
  <c r="L187"/>
  <c r="S182"/>
  <c r="J106" i="40" s="1"/>
  <c r="R182" i="36"/>
  <c r="I106" i="40" s="1"/>
  <c r="Q182" i="36"/>
  <c r="H106" i="40" s="1"/>
  <c r="P182" i="36"/>
  <c r="G106" i="40" s="1"/>
  <c r="Q110" i="36"/>
  <c r="R110"/>
  <c r="S110"/>
  <c r="T110"/>
  <c r="N1058"/>
  <c r="N1057"/>
  <c r="N1055"/>
  <c r="N1050"/>
  <c r="N1020"/>
  <c r="N1036" s="1"/>
  <c r="N1015"/>
  <c r="N1001"/>
  <c r="N992"/>
  <c r="N980"/>
  <c r="N964"/>
  <c r="N968" s="1"/>
  <c r="N953"/>
  <c r="N920"/>
  <c r="N853"/>
  <c r="N851"/>
  <c r="N845"/>
  <c r="N839"/>
  <c r="N815"/>
  <c r="N813"/>
  <c r="N812"/>
  <c r="N804"/>
  <c r="N802"/>
  <c r="N788"/>
  <c r="N769"/>
  <c r="N757"/>
  <c r="N712"/>
  <c r="N704"/>
  <c r="N702"/>
  <c r="N692"/>
  <c r="N688"/>
  <c r="N686"/>
  <c r="N685"/>
  <c r="N672"/>
  <c r="N644"/>
  <c r="N729" s="1"/>
  <c r="N622"/>
  <c r="N619"/>
  <c r="N616"/>
  <c r="N613"/>
  <c r="N609"/>
  <c r="N603"/>
  <c r="N591"/>
  <c r="N590"/>
  <c r="N589"/>
  <c r="N585"/>
  <c r="N584"/>
  <c r="N573"/>
  <c r="N558"/>
  <c r="N557"/>
  <c r="N537"/>
  <c r="N526"/>
  <c r="N503"/>
  <c r="N502"/>
  <c r="N499"/>
  <c r="N497"/>
  <c r="N489"/>
  <c r="N488"/>
  <c r="N486"/>
  <c r="N477"/>
  <c r="N474"/>
  <c r="N459"/>
  <c r="N458"/>
  <c r="N427"/>
  <c r="N422"/>
  <c r="N419"/>
  <c r="N372" s="1"/>
  <c r="N417"/>
  <c r="N407"/>
  <c r="N402"/>
  <c r="N400"/>
  <c r="N392"/>
  <c r="N391"/>
  <c r="N345"/>
  <c r="N342"/>
  <c r="N331"/>
  <c r="R1265" l="1"/>
  <c r="E213" i="39"/>
  <c r="E275"/>
  <c r="E36" i="51"/>
  <c r="N790" i="36"/>
  <c r="N1187"/>
  <c r="N1186"/>
  <c r="N478"/>
  <c r="N817"/>
  <c r="N348"/>
  <c r="N647"/>
  <c r="N387"/>
  <c r="N396" s="1"/>
  <c r="N403"/>
  <c r="N470"/>
  <c r="N1061"/>
  <c r="N854"/>
  <c r="N955"/>
  <c r="N731"/>
  <c r="N490"/>
  <c r="N505"/>
  <c r="N1106" s="1"/>
  <c r="N569"/>
  <c r="N434"/>
  <c r="N308"/>
  <c r="N303"/>
  <c r="N289"/>
  <c r="N291" s="1"/>
  <c r="N285"/>
  <c r="N264"/>
  <c r="N250"/>
  <c r="N241"/>
  <c r="N234"/>
  <c r="N1196" s="1"/>
  <c r="N227"/>
  <c r="N229" s="1"/>
  <c r="N219"/>
  <c r="N206"/>
  <c r="N203"/>
  <c r="N195"/>
  <c r="N1197" s="1"/>
  <c r="N186"/>
  <c r="N182"/>
  <c r="E106" i="40" s="1"/>
  <c r="N156" i="36"/>
  <c r="N155"/>
  <c r="N145"/>
  <c r="N143"/>
  <c r="N130"/>
  <c r="N115"/>
  <c r="N111"/>
  <c r="N110"/>
  <c r="N109"/>
  <c r="N82"/>
  <c r="N81"/>
  <c r="N56"/>
  <c r="O1197"/>
  <c r="M1197"/>
  <c r="L1197"/>
  <c r="P1195"/>
  <c r="O1195"/>
  <c r="N1195"/>
  <c r="M1195"/>
  <c r="L1195"/>
  <c r="P1140"/>
  <c r="O1140"/>
  <c r="N1140"/>
  <c r="M1140"/>
  <c r="L1140"/>
  <c r="L1093"/>
  <c r="M470"/>
  <c r="T992"/>
  <c r="S992"/>
  <c r="R992"/>
  <c r="Q992"/>
  <c r="P992"/>
  <c r="O992"/>
  <c r="M992"/>
  <c r="L992"/>
  <c r="M920"/>
  <c r="M647"/>
  <c r="M59"/>
  <c r="L1061"/>
  <c r="L1050"/>
  <c r="L1036"/>
  <c r="L1001"/>
  <c r="L980"/>
  <c r="L968"/>
  <c r="L955"/>
  <c r="L920"/>
  <c r="L896"/>
  <c r="L878"/>
  <c r="L854"/>
  <c r="L817"/>
  <c r="L790"/>
  <c r="L769"/>
  <c r="L757"/>
  <c r="L696"/>
  <c r="L691" s="1"/>
  <c r="L731" s="1"/>
  <c r="L672"/>
  <c r="L614"/>
  <c r="L599" s="1"/>
  <c r="L603"/>
  <c r="L595" s="1"/>
  <c r="L569"/>
  <c r="L543"/>
  <c r="L530"/>
  <c r="L505"/>
  <c r="L1106" s="1"/>
  <c r="L490"/>
  <c r="L478"/>
  <c r="L434"/>
  <c r="L403"/>
  <c r="L396"/>
  <c r="L364"/>
  <c r="L360"/>
  <c r="L348"/>
  <c r="L331"/>
  <c r="L303"/>
  <c r="L285"/>
  <c r="L130"/>
  <c r="E165" i="40" l="1"/>
  <c r="L1076" i="36"/>
  <c r="E14" i="40"/>
  <c r="N1076" i="36"/>
  <c r="N191"/>
  <c r="N98"/>
  <c r="N163"/>
  <c r="N269"/>
  <c r="N119"/>
  <c r="N223"/>
  <c r="N231" s="1"/>
  <c r="N310"/>
  <c r="N313" s="1"/>
  <c r="N293"/>
  <c r="N296" s="1"/>
  <c r="L647"/>
  <c r="N272" l="1"/>
  <c r="D322" i="39"/>
  <c r="E322"/>
  <c r="F322"/>
  <c r="C322"/>
  <c r="K322" l="1"/>
  <c r="J322"/>
  <c r="I322"/>
  <c r="H322"/>
  <c r="G322"/>
  <c r="D403" l="1"/>
  <c r="E403"/>
  <c r="F403"/>
  <c r="C403"/>
  <c r="P667" i="36" l="1"/>
  <c r="P1270" s="1"/>
  <c r="Q667"/>
  <c r="Q1270" s="1"/>
  <c r="R667"/>
  <c r="R1270" s="1"/>
  <c r="S667"/>
  <c r="S1270" s="1"/>
  <c r="T667"/>
  <c r="T1270" s="1"/>
  <c r="K403" i="39" l="1"/>
  <c r="H403"/>
  <c r="I403"/>
  <c r="G403"/>
  <c r="J403"/>
  <c r="D35" i="51" l="1"/>
  <c r="E35"/>
  <c r="F35"/>
  <c r="G35"/>
  <c r="H35"/>
  <c r="I35"/>
  <c r="J35"/>
  <c r="K35"/>
  <c r="C35"/>
  <c r="D274" i="39"/>
  <c r="E274"/>
  <c r="F274"/>
  <c r="G274"/>
  <c r="H274"/>
  <c r="I274"/>
  <c r="J274"/>
  <c r="K274"/>
  <c r="C274"/>
  <c r="D135"/>
  <c r="E135"/>
  <c r="F135"/>
  <c r="C135"/>
  <c r="L1190" i="36" l="1"/>
  <c r="M1170" l="1"/>
  <c r="N1170"/>
  <c r="O1170"/>
  <c r="M1169"/>
  <c r="N1169"/>
  <c r="O1169"/>
  <c r="P1169"/>
  <c r="Q1169"/>
  <c r="R1169"/>
  <c r="S1169"/>
  <c r="T1169"/>
  <c r="L1170"/>
  <c r="L1169"/>
  <c r="D202" i="39"/>
  <c r="E202"/>
  <c r="J202"/>
  <c r="K202"/>
  <c r="C202"/>
  <c r="D128"/>
  <c r="E128"/>
  <c r="G128"/>
  <c r="H128"/>
  <c r="I128"/>
  <c r="J128"/>
  <c r="K128"/>
  <c r="C128"/>
  <c r="T659" i="36" l="1"/>
  <c r="O1171"/>
  <c r="M1171"/>
  <c r="N1171"/>
  <c r="L1171"/>
  <c r="P1163"/>
  <c r="M1253" l="1"/>
  <c r="N1253"/>
  <c r="P1253"/>
  <c r="Q1253"/>
  <c r="R1253"/>
  <c r="S1253"/>
  <c r="T1253"/>
  <c r="L1253"/>
  <c r="M1269"/>
  <c r="M1268" s="1"/>
  <c r="N1269"/>
  <c r="N1268" s="1"/>
  <c r="P1269"/>
  <c r="P1268" s="1"/>
  <c r="Q1269"/>
  <c r="Q1268" s="1"/>
  <c r="R1269"/>
  <c r="R1268" s="1"/>
  <c r="S1269"/>
  <c r="S1268" s="1"/>
  <c r="T1269"/>
  <c r="T1268" s="1"/>
  <c r="L1269"/>
  <c r="M1266"/>
  <c r="M1265" s="1"/>
  <c r="N1266"/>
  <c r="Q1265"/>
  <c r="T1265"/>
  <c r="M1263"/>
  <c r="M1262" s="1"/>
  <c r="N1263"/>
  <c r="N1262" s="1"/>
  <c r="O1263"/>
  <c r="O1262" s="1"/>
  <c r="Q1263"/>
  <c r="Q1262" s="1"/>
  <c r="L1266"/>
  <c r="L1263"/>
  <c r="L1262" s="1"/>
  <c r="M1258"/>
  <c r="N1258"/>
  <c r="O1258"/>
  <c r="P1258"/>
  <c r="Q1258"/>
  <c r="R1258"/>
  <c r="S1258"/>
  <c r="T1258"/>
  <c r="M1257"/>
  <c r="N1257"/>
  <c r="O1257"/>
  <c r="P1257"/>
  <c r="Q1257"/>
  <c r="R1257"/>
  <c r="S1257"/>
  <c r="T1257"/>
  <c r="L1258"/>
  <c r="L1257"/>
  <c r="M1254"/>
  <c r="N1254"/>
  <c r="Q1254"/>
  <c r="R1254"/>
  <c r="S1254"/>
  <c r="T1254"/>
  <c r="L1254"/>
  <c r="L1252"/>
  <c r="L1251" l="1"/>
  <c r="L1256"/>
  <c r="L1265"/>
  <c r="L1268"/>
  <c r="O1265"/>
  <c r="N1265"/>
  <c r="P1170" l="1"/>
  <c r="P1171" s="1"/>
  <c r="D215" i="39"/>
  <c r="E215"/>
  <c r="C215"/>
  <c r="D131"/>
  <c r="E131"/>
  <c r="G131"/>
  <c r="L13" i="43" s="1"/>
  <c r="H131" i="39"/>
  <c r="I131"/>
  <c r="J131"/>
  <c r="K131"/>
  <c r="C131"/>
  <c r="S1256" i="36"/>
  <c r="Q1256"/>
  <c r="M434"/>
  <c r="M331"/>
  <c r="P331"/>
  <c r="Q331"/>
  <c r="R331"/>
  <c r="S331"/>
  <c r="T331"/>
  <c r="O328"/>
  <c r="F131" i="39" l="1"/>
  <c r="M1256" i="36"/>
  <c r="T1256"/>
  <c r="N1256"/>
  <c r="R1256"/>
  <c r="Q591"/>
  <c r="R591"/>
  <c r="S591"/>
  <c r="T591"/>
  <c r="P591"/>
  <c r="Q400"/>
  <c r="R400"/>
  <c r="S400"/>
  <c r="T400"/>
  <c r="P400"/>
  <c r="Q1056" l="1"/>
  <c r="R1056"/>
  <c r="S1056"/>
  <c r="T1056"/>
  <c r="P1056"/>
  <c r="P1058" l="1"/>
  <c r="Q1058"/>
  <c r="R1058"/>
  <c r="S1058"/>
  <c r="T1058"/>
  <c r="O1058"/>
  <c r="P622"/>
  <c r="Q622"/>
  <c r="R622"/>
  <c r="S622"/>
  <c r="T622"/>
  <c r="O622"/>
  <c r="O647" s="1"/>
  <c r="P345"/>
  <c r="Q345"/>
  <c r="R345"/>
  <c r="S345"/>
  <c r="T345"/>
  <c r="Q712"/>
  <c r="R712"/>
  <c r="S712"/>
  <c r="T712"/>
  <c r="P712"/>
  <c r="O712"/>
  <c r="O1269" l="1"/>
  <c r="G213" i="39"/>
  <c r="O1268" i="36" l="1"/>
  <c r="R1263"/>
  <c r="R1262" s="1"/>
  <c r="T1263"/>
  <c r="T1262" s="1"/>
  <c r="P1263"/>
  <c r="S1263"/>
  <c r="S1262" s="1"/>
  <c r="Q688"/>
  <c r="R688"/>
  <c r="S688"/>
  <c r="T688"/>
  <c r="P688"/>
  <c r="Q589"/>
  <c r="R589"/>
  <c r="S589"/>
  <c r="T589"/>
  <c r="P589"/>
  <c r="P1262" l="1"/>
  <c r="P1254"/>
  <c r="O1254"/>
  <c r="D751" i="39" l="1"/>
  <c r="E751"/>
  <c r="G751"/>
  <c r="H751"/>
  <c r="I751"/>
  <c r="J751"/>
  <c r="K751"/>
  <c r="C751"/>
  <c r="M130" i="36"/>
  <c r="M396"/>
  <c r="F751" i="39" l="1"/>
  <c r="P1256" i="36"/>
  <c r="O1256"/>
  <c r="F202" i="39" l="1"/>
  <c r="G202" l="1"/>
  <c r="O434" i="36"/>
  <c r="Q931" l="1"/>
  <c r="P155" l="1"/>
  <c r="P110" l="1"/>
  <c r="T182"/>
  <c r="K106" i="40" s="1"/>
  <c r="O182" i="36"/>
  <c r="F106" i="40" s="1"/>
  <c r="O331" i="36" l="1"/>
  <c r="F128" i="39"/>
  <c r="O1253" i="36"/>
  <c r="L1185" l="1"/>
  <c r="D214" i="39" l="1"/>
  <c r="E214"/>
  <c r="F214"/>
  <c r="G214"/>
  <c r="H214"/>
  <c r="I214"/>
  <c r="J214"/>
  <c r="K214"/>
  <c r="C214"/>
  <c r="T1170" i="36" l="1"/>
  <c r="T1171" s="1"/>
  <c r="Q1170"/>
  <c r="Q1171" s="1"/>
  <c r="R1170"/>
  <c r="R1171" s="1"/>
  <c r="S1170"/>
  <c r="S1171" s="1"/>
  <c r="M1213"/>
  <c r="N1213"/>
  <c r="O1213"/>
  <c r="P1213"/>
  <c r="L1213"/>
  <c r="M1220"/>
  <c r="N1220"/>
  <c r="O1220"/>
  <c r="P1220"/>
  <c r="M1219"/>
  <c r="N1219"/>
  <c r="O1219"/>
  <c r="P1219"/>
  <c r="L1220"/>
  <c r="L1219"/>
  <c r="M1215"/>
  <c r="N1215"/>
  <c r="O1215"/>
  <c r="P1215"/>
  <c r="L1215"/>
  <c r="P1221" l="1"/>
  <c r="O1221"/>
  <c r="N1221"/>
  <c r="M1221"/>
  <c r="N1226"/>
  <c r="O1226"/>
  <c r="L1226"/>
  <c r="M1226"/>
  <c r="P1226"/>
  <c r="L1221"/>
  <c r="N1224"/>
  <c r="O1224"/>
  <c r="M1224"/>
  <c r="P1224"/>
  <c r="L1224"/>
  <c r="R931"/>
  <c r="S931" s="1"/>
  <c r="T931" s="1"/>
  <c r="P684"/>
  <c r="M1214"/>
  <c r="M1225" s="1"/>
  <c r="N1214"/>
  <c r="O1214"/>
  <c r="L1214"/>
  <c r="L1163"/>
  <c r="L1164" s="1"/>
  <c r="N1136"/>
  <c r="L1143"/>
  <c r="M1136"/>
  <c r="O1136"/>
  <c r="L1136"/>
  <c r="M1216" l="1"/>
  <c r="M1227"/>
  <c r="N1225"/>
  <c r="N1227" s="1"/>
  <c r="N1216"/>
  <c r="L1225"/>
  <c r="L1227" s="1"/>
  <c r="L1216"/>
  <c r="O1216"/>
  <c r="O1225"/>
  <c r="O1227" s="1"/>
  <c r="D367" i="39"/>
  <c r="E367"/>
  <c r="C367"/>
  <c r="D366"/>
  <c r="E366"/>
  <c r="F366"/>
  <c r="C366"/>
  <c r="D358"/>
  <c r="E358"/>
  <c r="F358"/>
  <c r="C358"/>
  <c r="P246" i="36"/>
  <c r="P1197" l="1"/>
  <c r="Q241"/>
  <c r="R241"/>
  <c r="S241"/>
  <c r="P241"/>
  <c r="P810" l="1"/>
  <c r="P699"/>
  <c r="Q215"/>
  <c r="R215" s="1"/>
  <c r="S215" s="1"/>
  <c r="T215" s="1"/>
  <c r="D206" i="39"/>
  <c r="E206"/>
  <c r="J206"/>
  <c r="K206"/>
  <c r="C206"/>
  <c r="Q810" i="36" l="1"/>
  <c r="Q699"/>
  <c r="Q606"/>
  <c r="F206" i="39"/>
  <c r="O396" i="36"/>
  <c r="D19" i="39"/>
  <c r="E19"/>
  <c r="C19"/>
  <c r="Q1197" i="36"/>
  <c r="R1197"/>
  <c r="S1197"/>
  <c r="T1197"/>
  <c r="R606" l="1"/>
  <c r="R699"/>
  <c r="R810"/>
  <c r="S699" l="1"/>
  <c r="S606"/>
  <c r="S810"/>
  <c r="D448" i="39"/>
  <c r="E448"/>
  <c r="F448"/>
  <c r="G448"/>
  <c r="H448"/>
  <c r="I448"/>
  <c r="J448"/>
  <c r="K448"/>
  <c r="C448"/>
  <c r="T606" i="36" l="1"/>
  <c r="T699"/>
  <c r="T810"/>
  <c r="D711" i="39"/>
  <c r="E711"/>
  <c r="F711"/>
  <c r="G711"/>
  <c r="H711"/>
  <c r="I711"/>
  <c r="J711"/>
  <c r="K711"/>
  <c r="C711"/>
  <c r="D451"/>
  <c r="E451"/>
  <c r="F451"/>
  <c r="G451"/>
  <c r="H451"/>
  <c r="I451"/>
  <c r="J451"/>
  <c r="K451"/>
  <c r="C451"/>
  <c r="D452"/>
  <c r="E452"/>
  <c r="F452"/>
  <c r="G452"/>
  <c r="I15" i="43" s="1"/>
  <c r="H452" i="39"/>
  <c r="I452"/>
  <c r="J452"/>
  <c r="K452"/>
  <c r="C452"/>
  <c r="D364"/>
  <c r="E364"/>
  <c r="F364"/>
  <c r="D321"/>
  <c r="E321"/>
  <c r="F321"/>
  <c r="G321"/>
  <c r="H321"/>
  <c r="I321"/>
  <c r="J321"/>
  <c r="K321"/>
  <c r="C321"/>
  <c r="D323"/>
  <c r="E323"/>
  <c r="F323"/>
  <c r="G323"/>
  <c r="H323"/>
  <c r="I323"/>
  <c r="J323"/>
  <c r="K323"/>
  <c r="C323"/>
  <c r="D317"/>
  <c r="E317"/>
  <c r="F317"/>
  <c r="G317"/>
  <c r="C317"/>
  <c r="D211"/>
  <c r="E211"/>
  <c r="F211"/>
  <c r="C211"/>
  <c r="P669" i="36" l="1"/>
  <c r="P266" l="1"/>
  <c r="P267"/>
  <c r="K317" i="39"/>
  <c r="J317"/>
  <c r="I317"/>
  <c r="H317"/>
  <c r="M543" i="36"/>
  <c r="N543"/>
  <c r="T583" l="1"/>
  <c r="S583"/>
  <c r="R583"/>
  <c r="Q583"/>
  <c r="O402" l="1"/>
  <c r="P402"/>
  <c r="Q402"/>
  <c r="R402"/>
  <c r="S402"/>
  <c r="T402"/>
  <c r="O257"/>
  <c r="F165" i="40" s="1"/>
  <c r="Q255" i="36"/>
  <c r="R255" s="1"/>
  <c r="S255" s="1"/>
  <c r="T255" s="1"/>
  <c r="F215" i="39" l="1"/>
  <c r="R57" i="36"/>
  <c r="I215" i="39"/>
  <c r="S57" i="36"/>
  <c r="J215" i="39"/>
  <c r="T57" i="36"/>
  <c r="K215" i="39"/>
  <c r="P57" i="36"/>
  <c r="G215" i="39"/>
  <c r="Q57" i="36"/>
  <c r="H215" i="39"/>
  <c r="O57" i="36"/>
  <c r="G19" i="39" l="1"/>
  <c r="J19"/>
  <c r="H19"/>
  <c r="K19"/>
  <c r="I19"/>
  <c r="R10" i="36"/>
  <c r="F19" i="39"/>
  <c r="P22" i="36"/>
  <c r="Q12"/>
  <c r="T697"/>
  <c r="T604"/>
  <c r="R12" l="1"/>
  <c r="S12" s="1"/>
  <c r="T12" s="1"/>
  <c r="Q27"/>
  <c r="S10"/>
  <c r="Q22"/>
  <c r="P256"/>
  <c r="R27" l="1"/>
  <c r="T10"/>
  <c r="R22"/>
  <c r="Q256"/>
  <c r="S27" l="1"/>
  <c r="S22"/>
  <c r="R256"/>
  <c r="T27" l="1"/>
  <c r="T22"/>
  <c r="S256"/>
  <c r="N1185"/>
  <c r="M1185"/>
  <c r="T256" l="1"/>
  <c r="Q1220"/>
  <c r="P93"/>
  <c r="Q1195" l="1"/>
  <c r="S1219"/>
  <c r="R1219"/>
  <c r="G135" i="39"/>
  <c r="Q1219" i="36"/>
  <c r="Q1221" s="1"/>
  <c r="Q1215"/>
  <c r="Q1226" s="1"/>
  <c r="O543"/>
  <c r="T1187"/>
  <c r="T1186" l="1"/>
  <c r="R1195"/>
  <c r="F367" i="39"/>
  <c r="Q1213" i="36"/>
  <c r="Q1224" s="1"/>
  <c r="R1215"/>
  <c r="S1195" l="1"/>
  <c r="J367" i="39"/>
  <c r="H367"/>
  <c r="I367"/>
  <c r="G367"/>
  <c r="K367"/>
  <c r="S1215" i="36"/>
  <c r="O1185"/>
  <c r="R729"/>
  <c r="Q729"/>
  <c r="P567"/>
  <c r="T729"/>
  <c r="S729"/>
  <c r="T1195" l="1"/>
  <c r="Q543"/>
  <c r="P543"/>
  <c r="T1185"/>
  <c r="S543"/>
  <c r="R543"/>
  <c r="T543"/>
  <c r="D744" i="39"/>
  <c r="E744"/>
  <c r="F744"/>
  <c r="G744"/>
  <c r="H744"/>
  <c r="I744"/>
  <c r="J744"/>
  <c r="K744"/>
  <c r="C744"/>
  <c r="D709"/>
  <c r="E709"/>
  <c r="F709"/>
  <c r="D712"/>
  <c r="E712"/>
  <c r="F712"/>
  <c r="G712"/>
  <c r="H712"/>
  <c r="I712"/>
  <c r="J712"/>
  <c r="K712"/>
  <c r="C712"/>
  <c r="D458"/>
  <c r="E458"/>
  <c r="F458"/>
  <c r="G458"/>
  <c r="H458"/>
  <c r="I458"/>
  <c r="J458"/>
  <c r="K458"/>
  <c r="C458"/>
  <c r="M1164" i="36"/>
  <c r="N1163"/>
  <c r="O1163"/>
  <c r="Q1163"/>
  <c r="R1163"/>
  <c r="S1163"/>
  <c r="T1163"/>
  <c r="M1145"/>
  <c r="N1145"/>
  <c r="O1145"/>
  <c r="L1145"/>
  <c r="M1143"/>
  <c r="N1143"/>
  <c r="O1143"/>
  <c r="R264"/>
  <c r="Q264"/>
  <c r="O1164" l="1"/>
  <c r="N1164"/>
  <c r="Q1164"/>
  <c r="P1164"/>
  <c r="P264"/>
  <c r="Q263"/>
  <c r="R263"/>
  <c r="S263"/>
  <c r="T263"/>
  <c r="O1252"/>
  <c r="O1251" s="1"/>
  <c r="O1249"/>
  <c r="O1248"/>
  <c r="O1245"/>
  <c r="O1244"/>
  <c r="O1243"/>
  <c r="O1240"/>
  <c r="O1239"/>
  <c r="O1238"/>
  <c r="O1237"/>
  <c r="O1234"/>
  <c r="O1233"/>
  <c r="O1232"/>
  <c r="O1231"/>
  <c r="O1202"/>
  <c r="O1201"/>
  <c r="O1206" s="1"/>
  <c r="O1207"/>
  <c r="O1190"/>
  <c r="O1158"/>
  <c r="O1157"/>
  <c r="O1153"/>
  <c r="O1151"/>
  <c r="O1148"/>
  <c r="O1149" s="1"/>
  <c r="O1138"/>
  <c r="O1115"/>
  <c r="O1091"/>
  <c r="O1061"/>
  <c r="O1050"/>
  <c r="O1036"/>
  <c r="O1001"/>
  <c r="O980"/>
  <c r="O968"/>
  <c r="O920"/>
  <c r="O896"/>
  <c r="O878"/>
  <c r="O854"/>
  <c r="O817"/>
  <c r="O790"/>
  <c r="O769"/>
  <c r="O757"/>
  <c r="O731"/>
  <c r="O672"/>
  <c r="O569"/>
  <c r="O530"/>
  <c r="O505"/>
  <c r="O1106" s="1"/>
  <c r="O490"/>
  <c r="O478"/>
  <c r="O470"/>
  <c r="O403"/>
  <c r="O440" s="1"/>
  <c r="O442"/>
  <c r="O364"/>
  <c r="O360"/>
  <c r="O348"/>
  <c r="O308"/>
  <c r="O303"/>
  <c r="O291"/>
  <c r="O285"/>
  <c r="O269"/>
  <c r="O229"/>
  <c r="O223"/>
  <c r="O191"/>
  <c r="O163"/>
  <c r="O119"/>
  <c r="O98"/>
  <c r="O59"/>
  <c r="O511" l="1"/>
  <c r="O513"/>
  <c r="O515"/>
  <c r="O1076"/>
  <c r="O444"/>
  <c r="O545"/>
  <c r="O547" s="1"/>
  <c r="O733"/>
  <c r="O366"/>
  <c r="O1160"/>
  <c r="O1182" s="1"/>
  <c r="O1141"/>
  <c r="O955"/>
  <c r="O1236"/>
  <c r="O293"/>
  <c r="O350"/>
  <c r="O436"/>
  <c r="O1230"/>
  <c r="O1003"/>
  <c r="O1247"/>
  <c r="O231"/>
  <c r="O272" s="1"/>
  <c r="O898"/>
  <c r="O1038"/>
  <c r="O1203"/>
  <c r="O310"/>
  <c r="O856"/>
  <c r="O1063"/>
  <c r="O649"/>
  <c r="O771"/>
  <c r="O982"/>
  <c r="O1208"/>
  <c r="O1209" s="1"/>
  <c r="O1242"/>
  <c r="O507"/>
  <c r="O1198"/>
  <c r="O438" l="1"/>
  <c r="O735"/>
  <c r="O984"/>
  <c r="O1040"/>
  <c r="O352"/>
  <c r="O651"/>
  <c r="O312"/>
  <c r="O1074"/>
  <c r="O1065"/>
  <c r="O1005"/>
  <c r="O509"/>
  <c r="O1108"/>
  <c r="O295"/>
  <c r="O1166"/>
  <c r="F45" i="51"/>
  <c r="O517" i="36"/>
  <c r="O773"/>
  <c r="O1078"/>
  <c r="O1077"/>
  <c r="O1080"/>
  <c r="O1079"/>
  <c r="O1123"/>
  <c r="O1081"/>
  <c r="O1124"/>
  <c r="O957"/>
  <c r="O1082"/>
  <c r="O1072"/>
  <c r="O1071"/>
  <c r="O1093"/>
  <c r="O1113"/>
  <c r="O1073"/>
  <c r="O274"/>
  <c r="O858"/>
  <c r="O1075" l="1"/>
  <c r="O276"/>
  <c r="O860"/>
  <c r="O959"/>
  <c r="O1122"/>
  <c r="O1126" s="1"/>
  <c r="O1070"/>
  <c r="O1107"/>
  <c r="O1110" s="1"/>
  <c r="O1099"/>
  <c r="O1131"/>
  <c r="O1130"/>
  <c r="O1097"/>
  <c r="O1095"/>
  <c r="O652"/>
  <c r="O1098"/>
  <c r="O1096"/>
  <c r="O736"/>
  <c r="O1094"/>
  <c r="O1092"/>
  <c r="O1089"/>
  <c r="O313"/>
  <c r="O1090"/>
  <c r="O1088"/>
  <c r="O296"/>
  <c r="O1084" l="1"/>
  <c r="O1087"/>
  <c r="O277"/>
  <c r="O960"/>
  <c r="O1129"/>
  <c r="O1114"/>
  <c r="O861"/>
  <c r="N59"/>
  <c r="N360"/>
  <c r="N364"/>
  <c r="N530"/>
  <c r="N878"/>
  <c r="N896"/>
  <c r="N1087"/>
  <c r="N1088"/>
  <c r="N1089"/>
  <c r="N1090"/>
  <c r="N1091"/>
  <c r="N1093"/>
  <c r="N1092"/>
  <c r="N1094"/>
  <c r="N1095"/>
  <c r="N1096"/>
  <c r="N1097"/>
  <c r="N1098"/>
  <c r="N1099"/>
  <c r="N1113"/>
  <c r="N1114"/>
  <c r="N1115"/>
  <c r="N1129"/>
  <c r="N1130"/>
  <c r="N1131"/>
  <c r="N1138"/>
  <c r="N1148"/>
  <c r="N1149" s="1"/>
  <c r="N1151"/>
  <c r="N1153"/>
  <c r="N1157"/>
  <c r="N1158"/>
  <c r="N1190"/>
  <c r="N1207"/>
  <c r="N1201"/>
  <c r="N1202"/>
  <c r="N1231"/>
  <c r="N1232"/>
  <c r="N1233"/>
  <c r="N1234"/>
  <c r="N1237"/>
  <c r="N1238"/>
  <c r="N1239"/>
  <c r="N1240"/>
  <c r="N1243"/>
  <c r="N1244"/>
  <c r="N1245"/>
  <c r="N1248"/>
  <c r="N1249"/>
  <c r="N1252"/>
  <c r="N652" l="1"/>
  <c r="O1133"/>
  <c r="O1101"/>
  <c r="N1133"/>
  <c r="O1117"/>
  <c r="N1141"/>
  <c r="N1003"/>
  <c r="N1063"/>
  <c r="N1247"/>
  <c r="N1160"/>
  <c r="N1182" s="1"/>
  <c r="N1203"/>
  <c r="N898"/>
  <c r="N1208"/>
  <c r="N1038"/>
  <c r="N856"/>
  <c r="N771"/>
  <c r="N1206"/>
  <c r="N1117"/>
  <c r="N982"/>
  <c r="N366"/>
  <c r="N1198"/>
  <c r="N733"/>
  <c r="N545"/>
  <c r="N507"/>
  <c r="N1251"/>
  <c r="N436"/>
  <c r="N1242"/>
  <c r="N1230"/>
  <c r="N1236"/>
  <c r="N350"/>
  <c r="N649"/>
  <c r="N1101"/>
  <c r="N736"/>
  <c r="N1072" l="1"/>
  <c r="N1124"/>
  <c r="N1071"/>
  <c r="N1073"/>
  <c r="N1077"/>
  <c r="N1123"/>
  <c r="N960"/>
  <c r="N509"/>
  <c r="N1074"/>
  <c r="N1108"/>
  <c r="N1078"/>
  <c r="N438"/>
  <c r="N1079"/>
  <c r="N1081"/>
  <c r="N1082"/>
  <c r="N1166"/>
  <c r="N858"/>
  <c r="N861"/>
  <c r="N1080"/>
  <c r="N1209"/>
  <c r="N957"/>
  <c r="N277"/>
  <c r="N274"/>
  <c r="N1075" l="1"/>
  <c r="N1070"/>
  <c r="N1122"/>
  <c r="N1126" s="1"/>
  <c r="N1107"/>
  <c r="N1110" s="1"/>
  <c r="N1084" l="1"/>
  <c r="M1036"/>
  <c r="P1015"/>
  <c r="T264" l="1"/>
  <c r="S264"/>
  <c r="S1252"/>
  <c r="S1249"/>
  <c r="S1248"/>
  <c r="S1245"/>
  <c r="S1244"/>
  <c r="S1240"/>
  <c r="S1239"/>
  <c r="S1238"/>
  <c r="S1237"/>
  <c r="S1234"/>
  <c r="S1233"/>
  <c r="S1232"/>
  <c r="S1231"/>
  <c r="S1202"/>
  <c r="S1201"/>
  <c r="S1190"/>
  <c r="S1138"/>
  <c r="S1115"/>
  <c r="S1091"/>
  <c r="S1055"/>
  <c r="S1050"/>
  <c r="S1020"/>
  <c r="S1015"/>
  <c r="S1001"/>
  <c r="S980"/>
  <c r="S968"/>
  <c r="S953"/>
  <c r="S918"/>
  <c r="S896"/>
  <c r="S878"/>
  <c r="S853"/>
  <c r="S851"/>
  <c r="S812"/>
  <c r="S267"/>
  <c r="S769"/>
  <c r="S757"/>
  <c r="S567"/>
  <c r="S704"/>
  <c r="S685"/>
  <c r="S669"/>
  <c r="S619"/>
  <c r="S613"/>
  <c r="S609"/>
  <c r="S590"/>
  <c r="S584"/>
  <c r="S530"/>
  <c r="S504"/>
  <c r="S474"/>
  <c r="S460"/>
  <c r="S407"/>
  <c r="S403"/>
  <c r="S394"/>
  <c r="S362"/>
  <c r="S358"/>
  <c r="S308"/>
  <c r="S303"/>
  <c r="S291"/>
  <c r="S285"/>
  <c r="S259"/>
  <c r="S257"/>
  <c r="S252"/>
  <c r="S234"/>
  <c r="S145"/>
  <c r="S143"/>
  <c r="R1252"/>
  <c r="R1249"/>
  <c r="R1248"/>
  <c r="R1240"/>
  <c r="R1239"/>
  <c r="R1238"/>
  <c r="R1237"/>
  <c r="R1234"/>
  <c r="R1233"/>
  <c r="R1232"/>
  <c r="R1231"/>
  <c r="R1202"/>
  <c r="R1201"/>
  <c r="R1190"/>
  <c r="R1138"/>
  <c r="R1115"/>
  <c r="R1091"/>
  <c r="R1055"/>
  <c r="R1050"/>
  <c r="R1020"/>
  <c r="R1015"/>
  <c r="R1001"/>
  <c r="R980"/>
  <c r="R968"/>
  <c r="R953"/>
  <c r="R918"/>
  <c r="R896"/>
  <c r="R878"/>
  <c r="R853"/>
  <c r="R851"/>
  <c r="R812"/>
  <c r="R804"/>
  <c r="R769"/>
  <c r="R757"/>
  <c r="R567"/>
  <c r="R704"/>
  <c r="R685"/>
  <c r="R669"/>
  <c r="R619"/>
  <c r="R613"/>
  <c r="R609"/>
  <c r="R590"/>
  <c r="R584"/>
  <c r="R530"/>
  <c r="R504"/>
  <c r="R474"/>
  <c r="Q426"/>
  <c r="Q1243" s="1"/>
  <c r="R407"/>
  <c r="R403"/>
  <c r="R394"/>
  <c r="R362"/>
  <c r="R358"/>
  <c r="R308"/>
  <c r="R303"/>
  <c r="R291"/>
  <c r="R285"/>
  <c r="R259"/>
  <c r="R257"/>
  <c r="R252"/>
  <c r="R234"/>
  <c r="R145"/>
  <c r="R143"/>
  <c r="Q1252"/>
  <c r="Q1249"/>
  <c r="Q1248"/>
  <c r="Q1240"/>
  <c r="Q1239"/>
  <c r="Q1238"/>
  <c r="Q1234"/>
  <c r="Q1233"/>
  <c r="Q1232"/>
  <c r="Q1231"/>
  <c r="Q1202"/>
  <c r="Q1201"/>
  <c r="Q1190"/>
  <c r="Q1138"/>
  <c r="Q1115"/>
  <c r="Q1091"/>
  <c r="Q1055"/>
  <c r="Q1050"/>
  <c r="Q1020"/>
  <c r="Q1015"/>
  <c r="Q1001"/>
  <c r="Q980"/>
  <c r="Q968"/>
  <c r="Q953"/>
  <c r="Q918"/>
  <c r="Q896"/>
  <c r="Q878"/>
  <c r="Q853"/>
  <c r="Q851"/>
  <c r="Q812"/>
  <c r="Q790"/>
  <c r="Q757"/>
  <c r="Q567"/>
  <c r="Q704"/>
  <c r="Q685"/>
  <c r="Q669"/>
  <c r="Q619"/>
  <c r="Q613"/>
  <c r="Q609"/>
  <c r="Q590"/>
  <c r="Q584"/>
  <c r="Q530"/>
  <c r="Q504"/>
  <c r="Q474"/>
  <c r="Q467"/>
  <c r="Q460"/>
  <c r="Q407"/>
  <c r="Q394"/>
  <c r="Q362"/>
  <c r="Q358"/>
  <c r="Q342"/>
  <c r="Q308"/>
  <c r="Q303"/>
  <c r="Q291"/>
  <c r="Q285"/>
  <c r="Q259"/>
  <c r="Q257"/>
  <c r="Q252"/>
  <c r="Q234"/>
  <c r="Q145"/>
  <c r="Q143"/>
  <c r="P1252"/>
  <c r="P1249"/>
  <c r="P1248"/>
  <c r="P1240"/>
  <c r="P1239"/>
  <c r="P1238"/>
  <c r="P1234"/>
  <c r="P1233"/>
  <c r="P1232"/>
  <c r="P1231"/>
  <c r="P1202"/>
  <c r="P1201"/>
  <c r="P1190"/>
  <c r="P1138"/>
  <c r="P1115"/>
  <c r="P1091"/>
  <c r="P1055"/>
  <c r="P1050"/>
  <c r="P1020"/>
  <c r="P1001"/>
  <c r="P980"/>
  <c r="P968"/>
  <c r="P953"/>
  <c r="P941"/>
  <c r="P1153"/>
  <c r="P1151"/>
  <c r="P918"/>
  <c r="P896"/>
  <c r="P878"/>
  <c r="P853"/>
  <c r="Q852"/>
  <c r="R852" s="1"/>
  <c r="S852" s="1"/>
  <c r="P851"/>
  <c r="Q839"/>
  <c r="R839" s="1"/>
  <c r="S839" s="1"/>
  <c r="T839" s="1"/>
  <c r="Q816"/>
  <c r="P812"/>
  <c r="P790"/>
  <c r="P769"/>
  <c r="P757"/>
  <c r="P704"/>
  <c r="Q692"/>
  <c r="R692" s="1"/>
  <c r="S692" s="1"/>
  <c r="Q690"/>
  <c r="R690" s="1"/>
  <c r="S690" s="1"/>
  <c r="P685"/>
  <c r="Q684"/>
  <c r="R684" s="1"/>
  <c r="S684" s="1"/>
  <c r="P672"/>
  <c r="P619"/>
  <c r="P613"/>
  <c r="P609"/>
  <c r="Q598"/>
  <c r="R598" s="1"/>
  <c r="S598" s="1"/>
  <c r="P590"/>
  <c r="P584"/>
  <c r="P530"/>
  <c r="P504"/>
  <c r="P474"/>
  <c r="P804"/>
  <c r="P407"/>
  <c r="P403"/>
  <c r="P440" s="1"/>
  <c r="P362"/>
  <c r="P358"/>
  <c r="P342"/>
  <c r="P308"/>
  <c r="P303"/>
  <c r="P291"/>
  <c r="P285"/>
  <c r="P259"/>
  <c r="P257"/>
  <c r="P252"/>
  <c r="P234"/>
  <c r="P1196" s="1"/>
  <c r="Q222"/>
  <c r="R222" s="1"/>
  <c r="S222" s="1"/>
  <c r="P216"/>
  <c r="Q216" s="1"/>
  <c r="R216" s="1"/>
  <c r="S216" s="1"/>
  <c r="Q209"/>
  <c r="R209" s="1"/>
  <c r="S209" s="1"/>
  <c r="Q190"/>
  <c r="R190" s="1"/>
  <c r="S190" s="1"/>
  <c r="Q161"/>
  <c r="R161" s="1"/>
  <c r="S161" s="1"/>
  <c r="P145"/>
  <c r="P143"/>
  <c r="Q93"/>
  <c r="R93" s="1"/>
  <c r="S93" s="1"/>
  <c r="G14" i="40"/>
  <c r="Q79" i="36"/>
  <c r="R79" s="1"/>
  <c r="S79" s="1"/>
  <c r="P229"/>
  <c r="P1158"/>
  <c r="L1249"/>
  <c r="L1248"/>
  <c r="L1245"/>
  <c r="L1244"/>
  <c r="L1243"/>
  <c r="L1240"/>
  <c r="L1239"/>
  <c r="L1238"/>
  <c r="L1237"/>
  <c r="L1234"/>
  <c r="L1233"/>
  <c r="L1232"/>
  <c r="L1231"/>
  <c r="L1202"/>
  <c r="L1201"/>
  <c r="L1207"/>
  <c r="L1158"/>
  <c r="L1153"/>
  <c r="L1151"/>
  <c r="L1148"/>
  <c r="L1149" s="1"/>
  <c r="L1138"/>
  <c r="L1131"/>
  <c r="L1130"/>
  <c r="L1129"/>
  <c r="L1115"/>
  <c r="L1114"/>
  <c r="L1099"/>
  <c r="L1098"/>
  <c r="L1097"/>
  <c r="L1096"/>
  <c r="L1095"/>
  <c r="L1094"/>
  <c r="L1092"/>
  <c r="L1091"/>
  <c r="L1090"/>
  <c r="L1089"/>
  <c r="L1088"/>
  <c r="L1087"/>
  <c r="L308"/>
  <c r="L291"/>
  <c r="L229"/>
  <c r="L223"/>
  <c r="L191"/>
  <c r="L163"/>
  <c r="L119"/>
  <c r="L98"/>
  <c r="L59"/>
  <c r="G165" i="40" l="1"/>
  <c r="Q223" i="36"/>
  <c r="H19" i="51"/>
  <c r="H258" i="39"/>
  <c r="L1247" i="36"/>
  <c r="L1230"/>
  <c r="L1236"/>
  <c r="L1242"/>
  <c r="H14" i="40"/>
  <c r="I14"/>
  <c r="H213" i="39"/>
  <c r="Q387" i="36"/>
  <c r="J14" i="40"/>
  <c r="S1196" i="36"/>
  <c r="S1207" s="1"/>
  <c r="R1196"/>
  <c r="R1207" s="1"/>
  <c r="Q1196"/>
  <c r="Q1207" s="1"/>
  <c r="P647"/>
  <c r="G366" i="39"/>
  <c r="I366"/>
  <c r="H202"/>
  <c r="H366"/>
  <c r="I202"/>
  <c r="R1061" i="36"/>
  <c r="S364"/>
  <c r="P364"/>
  <c r="Q615"/>
  <c r="P920"/>
  <c r="Q920"/>
  <c r="S434"/>
  <c r="S436" s="1"/>
  <c r="J358" i="39"/>
  <c r="S920" i="36"/>
  <c r="L960"/>
  <c r="H358" i="39"/>
  <c r="Q364" i="36"/>
  <c r="Q1061"/>
  <c r="S1061"/>
  <c r="Q707"/>
  <c r="R816"/>
  <c r="L313"/>
  <c r="L901"/>
  <c r="P434"/>
  <c r="G358" i="39"/>
  <c r="Q941" i="36"/>
  <c r="R364"/>
  <c r="I358" i="39"/>
  <c r="R920" i="36"/>
  <c r="S396"/>
  <c r="L1160"/>
  <c r="L1182" s="1"/>
  <c r="P396"/>
  <c r="P505"/>
  <c r="P1106" s="1"/>
  <c r="I211" i="39"/>
  <c r="R434" i="36"/>
  <c r="R436" s="1"/>
  <c r="H211" i="39"/>
  <c r="Q434" i="36"/>
  <c r="L1141"/>
  <c r="G211" i="39"/>
  <c r="Q1244" i="36"/>
  <c r="G206" i="39"/>
  <c r="P1245" i="36"/>
  <c r="P1207"/>
  <c r="L736"/>
  <c r="R1220"/>
  <c r="P1136"/>
  <c r="J366" i="39"/>
  <c r="Q246" i="36"/>
  <c r="H364" i="39"/>
  <c r="I364"/>
  <c r="S672" i="36"/>
  <c r="S266"/>
  <c r="Q672"/>
  <c r="Q266"/>
  <c r="R672"/>
  <c r="R266"/>
  <c r="C364" i="39"/>
  <c r="J211"/>
  <c r="G364"/>
  <c r="J364"/>
  <c r="P1237" i="36"/>
  <c r="Q1237"/>
  <c r="Q1236" s="1"/>
  <c r="S804"/>
  <c r="Q804"/>
  <c r="P268"/>
  <c r="R1036"/>
  <c r="I709" i="39"/>
  <c r="Q1036" i="36"/>
  <c r="H709" i="39"/>
  <c r="C709"/>
  <c r="P1036" i="36"/>
  <c r="G709" i="39"/>
  <c r="S1036" i="36"/>
  <c r="J709" i="39"/>
  <c r="Q360" i="36"/>
  <c r="P1145"/>
  <c r="P98"/>
  <c r="P1143"/>
  <c r="Q1140"/>
  <c r="P1141"/>
  <c r="S1208"/>
  <c r="S478"/>
  <c r="S1203"/>
  <c r="S1247"/>
  <c r="R771"/>
  <c r="L310"/>
  <c r="L231"/>
  <c r="P982"/>
  <c r="R790"/>
  <c r="L733"/>
  <c r="P898"/>
  <c r="Q403"/>
  <c r="Q440" s="1"/>
  <c r="R470"/>
  <c r="S771"/>
  <c r="S982"/>
  <c r="L898"/>
  <c r="Q1003"/>
  <c r="Q1247"/>
  <c r="L982"/>
  <c r="R478"/>
  <c r="R1003"/>
  <c r="L957"/>
  <c r="L1117"/>
  <c r="P1148"/>
  <c r="P1149" s="1"/>
  <c r="P1208"/>
  <c r="Q267"/>
  <c r="Q771"/>
  <c r="P545"/>
  <c r="P1003"/>
  <c r="P1061"/>
  <c r="P1203"/>
  <c r="Q1203"/>
  <c r="L436"/>
  <c r="L1208"/>
  <c r="P569"/>
  <c r="Q490"/>
  <c r="R268"/>
  <c r="S293"/>
  <c r="P265"/>
  <c r="Q236"/>
  <c r="R1153"/>
  <c r="R267"/>
  <c r="R545"/>
  <c r="S470"/>
  <c r="L350"/>
  <c r="L856"/>
  <c r="P470"/>
  <c r="P478"/>
  <c r="Q268"/>
  <c r="Q478"/>
  <c r="Q545"/>
  <c r="R293"/>
  <c r="R982"/>
  <c r="R1203"/>
  <c r="S1230"/>
  <c r="Q293"/>
  <c r="Q982"/>
  <c r="R1247"/>
  <c r="S545"/>
  <c r="S790"/>
  <c r="L269"/>
  <c r="L1206"/>
  <c r="L1203"/>
  <c r="P348"/>
  <c r="P1247"/>
  <c r="Q310"/>
  <c r="R310"/>
  <c r="R1208"/>
  <c r="S265"/>
  <c r="S268"/>
  <c r="S1242"/>
  <c r="Q1148"/>
  <c r="Q1149" s="1"/>
  <c r="L366"/>
  <c r="L1133"/>
  <c r="P771"/>
  <c r="Q1157"/>
  <c r="Q898"/>
  <c r="R1236"/>
  <c r="S310"/>
  <c r="S505"/>
  <c r="S1106" s="1"/>
  <c r="S1236"/>
  <c r="P817"/>
  <c r="Q562"/>
  <c r="R265"/>
  <c r="R505"/>
  <c r="R1106" s="1"/>
  <c r="R1251"/>
  <c r="S898"/>
  <c r="S1251"/>
  <c r="L507"/>
  <c r="L545"/>
  <c r="L771"/>
  <c r="L1003"/>
  <c r="P310"/>
  <c r="P955"/>
  <c r="P1230"/>
  <c r="Q334"/>
  <c r="Q1208"/>
  <c r="Q1230"/>
  <c r="R898"/>
  <c r="R1230"/>
  <c r="S1003"/>
  <c r="S360"/>
  <c r="S490"/>
  <c r="R490"/>
  <c r="R1244"/>
  <c r="R360"/>
  <c r="Q1251"/>
  <c r="Q470"/>
  <c r="Q505"/>
  <c r="Q1106" s="1"/>
  <c r="Q265"/>
  <c r="P223"/>
  <c r="P119"/>
  <c r="P191"/>
  <c r="P360"/>
  <c r="P731"/>
  <c r="P854"/>
  <c r="P293"/>
  <c r="P1157"/>
  <c r="P1160" s="1"/>
  <c r="P1182" s="1"/>
  <c r="P1244"/>
  <c r="P1251"/>
  <c r="L296"/>
  <c r="L293"/>
  <c r="L1101"/>
  <c r="L1198"/>
  <c r="R246" l="1"/>
  <c r="H165" i="40"/>
  <c r="R223" i="36"/>
  <c r="P1242"/>
  <c r="P511"/>
  <c r="Q511" s="1"/>
  <c r="R511" s="1"/>
  <c r="S511" s="1"/>
  <c r="L1161"/>
  <c r="L1166"/>
  <c r="L1167" s="1"/>
  <c r="P515"/>
  <c r="Q515" s="1"/>
  <c r="R515" s="1"/>
  <c r="S515" s="1"/>
  <c r="P513"/>
  <c r="Q513" s="1"/>
  <c r="R513" s="1"/>
  <c r="S513" s="1"/>
  <c r="Q1076"/>
  <c r="P442"/>
  <c r="P1076"/>
  <c r="S1076"/>
  <c r="R1076"/>
  <c r="Q647"/>
  <c r="Q1063"/>
  <c r="L1063"/>
  <c r="R1063"/>
  <c r="R1082" s="1"/>
  <c r="P350"/>
  <c r="P1073" s="1"/>
  <c r="S1077"/>
  <c r="R1123"/>
  <c r="P547"/>
  <c r="R1124"/>
  <c r="Q1124"/>
  <c r="L1079"/>
  <c r="L1072"/>
  <c r="Q1038"/>
  <c r="S816"/>
  <c r="R707"/>
  <c r="R731" s="1"/>
  <c r="R615"/>
  <c r="P366"/>
  <c r="S366"/>
  <c r="R1108"/>
  <c r="H135" i="39"/>
  <c r="P957" i="36"/>
  <c r="P1122" s="1"/>
  <c r="R1072"/>
  <c r="Q1077"/>
  <c r="L1073"/>
  <c r="L438"/>
  <c r="P1005"/>
  <c r="L1122"/>
  <c r="S1123"/>
  <c r="P1108"/>
  <c r="R1038"/>
  <c r="R396"/>
  <c r="Q396"/>
  <c r="P295"/>
  <c r="P312"/>
  <c r="Q1072"/>
  <c r="Q1071"/>
  <c r="L1071"/>
  <c r="R366"/>
  <c r="L1077"/>
  <c r="S1108"/>
  <c r="L1074"/>
  <c r="Q1123"/>
  <c r="R1071"/>
  <c r="S1071"/>
  <c r="P1063"/>
  <c r="P1082" s="1"/>
  <c r="L1123"/>
  <c r="R440"/>
  <c r="P984"/>
  <c r="Q366"/>
  <c r="S1038"/>
  <c r="S1220"/>
  <c r="S1226" s="1"/>
  <c r="S1063"/>
  <c r="L1124"/>
  <c r="Q1108"/>
  <c r="P1038"/>
  <c r="S1124"/>
  <c r="S1072"/>
  <c r="R1077"/>
  <c r="L1108"/>
  <c r="R941"/>
  <c r="Q731"/>
  <c r="Q733" s="1"/>
  <c r="L652"/>
  <c r="P1166"/>
  <c r="P1167" s="1"/>
  <c r="P1236"/>
  <c r="P1161"/>
  <c r="P231"/>
  <c r="P436"/>
  <c r="I206" i="39"/>
  <c r="H206"/>
  <c r="P1198" i="36"/>
  <c r="R1140"/>
  <c r="L861"/>
  <c r="P733"/>
  <c r="R1221"/>
  <c r="R1226"/>
  <c r="P1214"/>
  <c r="R236"/>
  <c r="Q1136"/>
  <c r="Q1185"/>
  <c r="P1185"/>
  <c r="S1185"/>
  <c r="L649"/>
  <c r="Q1145"/>
  <c r="R1145"/>
  <c r="R1245"/>
  <c r="R1242" s="1"/>
  <c r="Q1143"/>
  <c r="R1143"/>
  <c r="Q1245"/>
  <c r="Q1242" s="1"/>
  <c r="Q1080"/>
  <c r="L1080"/>
  <c r="S1080"/>
  <c r="P773"/>
  <c r="R1080"/>
  <c r="R1185"/>
  <c r="L1038"/>
  <c r="P1123"/>
  <c r="P1124"/>
  <c r="P1080"/>
  <c r="P1077"/>
  <c r="P1072"/>
  <c r="L1209"/>
  <c r="Q1206"/>
  <c r="Q1209" s="1"/>
  <c r="Q1141"/>
  <c r="L272"/>
  <c r="P269"/>
  <c r="P1206"/>
  <c r="P1209" s="1"/>
  <c r="Q436"/>
  <c r="L858"/>
  <c r="P649"/>
  <c r="P59"/>
  <c r="Q1153"/>
  <c r="S1153"/>
  <c r="S438"/>
  <c r="L509"/>
  <c r="Q854"/>
  <c r="Q348"/>
  <c r="R334"/>
  <c r="Q817"/>
  <c r="Q98"/>
  <c r="Q119" s="1"/>
  <c r="Q1158"/>
  <c r="Q1160" s="1"/>
  <c r="Q1182" s="1"/>
  <c r="P507"/>
  <c r="S507"/>
  <c r="Q1151"/>
  <c r="R562"/>
  <c r="Q569"/>
  <c r="R1148"/>
  <c r="R1149" s="1"/>
  <c r="Q955"/>
  <c r="R507"/>
  <c r="Q507"/>
  <c r="P1071"/>
  <c r="P856"/>
  <c r="P163"/>
  <c r="S246" l="1"/>
  <c r="J165" i="40" s="1"/>
  <c r="I165"/>
  <c r="P517" i="36"/>
  <c r="R647"/>
  <c r="L277"/>
  <c r="Q1082"/>
  <c r="Q312"/>
  <c r="R312" s="1"/>
  <c r="Q984"/>
  <c r="R984" s="1"/>
  <c r="Q1081"/>
  <c r="S1221"/>
  <c r="L1126"/>
  <c r="L1082"/>
  <c r="R1136"/>
  <c r="Q1005"/>
  <c r="R1005" s="1"/>
  <c r="Q295"/>
  <c r="R295" s="1"/>
  <c r="L1075"/>
  <c r="Q547"/>
  <c r="P1040"/>
  <c r="R509"/>
  <c r="P509"/>
  <c r="S1075"/>
  <c r="Q1079"/>
  <c r="P735"/>
  <c r="Q735" s="1"/>
  <c r="S1082"/>
  <c r="S1081"/>
  <c r="P959"/>
  <c r="S707"/>
  <c r="P438"/>
  <c r="I135" i="39"/>
  <c r="S440" i="36"/>
  <c r="P1065"/>
  <c r="R1074"/>
  <c r="L1081"/>
  <c r="R1081"/>
  <c r="S509"/>
  <c r="Q509"/>
  <c r="Q957"/>
  <c r="L1078"/>
  <c r="S941"/>
  <c r="Q1074"/>
  <c r="S1074"/>
  <c r="P1074"/>
  <c r="S615"/>
  <c r="P352"/>
  <c r="P1081"/>
  <c r="P1183"/>
  <c r="Q1183"/>
  <c r="Q1166"/>
  <c r="Q1167" s="1"/>
  <c r="Q1161"/>
  <c r="P651"/>
  <c r="Q1214"/>
  <c r="Q1216" s="1"/>
  <c r="P1079"/>
  <c r="R733"/>
  <c r="Q649"/>
  <c r="P1225"/>
  <c r="P1227" s="1"/>
  <c r="P1216"/>
  <c r="S236"/>
  <c r="Q773"/>
  <c r="L1107"/>
  <c r="L1110" s="1"/>
  <c r="Q269"/>
  <c r="P1126"/>
  <c r="P1078"/>
  <c r="Q350"/>
  <c r="Q442"/>
  <c r="P444"/>
  <c r="P272"/>
  <c r="R1141"/>
  <c r="Q438"/>
  <c r="L274"/>
  <c r="R438"/>
  <c r="R1158"/>
  <c r="R1151"/>
  <c r="S1151"/>
  <c r="R955"/>
  <c r="Q163"/>
  <c r="Q191" s="1"/>
  <c r="R98"/>
  <c r="R119" s="1"/>
  <c r="R348"/>
  <c r="S334"/>
  <c r="R854"/>
  <c r="S854"/>
  <c r="S1148"/>
  <c r="S1149" s="1"/>
  <c r="R569"/>
  <c r="S562"/>
  <c r="Q1198"/>
  <c r="Q856"/>
  <c r="R1157"/>
  <c r="S1145"/>
  <c r="R817"/>
  <c r="P858"/>
  <c r="T394"/>
  <c r="S1140" l="1"/>
  <c r="S1141" s="1"/>
  <c r="S647"/>
  <c r="S1136"/>
  <c r="Q959"/>
  <c r="R547"/>
  <c r="R649"/>
  <c r="R1075"/>
  <c r="Q1122"/>
  <c r="Q1126" s="1"/>
  <c r="S312"/>
  <c r="P1075"/>
  <c r="S731"/>
  <c r="S295"/>
  <c r="R957"/>
  <c r="R442"/>
  <c r="T396"/>
  <c r="S569"/>
  <c r="Q1078"/>
  <c r="R1079"/>
  <c r="P652"/>
  <c r="Q1065"/>
  <c r="S984"/>
  <c r="Q1040"/>
  <c r="S1005"/>
  <c r="S348"/>
  <c r="J135" i="39"/>
  <c r="Q1075" i="36"/>
  <c r="Q1225"/>
  <c r="Q1227" s="1"/>
  <c r="R735"/>
  <c r="Q651"/>
  <c r="R163"/>
  <c r="R191" s="1"/>
  <c r="R1214"/>
  <c r="R1225" s="1"/>
  <c r="S1143"/>
  <c r="S98"/>
  <c r="P860"/>
  <c r="Q1073"/>
  <c r="Q352"/>
  <c r="R773"/>
  <c r="R269"/>
  <c r="S269"/>
  <c r="P274"/>
  <c r="L1070"/>
  <c r="L1084" s="1"/>
  <c r="R1160"/>
  <c r="R1182" s="1"/>
  <c r="R856"/>
  <c r="S955"/>
  <c r="Q858"/>
  <c r="R350"/>
  <c r="R1206"/>
  <c r="R1209" s="1"/>
  <c r="R1198"/>
  <c r="S817"/>
  <c r="S1157"/>
  <c r="S119"/>
  <c r="S1158"/>
  <c r="P1107"/>
  <c r="P1110" s="1"/>
  <c r="R1122" l="1"/>
  <c r="R1126" s="1"/>
  <c r="R959"/>
  <c r="S547"/>
  <c r="R1073"/>
  <c r="S733"/>
  <c r="S735" s="1"/>
  <c r="R1040"/>
  <c r="S649"/>
  <c r="S957"/>
  <c r="R1065"/>
  <c r="R858"/>
  <c r="S350"/>
  <c r="S442"/>
  <c r="R1078"/>
  <c r="R1166"/>
  <c r="R1167" s="1"/>
  <c r="R1161"/>
  <c r="R1213"/>
  <c r="R1216" s="1"/>
  <c r="R651"/>
  <c r="S163"/>
  <c r="S191" s="1"/>
  <c r="S1214"/>
  <c r="S1225" s="1"/>
  <c r="R352"/>
  <c r="Q860"/>
  <c r="P276"/>
  <c r="S773"/>
  <c r="P1070"/>
  <c r="P1084" s="1"/>
  <c r="S856"/>
  <c r="Q1107"/>
  <c r="Q1110" s="1"/>
  <c r="S1160"/>
  <c r="S1182" s="1"/>
  <c r="S1206"/>
  <c r="S1209" s="1"/>
  <c r="S1198"/>
  <c r="S651" l="1"/>
  <c r="R1107"/>
  <c r="R1110" s="1"/>
  <c r="S959"/>
  <c r="S352"/>
  <c r="S1065"/>
  <c r="S1040"/>
  <c r="S1122"/>
  <c r="S1126" s="1"/>
  <c r="S1079"/>
  <c r="S1073"/>
  <c r="R860"/>
  <c r="S1078"/>
  <c r="R1183"/>
  <c r="S1166"/>
  <c r="S1167" s="1"/>
  <c r="S1161"/>
  <c r="R1224"/>
  <c r="R1227" s="1"/>
  <c r="S1213"/>
  <c r="S1224" s="1"/>
  <c r="S1227" s="1"/>
  <c r="S223"/>
  <c r="S858"/>
  <c r="S1183" l="1"/>
  <c r="S1216"/>
  <c r="S860"/>
  <c r="S1107"/>
  <c r="S1110" s="1"/>
  <c r="D703" i="39"/>
  <c r="E703"/>
  <c r="F703"/>
  <c r="G703"/>
  <c r="H703"/>
  <c r="I703"/>
  <c r="J703"/>
  <c r="K703"/>
  <c r="C703"/>
  <c r="T1020" i="36"/>
  <c r="T1036" l="1"/>
  <c r="K709" i="39"/>
  <c r="M1252" i="36"/>
  <c r="T1252"/>
  <c r="M1251" l="1"/>
  <c r="T1251"/>
  <c r="E49" i="51"/>
  <c r="E47"/>
  <c r="C47"/>
  <c r="E45"/>
  <c r="E38"/>
  <c r="D38"/>
  <c r="C38"/>
  <c r="E37"/>
  <c r="D37"/>
  <c r="C37"/>
  <c r="E31"/>
  <c r="D31"/>
  <c r="C31"/>
  <c r="K30"/>
  <c r="J30"/>
  <c r="G30"/>
  <c r="F30"/>
  <c r="E30"/>
  <c r="D30"/>
  <c r="C30"/>
  <c r="K29"/>
  <c r="J29"/>
  <c r="I29"/>
  <c r="H29"/>
  <c r="G29"/>
  <c r="F29"/>
  <c r="E29"/>
  <c r="D29"/>
  <c r="C29"/>
  <c r="K28"/>
  <c r="J28"/>
  <c r="I28"/>
  <c r="H28"/>
  <c r="G28"/>
  <c r="F28"/>
  <c r="E28"/>
  <c r="D28"/>
  <c r="C28"/>
  <c r="F24"/>
  <c r="E24"/>
  <c r="D24"/>
  <c r="C24"/>
  <c r="E23"/>
  <c r="D23"/>
  <c r="C23"/>
  <c r="K18"/>
  <c r="J18"/>
  <c r="I18"/>
  <c r="H18"/>
  <c r="G18"/>
  <c r="F18"/>
  <c r="E18"/>
  <c r="D18"/>
  <c r="C18"/>
  <c r="K17"/>
  <c r="J17"/>
  <c r="I17"/>
  <c r="H17"/>
  <c r="G17"/>
  <c r="F17"/>
  <c r="E17"/>
  <c r="D17"/>
  <c r="C17"/>
  <c r="F15"/>
  <c r="E15"/>
  <c r="D15"/>
  <c r="C15"/>
  <c r="K14"/>
  <c r="J14"/>
  <c r="I14"/>
  <c r="H14"/>
  <c r="G14"/>
  <c r="F14"/>
  <c r="E14"/>
  <c r="D14"/>
  <c r="C14"/>
  <c r="K13"/>
  <c r="J13"/>
  <c r="I13"/>
  <c r="H13"/>
  <c r="G13"/>
  <c r="F13"/>
  <c r="E13"/>
  <c r="D13"/>
  <c r="C13"/>
  <c r="M1249" i="36"/>
  <c r="T1249"/>
  <c r="M1248"/>
  <c r="T1248"/>
  <c r="M1245"/>
  <c r="T1245"/>
  <c r="M1244"/>
  <c r="T1244"/>
  <c r="M1243"/>
  <c r="M1242" l="1"/>
  <c r="M1247"/>
  <c r="D20" i="51"/>
  <c r="C25"/>
  <c r="E25"/>
  <c r="D39"/>
  <c r="D32"/>
  <c r="F20"/>
  <c r="C20"/>
  <c r="E39"/>
  <c r="C39"/>
  <c r="C32"/>
  <c r="E20"/>
  <c r="E32"/>
  <c r="D25"/>
  <c r="T1247" i="36"/>
  <c r="T1242"/>
  <c r="C41" i="51" l="1"/>
  <c r="C43" s="1"/>
  <c r="D41"/>
  <c r="E41"/>
  <c r="D43" l="1"/>
  <c r="E43"/>
  <c r="M1240" i="36" l="1"/>
  <c r="T1240"/>
  <c r="M1239"/>
  <c r="T1239"/>
  <c r="M1238"/>
  <c r="T1238"/>
  <c r="M1237"/>
  <c r="T1237"/>
  <c r="T1236" l="1"/>
  <c r="M1236"/>
  <c r="T334" l="1"/>
  <c r="T953"/>
  <c r="K135" i="39" l="1"/>
  <c r="G15" i="51"/>
  <c r="M291" i="36" l="1"/>
  <c r="T161"/>
  <c r="T684" l="1"/>
  <c r="D450" i="39"/>
  <c r="E450"/>
  <c r="F450"/>
  <c r="G450"/>
  <c r="H450"/>
  <c r="I450"/>
  <c r="J450"/>
  <c r="K450"/>
  <c r="C450"/>
  <c r="J15" i="51" l="1"/>
  <c r="J20" s="1"/>
  <c r="D749" i="39"/>
  <c r="E749"/>
  <c r="F749"/>
  <c r="G749"/>
  <c r="H749"/>
  <c r="I749"/>
  <c r="J749"/>
  <c r="T1055" i="36"/>
  <c r="C749" i="39"/>
  <c r="K749" l="1"/>
  <c r="T93" i="36"/>
  <c r="T941"/>
  <c r="T852"/>
  <c r="T816"/>
  <c r="T246"/>
  <c r="H15" i="51" l="1"/>
  <c r="T692" i="36"/>
  <c r="T598"/>
  <c r="D315" i="39" l="1"/>
  <c r="E315"/>
  <c r="F315"/>
  <c r="G315"/>
  <c r="H315"/>
  <c r="I315"/>
  <c r="J315"/>
  <c r="K315"/>
  <c r="C315"/>
  <c r="G31" i="51" l="1"/>
  <c r="G32" s="1"/>
  <c r="F37"/>
  <c r="H31"/>
  <c r="I31"/>
  <c r="J31"/>
  <c r="J32" s="1"/>
  <c r="K31"/>
  <c r="K32" s="1"/>
  <c r="F31"/>
  <c r="F32" s="1"/>
  <c r="G37"/>
  <c r="H37"/>
  <c r="I37"/>
  <c r="J37"/>
  <c r="K37"/>
  <c r="D449" i="39"/>
  <c r="E449"/>
  <c r="F449"/>
  <c r="G449"/>
  <c r="H449"/>
  <c r="I449"/>
  <c r="J449"/>
  <c r="K449"/>
  <c r="C449"/>
  <c r="D262"/>
  <c r="E262"/>
  <c r="C262"/>
  <c r="M505" i="36"/>
  <c r="M1106" s="1"/>
  <c r="M478"/>
  <c r="M403"/>
  <c r="D742" i="39" l="1"/>
  <c r="E742"/>
  <c r="F742"/>
  <c r="G742"/>
  <c r="H742"/>
  <c r="I742"/>
  <c r="J742"/>
  <c r="K742"/>
  <c r="C742"/>
  <c r="T619" i="36" l="1"/>
  <c r="T460"/>
  <c r="I30" i="51"/>
  <c r="I32" s="1"/>
  <c r="H30"/>
  <c r="H32" s="1"/>
  <c r="J24"/>
  <c r="I24"/>
  <c r="K366" i="39" l="1"/>
  <c r="K24" i="51"/>
  <c r="K15"/>
  <c r="K20" s="1"/>
  <c r="I15"/>
  <c r="H20"/>
  <c r="H24"/>
  <c r="G24"/>
  <c r="T1219" i="36" l="1"/>
  <c r="I20" i="51"/>
  <c r="T1215" i="36" l="1"/>
  <c r="D585" i="39" l="1"/>
  <c r="C585"/>
  <c r="D459"/>
  <c r="E459"/>
  <c r="F459"/>
  <c r="G459"/>
  <c r="H459"/>
  <c r="I459"/>
  <c r="J459"/>
  <c r="K459"/>
  <c r="C459"/>
  <c r="G585" l="1"/>
  <c r="F585" l="1"/>
  <c r="E585"/>
  <c r="T1140" i="36" l="1"/>
  <c r="D543" i="39"/>
  <c r="E543"/>
  <c r="F543"/>
  <c r="G543"/>
  <c r="H543"/>
  <c r="I543"/>
  <c r="J543"/>
  <c r="K543"/>
  <c r="C543"/>
  <c r="D254"/>
  <c r="E254"/>
  <c r="F254"/>
  <c r="C254"/>
  <c r="T804" i="36" l="1"/>
  <c r="D404" i="39" l="1"/>
  <c r="E404"/>
  <c r="C404"/>
  <c r="D257"/>
  <c r="E257"/>
  <c r="F257"/>
  <c r="G257"/>
  <c r="H257"/>
  <c r="I257"/>
  <c r="J257"/>
  <c r="K257"/>
  <c r="C257"/>
  <c r="M672" i="36"/>
  <c r="H38" i="51" l="1"/>
  <c r="H39" s="1"/>
  <c r="G38"/>
  <c r="G39" s="1"/>
  <c r="T504" i="36"/>
  <c r="T690"/>
  <c r="I38" i="51" l="1"/>
  <c r="I39" s="1"/>
  <c r="G20"/>
  <c r="J38"/>
  <c r="J39" s="1"/>
  <c r="T505" i="36"/>
  <c r="T1106" s="1"/>
  <c r="K38" i="51"/>
  <c r="K39" s="1"/>
  <c r="G254" i="39"/>
  <c r="K14" i="40" l="1"/>
  <c r="T209" i="36"/>
  <c r="T216"/>
  <c r="T615"/>
  <c r="H254" i="39" l="1"/>
  <c r="K254"/>
  <c r="J254"/>
  <c r="I254"/>
  <c r="D212" l="1"/>
  <c r="E212"/>
  <c r="F212"/>
  <c r="G212"/>
  <c r="F63" i="43" s="1"/>
  <c r="H212" i="39"/>
  <c r="I212"/>
  <c r="J212"/>
  <c r="K212"/>
  <c r="C212"/>
  <c r="T707" i="36"/>
  <c r="T222"/>
  <c r="G23" i="51" l="1"/>
  <c r="G25" s="1"/>
  <c r="H23"/>
  <c r="H25" s="1"/>
  <c r="I23"/>
  <c r="I25" s="1"/>
  <c r="J23"/>
  <c r="J25" s="1"/>
  <c r="T474" i="36"/>
  <c r="F23" i="51"/>
  <c r="F25" s="1"/>
  <c r="K23" l="1"/>
  <c r="K25" s="1"/>
  <c r="K41" s="1"/>
  <c r="G41"/>
  <c r="G43" s="1"/>
  <c r="I41"/>
  <c r="J41"/>
  <c r="H41"/>
  <c r="I262" i="39"/>
  <c r="J262"/>
  <c r="K262"/>
  <c r="T478" i="36"/>
  <c r="G262" i="39"/>
  <c r="F262"/>
  <c r="H262"/>
  <c r="D134" i="40"/>
  <c r="E134"/>
  <c r="C134"/>
  <c r="T252" i="36"/>
  <c r="T236"/>
  <c r="T1136" s="1"/>
  <c r="T190"/>
  <c r="K43" i="51" l="1"/>
  <c r="H43"/>
  <c r="I43"/>
  <c r="J43"/>
  <c r="T562" i="36"/>
  <c r="F134" i="40"/>
  <c r="T79" i="36"/>
  <c r="T1145" l="1"/>
  <c r="T1143"/>
  <c r="T1220" l="1"/>
  <c r="T1221" s="1"/>
  <c r="T853"/>
  <c r="T1226" l="1"/>
  <c r="F38" i="51"/>
  <c r="F39" s="1"/>
  <c r="T567" i="36"/>
  <c r="F404" i="39"/>
  <c r="T358" i="36"/>
  <c r="T257"/>
  <c r="K165" i="40" s="1"/>
  <c r="K358" i="39" l="1"/>
  <c r="F41" i="51"/>
  <c r="T234" i="36"/>
  <c r="T1196" l="1"/>
  <c r="F43" i="51"/>
  <c r="F51" l="1"/>
  <c r="M1153" i="36"/>
  <c r="T1153"/>
  <c r="M1151"/>
  <c r="T1151"/>
  <c r="D743" i="39"/>
  <c r="E743"/>
  <c r="F743"/>
  <c r="G743"/>
  <c r="H743"/>
  <c r="I743"/>
  <c r="J743"/>
  <c r="K743"/>
  <c r="C743"/>
  <c r="D745"/>
  <c r="E745"/>
  <c r="F745"/>
  <c r="G745"/>
  <c r="H745"/>
  <c r="I745"/>
  <c r="J745"/>
  <c r="K745"/>
  <c r="C745"/>
  <c r="G51" i="51" l="1"/>
  <c r="H51" s="1"/>
  <c r="I51" s="1"/>
  <c r="J51" s="1"/>
  <c r="K51" s="1"/>
  <c r="D207" i="39" l="1"/>
  <c r="E207"/>
  <c r="F207"/>
  <c r="H25" i="43"/>
  <c r="D204" i="39"/>
  <c r="E204"/>
  <c r="F204"/>
  <c r="G204"/>
  <c r="H204"/>
  <c r="I204"/>
  <c r="J204"/>
  <c r="K204"/>
  <c r="D203"/>
  <c r="E203"/>
  <c r="F203"/>
  <c r="G203"/>
  <c r="H203"/>
  <c r="I203"/>
  <c r="J203"/>
  <c r="K203"/>
  <c r="M1141" i="36" l="1"/>
  <c r="T1141"/>
  <c r="J585" i="39" l="1"/>
  <c r="I585"/>
  <c r="H585"/>
  <c r="J207"/>
  <c r="I207"/>
  <c r="H404"/>
  <c r="G404"/>
  <c r="J404"/>
  <c r="I404"/>
  <c r="G134" i="40"/>
  <c r="H207" i="39"/>
  <c r="G207"/>
  <c r="D671"/>
  <c r="E671"/>
  <c r="F671"/>
  <c r="G671"/>
  <c r="H671"/>
  <c r="I671"/>
  <c r="J671"/>
  <c r="K671"/>
  <c r="C671"/>
  <c r="D412" l="1"/>
  <c r="E412"/>
  <c r="F412"/>
  <c r="G412"/>
  <c r="H412"/>
  <c r="I412"/>
  <c r="J412"/>
  <c r="K412"/>
  <c r="C412"/>
  <c r="M1157" i="36" l="1"/>
  <c r="M1160" l="1"/>
  <c r="M980"/>
  <c r="T980"/>
  <c r="M1182" l="1"/>
  <c r="M1161"/>
  <c r="M1166"/>
  <c r="O1161"/>
  <c r="N1161"/>
  <c r="D632" i="39"/>
  <c r="D850" s="1"/>
  <c r="E632"/>
  <c r="E850" s="1"/>
  <c r="F632"/>
  <c r="F850" s="1"/>
  <c r="H632"/>
  <c r="H850" s="1"/>
  <c r="I632"/>
  <c r="I850" s="1"/>
  <c r="J632"/>
  <c r="J850" s="1"/>
  <c r="K632"/>
  <c r="K850" s="1"/>
  <c r="C632"/>
  <c r="C850" s="1"/>
  <c r="M1167" i="36" l="1"/>
  <c r="O1167"/>
  <c r="O1183"/>
  <c r="N1183"/>
  <c r="G632" i="39"/>
  <c r="G850" s="1"/>
  <c r="T685" i="36" l="1"/>
  <c r="T584"/>
  <c r="T407"/>
  <c r="T362"/>
  <c r="T434" l="1"/>
  <c r="K211" i="39"/>
  <c r="D713" l="1"/>
  <c r="E713"/>
  <c r="F713"/>
  <c r="G713"/>
  <c r="H713"/>
  <c r="I713"/>
  <c r="J713"/>
  <c r="K713"/>
  <c r="C713"/>
  <c r="C204"/>
  <c r="G25" i="43" l="1"/>
  <c r="T403" i="36" l="1"/>
  <c r="T440" s="1"/>
  <c r="J63" i="43"/>
  <c r="D132" i="40"/>
  <c r="E132"/>
  <c r="F132"/>
  <c r="G132"/>
  <c r="H132"/>
  <c r="I132"/>
  <c r="J132"/>
  <c r="K132"/>
  <c r="C132"/>
  <c r="D104"/>
  <c r="E104"/>
  <c r="F104"/>
  <c r="G104"/>
  <c r="H104"/>
  <c r="I104"/>
  <c r="J104"/>
  <c r="K104"/>
  <c r="C104"/>
  <c r="E750" i="39"/>
  <c r="E752" s="1"/>
  <c r="D750"/>
  <c r="D752" s="1"/>
  <c r="C750"/>
  <c r="C752" s="1"/>
  <c r="D670"/>
  <c r="E670"/>
  <c r="F670"/>
  <c r="G670"/>
  <c r="E72" i="43" s="1"/>
  <c r="H670" i="39"/>
  <c r="I670"/>
  <c r="J670"/>
  <c r="K670"/>
  <c r="C670"/>
  <c r="D593"/>
  <c r="D851" s="1"/>
  <c r="E593"/>
  <c r="E851" s="1"/>
  <c r="C593"/>
  <c r="C851" s="1"/>
  <c r="D589"/>
  <c r="D846" s="1"/>
  <c r="E589"/>
  <c r="E846" s="1"/>
  <c r="F589"/>
  <c r="F846" s="1"/>
  <c r="G589"/>
  <c r="H589"/>
  <c r="H846" s="1"/>
  <c r="I589"/>
  <c r="I846" s="1"/>
  <c r="J589"/>
  <c r="J846" s="1"/>
  <c r="K589"/>
  <c r="K846" s="1"/>
  <c r="C589"/>
  <c r="C846" s="1"/>
  <c r="D581"/>
  <c r="D838" s="1"/>
  <c r="E581"/>
  <c r="E838" s="1"/>
  <c r="F581"/>
  <c r="F838" s="1"/>
  <c r="G581"/>
  <c r="H581"/>
  <c r="H838" s="1"/>
  <c r="I581"/>
  <c r="I838" s="1"/>
  <c r="J581"/>
  <c r="J838" s="1"/>
  <c r="K581"/>
  <c r="K838" s="1"/>
  <c r="C581"/>
  <c r="C838" s="1"/>
  <c r="D579"/>
  <c r="D835" s="1"/>
  <c r="E579"/>
  <c r="E835" s="1"/>
  <c r="G579"/>
  <c r="H579"/>
  <c r="H835" s="1"/>
  <c r="I579"/>
  <c r="I835" s="1"/>
  <c r="J579"/>
  <c r="J835" s="1"/>
  <c r="K579"/>
  <c r="K835" s="1"/>
  <c r="C579"/>
  <c r="C835" s="1"/>
  <c r="D578"/>
  <c r="E578"/>
  <c r="F578"/>
  <c r="G578"/>
  <c r="C578"/>
  <c r="D538"/>
  <c r="E538"/>
  <c r="F538"/>
  <c r="H538"/>
  <c r="I538"/>
  <c r="J538"/>
  <c r="K538"/>
  <c r="C538"/>
  <c r="D503"/>
  <c r="E503"/>
  <c r="F503"/>
  <c r="H503"/>
  <c r="I503"/>
  <c r="J503"/>
  <c r="K503"/>
  <c r="C503"/>
  <c r="D501"/>
  <c r="E501"/>
  <c r="C501"/>
  <c r="D789"/>
  <c r="E789"/>
  <c r="F789"/>
  <c r="G789"/>
  <c r="H789"/>
  <c r="I789"/>
  <c r="J789"/>
  <c r="K789"/>
  <c r="C789"/>
  <c r="D415"/>
  <c r="E415"/>
  <c r="C415"/>
  <c r="D413"/>
  <c r="D801" s="1"/>
  <c r="E413"/>
  <c r="E801" s="1"/>
  <c r="F413"/>
  <c r="F801" s="1"/>
  <c r="G413"/>
  <c r="H413"/>
  <c r="H801" s="1"/>
  <c r="I413"/>
  <c r="I801" s="1"/>
  <c r="J413"/>
  <c r="J801" s="1"/>
  <c r="K413"/>
  <c r="K801" s="1"/>
  <c r="C413"/>
  <c r="C801" s="1"/>
  <c r="D408"/>
  <c r="E408"/>
  <c r="F408"/>
  <c r="G408"/>
  <c r="H408"/>
  <c r="I408"/>
  <c r="J408"/>
  <c r="K408"/>
  <c r="C408"/>
  <c r="D399"/>
  <c r="E399"/>
  <c r="F399"/>
  <c r="G399"/>
  <c r="H399"/>
  <c r="I399"/>
  <c r="J399"/>
  <c r="K399"/>
  <c r="C399"/>
  <c r="D277"/>
  <c r="E277"/>
  <c r="F277"/>
  <c r="G277"/>
  <c r="H277"/>
  <c r="I277"/>
  <c r="J277"/>
  <c r="K277"/>
  <c r="C277"/>
  <c r="D276"/>
  <c r="E276"/>
  <c r="F276"/>
  <c r="C276"/>
  <c r="D896"/>
  <c r="E896"/>
  <c r="F896"/>
  <c r="G896"/>
  <c r="H896"/>
  <c r="I896"/>
  <c r="J896"/>
  <c r="K896"/>
  <c r="C896"/>
  <c r="D270"/>
  <c r="E270"/>
  <c r="F270"/>
  <c r="C270"/>
  <c r="D269"/>
  <c r="E269"/>
  <c r="F269"/>
  <c r="G269"/>
  <c r="H269"/>
  <c r="I269"/>
  <c r="J269"/>
  <c r="K269"/>
  <c r="C269"/>
  <c r="D267"/>
  <c r="E267"/>
  <c r="F267"/>
  <c r="G267"/>
  <c r="H267"/>
  <c r="I267"/>
  <c r="J267"/>
  <c r="K267"/>
  <c r="C267"/>
  <c r="D263"/>
  <c r="E263"/>
  <c r="F263"/>
  <c r="C263"/>
  <c r="C207"/>
  <c r="D167"/>
  <c r="E167"/>
  <c r="F167"/>
  <c r="G167"/>
  <c r="H167"/>
  <c r="I167"/>
  <c r="J167"/>
  <c r="K167"/>
  <c r="C167"/>
  <c r="E51" i="43"/>
  <c r="D98" i="39"/>
  <c r="E98"/>
  <c r="F98"/>
  <c r="G98"/>
  <c r="H98"/>
  <c r="I98"/>
  <c r="J98"/>
  <c r="K98"/>
  <c r="C98"/>
  <c r="D62"/>
  <c r="E62"/>
  <c r="F62"/>
  <c r="G62"/>
  <c r="H62"/>
  <c r="I62"/>
  <c r="J62"/>
  <c r="K62"/>
  <c r="C62"/>
  <c r="D130"/>
  <c r="E130"/>
  <c r="F130"/>
  <c r="G130"/>
  <c r="I13" i="43" s="1"/>
  <c r="H130" i="39"/>
  <c r="I130"/>
  <c r="J130"/>
  <c r="K130"/>
  <c r="C130"/>
  <c r="D253"/>
  <c r="E253"/>
  <c r="F253"/>
  <c r="G253"/>
  <c r="H253"/>
  <c r="I253"/>
  <c r="J253"/>
  <c r="K253"/>
  <c r="C253"/>
  <c r="D252"/>
  <c r="E252"/>
  <c r="C252"/>
  <c r="C136"/>
  <c r="D137"/>
  <c r="E137"/>
  <c r="C137"/>
  <c r="G538"/>
  <c r="H137"/>
  <c r="J137"/>
  <c r="K137"/>
  <c r="G137"/>
  <c r="F137"/>
  <c r="H750"/>
  <c r="H752" s="1"/>
  <c r="I750"/>
  <c r="I752" s="1"/>
  <c r="J750"/>
  <c r="J752" s="1"/>
  <c r="K750"/>
  <c r="K752" s="1"/>
  <c r="G750"/>
  <c r="G752" s="1"/>
  <c r="F750"/>
  <c r="F752" s="1"/>
  <c r="G835" l="1"/>
  <c r="G838"/>
  <c r="G846"/>
  <c r="H67" i="43"/>
  <c r="H74" s="1"/>
  <c r="G801" i="39"/>
  <c r="C799"/>
  <c r="E799"/>
  <c r="F799"/>
  <c r="D799"/>
  <c r="D897"/>
  <c r="D278"/>
  <c r="C897"/>
  <c r="C278"/>
  <c r="E897"/>
  <c r="E278"/>
  <c r="F897"/>
  <c r="F278"/>
  <c r="F216"/>
  <c r="L10" i="43"/>
  <c r="E216" i="39"/>
  <c r="D216"/>
  <c r="D898"/>
  <c r="I898"/>
  <c r="C898"/>
  <c r="H898"/>
  <c r="F898"/>
  <c r="K898"/>
  <c r="E898"/>
  <c r="J898"/>
  <c r="C216"/>
  <c r="G593"/>
  <c r="H593"/>
  <c r="H851" s="1"/>
  <c r="I593"/>
  <c r="I851" s="1"/>
  <c r="J593"/>
  <c r="J851" s="1"/>
  <c r="K593"/>
  <c r="K851" s="1"/>
  <c r="G851" l="1"/>
  <c r="K207"/>
  <c r="K216"/>
  <c r="H216"/>
  <c r="I216"/>
  <c r="J216"/>
  <c r="T442" i="36"/>
  <c r="G216" i="39" l="1"/>
  <c r="H263"/>
  <c r="H799" s="1"/>
  <c r="I263"/>
  <c r="J263"/>
  <c r="J799" s="1"/>
  <c r="K263"/>
  <c r="K799" s="1"/>
  <c r="G263"/>
  <c r="G799" s="1"/>
  <c r="T291" i="36" l="1"/>
  <c r="M308"/>
  <c r="T308"/>
  <c r="I137" i="39"/>
  <c r="I799" s="1"/>
  <c r="G503" l="1"/>
  <c r="M854" i="36"/>
  <c r="G898" i="39" l="1"/>
  <c r="J52" i="43"/>
  <c r="F579" i="39"/>
  <c r="F835" s="1"/>
  <c r="M1001" i="36" l="1"/>
  <c r="T1001" l="1"/>
  <c r="M348"/>
  <c r="M364"/>
  <c r="T364"/>
  <c r="D491" i="39" l="1"/>
  <c r="E491"/>
  <c r="F491"/>
  <c r="G491"/>
  <c r="H491"/>
  <c r="I491"/>
  <c r="J491"/>
  <c r="K491"/>
  <c r="C491"/>
  <c r="D410"/>
  <c r="E410"/>
  <c r="E365"/>
  <c r="D363"/>
  <c r="E363"/>
  <c r="F363"/>
  <c r="D362"/>
  <c r="E362"/>
  <c r="F362"/>
  <c r="G362"/>
  <c r="H362"/>
  <c r="I362"/>
  <c r="J362"/>
  <c r="K362"/>
  <c r="C365"/>
  <c r="C363"/>
  <c r="C362"/>
  <c r="F220"/>
  <c r="C203"/>
  <c r="D168" i="40"/>
  <c r="E168"/>
  <c r="C168"/>
  <c r="L24" i="43"/>
  <c r="J24"/>
  <c r="D256" i="39"/>
  <c r="E256"/>
  <c r="F256"/>
  <c r="G256"/>
  <c r="I24" i="43" s="1"/>
  <c r="H256" i="39"/>
  <c r="I256"/>
  <c r="J256"/>
  <c r="K256"/>
  <c r="H24" i="43"/>
  <c r="G24"/>
  <c r="F24"/>
  <c r="C256" i="39"/>
  <c r="M436" i="36"/>
  <c r="J62" i="43"/>
  <c r="D268" i="39"/>
  <c r="E268"/>
  <c r="F268"/>
  <c r="G268"/>
  <c r="F62" i="43" s="1"/>
  <c r="H268" i="39"/>
  <c r="I268"/>
  <c r="J268"/>
  <c r="K268"/>
  <c r="C268"/>
  <c r="D168"/>
  <c r="E168"/>
  <c r="F168"/>
  <c r="G168"/>
  <c r="H168"/>
  <c r="I168"/>
  <c r="J168"/>
  <c r="K168"/>
  <c r="C168"/>
  <c r="E369" l="1"/>
  <c r="C369"/>
  <c r="D29" i="45"/>
  <c r="E29"/>
  <c r="E62" i="43"/>
  <c r="C29" i="45"/>
  <c r="G62" i="43"/>
  <c r="C264" i="39"/>
  <c r="C271"/>
  <c r="C259"/>
  <c r="K264"/>
  <c r="G264"/>
  <c r="H264"/>
  <c r="D264"/>
  <c r="F271"/>
  <c r="E271"/>
  <c r="J264"/>
  <c r="D271"/>
  <c r="F264"/>
  <c r="E259"/>
  <c r="I264"/>
  <c r="E264"/>
  <c r="D259"/>
  <c r="M490" i="36"/>
  <c r="M1076" s="1"/>
  <c r="E24" i="42" l="1"/>
  <c r="D24"/>
  <c r="C24"/>
  <c r="J276" i="39"/>
  <c r="J278" s="1"/>
  <c r="H252"/>
  <c r="H259" s="1"/>
  <c r="I276"/>
  <c r="I278" s="1"/>
  <c r="G276"/>
  <c r="K276"/>
  <c r="K278" s="1"/>
  <c r="H276"/>
  <c r="H278" s="1"/>
  <c r="G252"/>
  <c r="E24" i="43" s="1"/>
  <c r="K252" i="39"/>
  <c r="K259" s="1"/>
  <c r="F252"/>
  <c r="F259" s="1"/>
  <c r="I252"/>
  <c r="I259" s="1"/>
  <c r="J252"/>
  <c r="J259" s="1"/>
  <c r="G220"/>
  <c r="E280"/>
  <c r="C280"/>
  <c r="D280"/>
  <c r="F280"/>
  <c r="T470" i="36"/>
  <c r="T511" s="1"/>
  <c r="H270" i="39"/>
  <c r="G270"/>
  <c r="M507" i="36"/>
  <c r="T515" l="1"/>
  <c r="G897" i="39"/>
  <c r="G278"/>
  <c r="M1093" i="36"/>
  <c r="M1113"/>
  <c r="I24" i="42"/>
  <c r="J24"/>
  <c r="H24"/>
  <c r="F63"/>
  <c r="K24"/>
  <c r="H220" i="39"/>
  <c r="D282"/>
  <c r="E282"/>
  <c r="C282"/>
  <c r="I897"/>
  <c r="K897"/>
  <c r="J897"/>
  <c r="H897"/>
  <c r="I270"/>
  <c r="K270"/>
  <c r="J270"/>
  <c r="G24" i="42"/>
  <c r="F24"/>
  <c r="G259" i="39"/>
  <c r="E63" i="42"/>
  <c r="C63"/>
  <c r="M509" i="36"/>
  <c r="D63" i="42"/>
  <c r="F282" i="39"/>
  <c r="F290" s="1"/>
  <c r="H271"/>
  <c r="T490" i="36"/>
  <c r="T1076" l="1"/>
  <c r="T513"/>
  <c r="P1113"/>
  <c r="P1093"/>
  <c r="F49" i="51"/>
  <c r="G47"/>
  <c r="F47"/>
  <c r="G49"/>
  <c r="F22" i="44"/>
  <c r="H280" i="39"/>
  <c r="J271"/>
  <c r="I271"/>
  <c r="K271"/>
  <c r="I220"/>
  <c r="F284"/>
  <c r="F288"/>
  <c r="F286"/>
  <c r="G271"/>
  <c r="I62" i="43"/>
  <c r="T507" i="36"/>
  <c r="Q517" l="1"/>
  <c r="Q1113"/>
  <c r="R517"/>
  <c r="Q1093"/>
  <c r="G45" i="51"/>
  <c r="H49"/>
  <c r="J63" i="42"/>
  <c r="J220" i="39"/>
  <c r="D22" i="44"/>
  <c r="F29" i="45"/>
  <c r="H282" i="39"/>
  <c r="J280"/>
  <c r="I280"/>
  <c r="K280"/>
  <c r="G284"/>
  <c r="H63" i="42"/>
  <c r="G288" i="39"/>
  <c r="G63" i="42"/>
  <c r="T509" i="36"/>
  <c r="K63" i="42"/>
  <c r="I63"/>
  <c r="G286" i="39"/>
  <c r="G280"/>
  <c r="R1093" i="36" l="1"/>
  <c r="R1113"/>
  <c r="S1113"/>
  <c r="H45" i="51"/>
  <c r="H47"/>
  <c r="I47"/>
  <c r="I45"/>
  <c r="I49"/>
  <c r="K220" i="39"/>
  <c r="H284"/>
  <c r="I282"/>
  <c r="K282"/>
  <c r="J282"/>
  <c r="H286"/>
  <c r="H288"/>
  <c r="G282"/>
  <c r="G290" s="1"/>
  <c r="H290" s="1"/>
  <c r="H22" i="44"/>
  <c r="S517" i="36" l="1"/>
  <c r="S1093"/>
  <c r="J47" i="51"/>
  <c r="J45"/>
  <c r="T517" i="36"/>
  <c r="J49" i="51"/>
  <c r="J284" i="39"/>
  <c r="I290"/>
  <c r="J290" s="1"/>
  <c r="K290" s="1"/>
  <c r="I284"/>
  <c r="I286"/>
  <c r="I288"/>
  <c r="K47" i="51" l="1"/>
  <c r="K45"/>
  <c r="K49"/>
  <c r="G29" i="45"/>
  <c r="J288" i="39"/>
  <c r="J286"/>
  <c r="K284" l="1"/>
  <c r="K286"/>
  <c r="K288"/>
  <c r="H29" i="45"/>
  <c r="T1113" i="36"/>
  <c r="T1093"/>
  <c r="I29" i="45" l="1"/>
  <c r="M360" i="36"/>
  <c r="T360"/>
  <c r="M769"/>
  <c r="T769"/>
  <c r="M569"/>
  <c r="M223"/>
  <c r="D365" i="39"/>
  <c r="D369" s="1"/>
  <c r="H23" i="42" l="1"/>
  <c r="I23"/>
  <c r="E23"/>
  <c r="K23"/>
  <c r="G23"/>
  <c r="D23"/>
  <c r="J23"/>
  <c r="F23"/>
  <c r="J29" i="45"/>
  <c r="C23" i="42"/>
  <c r="K29" i="45" l="1"/>
  <c r="T265" i="36"/>
  <c r="F72" i="43" l="1"/>
  <c r="D502" i="39"/>
  <c r="C502"/>
  <c r="G14" i="43"/>
  <c r="D454" i="39"/>
  <c r="D791" s="1"/>
  <c r="E454"/>
  <c r="E791" s="1"/>
  <c r="F454"/>
  <c r="F791" s="1"/>
  <c r="H454"/>
  <c r="H791" s="1"/>
  <c r="I454"/>
  <c r="I791" s="1"/>
  <c r="J454"/>
  <c r="J791" s="1"/>
  <c r="K454"/>
  <c r="C454"/>
  <c r="C791" s="1"/>
  <c r="D357"/>
  <c r="E357"/>
  <c r="F357"/>
  <c r="G357"/>
  <c r="H357"/>
  <c r="I357"/>
  <c r="J357"/>
  <c r="K357"/>
  <c r="C357"/>
  <c r="I63" i="43"/>
  <c r="E63"/>
  <c r="E25"/>
  <c r="M229" i="36"/>
  <c r="G415" i="39"/>
  <c r="T669" i="36"/>
  <c r="H166" i="40"/>
  <c r="I166"/>
  <c r="J166"/>
  <c r="T259" i="36"/>
  <c r="K166" i="40" s="1"/>
  <c r="G166"/>
  <c r="D42" i="45"/>
  <c r="D41"/>
  <c r="D36"/>
  <c r="D35"/>
  <c r="D30"/>
  <c r="D24"/>
  <c r="D20"/>
  <c r="D19"/>
  <c r="D18"/>
  <c r="D17"/>
  <c r="D16"/>
  <c r="D15"/>
  <c r="D14"/>
  <c r="D9"/>
  <c r="D62" i="42"/>
  <c r="E62"/>
  <c r="F62"/>
  <c r="G62"/>
  <c r="H62"/>
  <c r="I62"/>
  <c r="J62"/>
  <c r="K62"/>
  <c r="G55" i="43"/>
  <c r="E55"/>
  <c r="H17"/>
  <c r="K746" i="39"/>
  <c r="J746"/>
  <c r="I746"/>
  <c r="H746"/>
  <c r="F746"/>
  <c r="E746"/>
  <c r="D746"/>
  <c r="I54" i="43"/>
  <c r="E54"/>
  <c r="K704" i="39"/>
  <c r="K706" s="1"/>
  <c r="J704"/>
  <c r="J706" s="1"/>
  <c r="I704"/>
  <c r="I706" s="1"/>
  <c r="H704"/>
  <c r="H706" s="1"/>
  <c r="G704"/>
  <c r="F704"/>
  <c r="F706" s="1"/>
  <c r="E704"/>
  <c r="E706" s="1"/>
  <c r="D704"/>
  <c r="D706" s="1"/>
  <c r="C16" i="43"/>
  <c r="F672" i="39"/>
  <c r="K665"/>
  <c r="J665"/>
  <c r="I665"/>
  <c r="H665"/>
  <c r="G665"/>
  <c r="H34" i="43" s="1"/>
  <c r="F665" i="39"/>
  <c r="E665"/>
  <c r="D665"/>
  <c r="D664"/>
  <c r="I71" i="43"/>
  <c r="K633" i="39"/>
  <c r="K628"/>
  <c r="J628"/>
  <c r="J842" s="1"/>
  <c r="I628"/>
  <c r="I842" s="1"/>
  <c r="H628"/>
  <c r="H842" s="1"/>
  <c r="G628"/>
  <c r="F628"/>
  <c r="F842" s="1"/>
  <c r="E628"/>
  <c r="E842" s="1"/>
  <c r="D628"/>
  <c r="D842" s="1"/>
  <c r="K627"/>
  <c r="J627"/>
  <c r="I627"/>
  <c r="H627"/>
  <c r="G627"/>
  <c r="H33" i="43" s="1"/>
  <c r="F627" i="39"/>
  <c r="E627"/>
  <c r="D627"/>
  <c r="K626"/>
  <c r="J626"/>
  <c r="I626"/>
  <c r="H626"/>
  <c r="G626"/>
  <c r="F626"/>
  <c r="F834" s="1"/>
  <c r="E626"/>
  <c r="E834" s="1"/>
  <c r="D626"/>
  <c r="D834" s="1"/>
  <c r="J70" i="43"/>
  <c r="D592" i="39"/>
  <c r="D849" s="1"/>
  <c r="E591"/>
  <c r="E848" s="1"/>
  <c r="D591"/>
  <c r="D848" s="1"/>
  <c r="F590"/>
  <c r="F847" s="1"/>
  <c r="E590"/>
  <c r="E847" s="1"/>
  <c r="D590"/>
  <c r="D847" s="1"/>
  <c r="C70" i="43"/>
  <c r="K584" i="39"/>
  <c r="K841" s="1"/>
  <c r="J584"/>
  <c r="J841" s="1"/>
  <c r="I584"/>
  <c r="I841" s="1"/>
  <c r="H584"/>
  <c r="H841" s="1"/>
  <c r="G584"/>
  <c r="F584"/>
  <c r="F841" s="1"/>
  <c r="E584"/>
  <c r="E841" s="1"/>
  <c r="D584"/>
  <c r="D841" s="1"/>
  <c r="G32" i="43"/>
  <c r="K580" i="39"/>
  <c r="K837" s="1"/>
  <c r="J580"/>
  <c r="J837" s="1"/>
  <c r="I580"/>
  <c r="I837" s="1"/>
  <c r="H580"/>
  <c r="H837" s="1"/>
  <c r="G580"/>
  <c r="F580"/>
  <c r="F837" s="1"/>
  <c r="E580"/>
  <c r="E837" s="1"/>
  <c r="D580"/>
  <c r="D837" s="1"/>
  <c r="D32" i="43"/>
  <c r="C32"/>
  <c r="K545" i="39"/>
  <c r="J545"/>
  <c r="I545"/>
  <c r="H545"/>
  <c r="D545"/>
  <c r="K544"/>
  <c r="J544"/>
  <c r="I544"/>
  <c r="H544"/>
  <c r="D544"/>
  <c r="D894" s="1"/>
  <c r="K542"/>
  <c r="J542"/>
  <c r="I542"/>
  <c r="H542"/>
  <c r="G542"/>
  <c r="F542"/>
  <c r="E542"/>
  <c r="K537"/>
  <c r="J537"/>
  <c r="I537"/>
  <c r="H537"/>
  <c r="G537"/>
  <c r="F537"/>
  <c r="E537"/>
  <c r="D537"/>
  <c r="K536"/>
  <c r="K884" s="1"/>
  <c r="J536"/>
  <c r="J884" s="1"/>
  <c r="I536"/>
  <c r="I884" s="1"/>
  <c r="H536"/>
  <c r="H884" s="1"/>
  <c r="G536"/>
  <c r="G884" s="1"/>
  <c r="D536"/>
  <c r="D884" s="1"/>
  <c r="F500"/>
  <c r="E500"/>
  <c r="D500"/>
  <c r="K499"/>
  <c r="J499"/>
  <c r="I499"/>
  <c r="I892" s="1"/>
  <c r="H499"/>
  <c r="H892" s="1"/>
  <c r="G499"/>
  <c r="F499"/>
  <c r="E499"/>
  <c r="E892" s="1"/>
  <c r="D499"/>
  <c r="D495"/>
  <c r="D888" s="1"/>
  <c r="D494"/>
  <c r="F493"/>
  <c r="F886" s="1"/>
  <c r="E493"/>
  <c r="E886" s="1"/>
  <c r="D493"/>
  <c r="D886" s="1"/>
  <c r="K492"/>
  <c r="K885" s="1"/>
  <c r="J492"/>
  <c r="J885" s="1"/>
  <c r="I492"/>
  <c r="I885" s="1"/>
  <c r="H492"/>
  <c r="H885" s="1"/>
  <c r="G492"/>
  <c r="F492"/>
  <c r="F885" s="1"/>
  <c r="E492"/>
  <c r="E885" s="1"/>
  <c r="D492"/>
  <c r="D885" s="1"/>
  <c r="K15" i="43"/>
  <c r="D15"/>
  <c r="K414" i="39"/>
  <c r="D414"/>
  <c r="G67" i="43"/>
  <c r="F409" i="39"/>
  <c r="E409"/>
  <c r="C67" i="43"/>
  <c r="H29"/>
  <c r="K401" i="39"/>
  <c r="J401"/>
  <c r="I401"/>
  <c r="H401"/>
  <c r="G401"/>
  <c r="F401"/>
  <c r="E401"/>
  <c r="D401"/>
  <c r="K400"/>
  <c r="J400"/>
  <c r="I400"/>
  <c r="H400"/>
  <c r="G400"/>
  <c r="F400"/>
  <c r="E400"/>
  <c r="D400"/>
  <c r="C29" i="43"/>
  <c r="I66"/>
  <c r="G66"/>
  <c r="C66"/>
  <c r="F356" i="39"/>
  <c r="E356"/>
  <c r="D356"/>
  <c r="H28" i="43"/>
  <c r="K354" i="39"/>
  <c r="J354"/>
  <c r="I354"/>
  <c r="H354"/>
  <c r="G354"/>
  <c r="F354"/>
  <c r="E354"/>
  <c r="D354"/>
  <c r="K353"/>
  <c r="J353"/>
  <c r="I353"/>
  <c r="H353"/>
  <c r="G353"/>
  <c r="F353"/>
  <c r="E353"/>
  <c r="D353"/>
  <c r="K352"/>
  <c r="J352"/>
  <c r="I352"/>
  <c r="G352"/>
  <c r="C28" i="43" s="1"/>
  <c r="F352" i="39"/>
  <c r="E352"/>
  <c r="D352"/>
  <c r="E59" i="43"/>
  <c r="K316" i="39"/>
  <c r="J316"/>
  <c r="I316"/>
  <c r="H316"/>
  <c r="G316"/>
  <c r="H21" i="43" s="1"/>
  <c r="F316" i="39"/>
  <c r="E316"/>
  <c r="D316"/>
  <c r="E21" i="43"/>
  <c r="D314" i="39"/>
  <c r="E314"/>
  <c r="F314"/>
  <c r="G314"/>
  <c r="C21" i="43" s="1"/>
  <c r="H314" i="39"/>
  <c r="I25" i="43"/>
  <c r="D25"/>
  <c r="D172" i="39"/>
  <c r="E172"/>
  <c r="F172"/>
  <c r="G172"/>
  <c r="H172"/>
  <c r="I172"/>
  <c r="J172"/>
  <c r="K172"/>
  <c r="K173" s="1"/>
  <c r="D169"/>
  <c r="E169"/>
  <c r="F169"/>
  <c r="H169"/>
  <c r="I169"/>
  <c r="J169"/>
  <c r="K169"/>
  <c r="G51" i="43"/>
  <c r="D136" i="39"/>
  <c r="E136"/>
  <c r="D132"/>
  <c r="E132"/>
  <c r="F132"/>
  <c r="H132"/>
  <c r="I132"/>
  <c r="J132"/>
  <c r="K132"/>
  <c r="D13" i="43"/>
  <c r="E57"/>
  <c r="K99" i="39"/>
  <c r="D94"/>
  <c r="E94"/>
  <c r="F94"/>
  <c r="G94"/>
  <c r="H19" i="43" s="1"/>
  <c r="H94" i="39"/>
  <c r="I94"/>
  <c r="J94"/>
  <c r="K94"/>
  <c r="D93"/>
  <c r="E93"/>
  <c r="F93"/>
  <c r="E56" i="43"/>
  <c r="K63" i="39"/>
  <c r="D58"/>
  <c r="E58"/>
  <c r="F58"/>
  <c r="G58"/>
  <c r="H58"/>
  <c r="I58"/>
  <c r="J58"/>
  <c r="K58"/>
  <c r="D57"/>
  <c r="E57"/>
  <c r="F57"/>
  <c r="D27"/>
  <c r="D803" s="1"/>
  <c r="D167" i="40"/>
  <c r="E167"/>
  <c r="F167"/>
  <c r="G167"/>
  <c r="H167"/>
  <c r="I167"/>
  <c r="J167"/>
  <c r="K167"/>
  <c r="D166"/>
  <c r="E166"/>
  <c r="F166"/>
  <c r="D164"/>
  <c r="E164"/>
  <c r="F164"/>
  <c r="D135"/>
  <c r="D133"/>
  <c r="E133"/>
  <c r="F133"/>
  <c r="E107"/>
  <c r="F107"/>
  <c r="D105"/>
  <c r="E105"/>
  <c r="F105"/>
  <c r="D72"/>
  <c r="D71"/>
  <c r="D46"/>
  <c r="D45"/>
  <c r="D44"/>
  <c r="E44"/>
  <c r="F44"/>
  <c r="D43"/>
  <c r="E43"/>
  <c r="F43"/>
  <c r="G43"/>
  <c r="H43"/>
  <c r="I43"/>
  <c r="J43"/>
  <c r="K43"/>
  <c r="D15"/>
  <c r="E15"/>
  <c r="F15"/>
  <c r="G15"/>
  <c r="H15"/>
  <c r="I15"/>
  <c r="J15"/>
  <c r="K15"/>
  <c r="D13"/>
  <c r="E13"/>
  <c r="F13"/>
  <c r="D12"/>
  <c r="E12"/>
  <c r="F12"/>
  <c r="G12"/>
  <c r="H12"/>
  <c r="I12"/>
  <c r="J12"/>
  <c r="K12"/>
  <c r="D18" i="39"/>
  <c r="E18"/>
  <c r="F18"/>
  <c r="G18"/>
  <c r="H18"/>
  <c r="I18"/>
  <c r="J18"/>
  <c r="K18"/>
  <c r="D17"/>
  <c r="D15"/>
  <c r="D14"/>
  <c r="E14"/>
  <c r="E785" s="1"/>
  <c r="F14"/>
  <c r="F785" s="1"/>
  <c r="G14"/>
  <c r="H14"/>
  <c r="I14"/>
  <c r="J14"/>
  <c r="K14"/>
  <c r="E13"/>
  <c r="F13"/>
  <c r="G13"/>
  <c r="H13"/>
  <c r="I13"/>
  <c r="J13"/>
  <c r="K13"/>
  <c r="D12"/>
  <c r="F12"/>
  <c r="G12"/>
  <c r="H12"/>
  <c r="I12"/>
  <c r="J12"/>
  <c r="K12"/>
  <c r="D11"/>
  <c r="K415"/>
  <c r="J892" l="1"/>
  <c r="K785"/>
  <c r="J785"/>
  <c r="I785"/>
  <c r="H785"/>
  <c r="G28" i="43"/>
  <c r="G29"/>
  <c r="G841" i="39"/>
  <c r="J28" i="43"/>
  <c r="G892" i="39"/>
  <c r="K787"/>
  <c r="G787"/>
  <c r="H787"/>
  <c r="I787"/>
  <c r="E787"/>
  <c r="D787"/>
  <c r="J787"/>
  <c r="F787"/>
  <c r="I790"/>
  <c r="E790"/>
  <c r="J790"/>
  <c r="F790"/>
  <c r="D836"/>
  <c r="D667"/>
  <c r="H790"/>
  <c r="D790"/>
  <c r="K790"/>
  <c r="G790"/>
  <c r="J26"/>
  <c r="J800" s="1"/>
  <c r="K26"/>
  <c r="K800" s="1"/>
  <c r="G26"/>
  <c r="G800" s="1"/>
  <c r="H26"/>
  <c r="H800" s="1"/>
  <c r="D26"/>
  <c r="D800" s="1"/>
  <c r="F26"/>
  <c r="F800" s="1"/>
  <c r="I26"/>
  <c r="I800" s="1"/>
  <c r="E26"/>
  <c r="E800" s="1"/>
  <c r="H13" i="43"/>
  <c r="G132" i="39"/>
  <c r="T266" i="36"/>
  <c r="E784" i="39"/>
  <c r="K784"/>
  <c r="G784"/>
  <c r="G785"/>
  <c r="I784"/>
  <c r="H784"/>
  <c r="D782"/>
  <c r="J784"/>
  <c r="F784"/>
  <c r="G324"/>
  <c r="K324"/>
  <c r="K802"/>
  <c r="L33" i="43"/>
  <c r="G842" i="39"/>
  <c r="J324"/>
  <c r="D324"/>
  <c r="D802"/>
  <c r="H324"/>
  <c r="D887"/>
  <c r="D889" s="1"/>
  <c r="F324"/>
  <c r="E324"/>
  <c r="I324"/>
  <c r="D788"/>
  <c r="D895"/>
  <c r="D785"/>
  <c r="D23"/>
  <c r="H16" i="43"/>
  <c r="G706" i="39"/>
  <c r="I783"/>
  <c r="K783"/>
  <c r="G783"/>
  <c r="D786"/>
  <c r="J783"/>
  <c r="F783"/>
  <c r="D783"/>
  <c r="H783"/>
  <c r="K404"/>
  <c r="K791" s="1"/>
  <c r="T672" i="36"/>
  <c r="C17" i="43"/>
  <c r="G746" i="39"/>
  <c r="K892"/>
  <c r="F892"/>
  <c r="E33" i="42"/>
  <c r="E20"/>
  <c r="F20"/>
  <c r="J672" i="39"/>
  <c r="E672"/>
  <c r="I672"/>
  <c r="G672"/>
  <c r="K672"/>
  <c r="D852"/>
  <c r="D672"/>
  <c r="H672"/>
  <c r="E839"/>
  <c r="I839"/>
  <c r="F893"/>
  <c r="E893"/>
  <c r="J539"/>
  <c r="H539"/>
  <c r="K539"/>
  <c r="H14" i="43"/>
  <c r="G885" i="39"/>
  <c r="I539"/>
  <c r="D839"/>
  <c r="H839"/>
  <c r="C33" i="43"/>
  <c r="G834" i="39"/>
  <c r="F32" i="43"/>
  <c r="G837" i="39"/>
  <c r="J32" i="43"/>
  <c r="K839" i="39"/>
  <c r="F839"/>
  <c r="J839"/>
  <c r="H32" i="43"/>
  <c r="G839" i="39"/>
  <c r="J460"/>
  <c r="I59" i="43"/>
  <c r="I460" i="39"/>
  <c r="J10" i="43"/>
  <c r="D460" i="39"/>
  <c r="H460"/>
  <c r="F460"/>
  <c r="L21" i="43"/>
  <c r="E460" i="39"/>
  <c r="H10" i="43"/>
  <c r="K460" i="39"/>
  <c r="F10" i="43"/>
  <c r="D10"/>
  <c r="E10"/>
  <c r="D539" i="39"/>
  <c r="G539"/>
  <c r="D594"/>
  <c r="C52" i="43"/>
  <c r="D504" i="39"/>
  <c r="D138"/>
  <c r="E138"/>
  <c r="G53" i="43"/>
  <c r="G460" i="39"/>
  <c r="G169"/>
  <c r="D455"/>
  <c r="I455"/>
  <c r="K455"/>
  <c r="F455"/>
  <c r="E455"/>
  <c r="H455"/>
  <c r="J455"/>
  <c r="D409"/>
  <c r="K175"/>
  <c r="K208"/>
  <c r="K546"/>
  <c r="K629"/>
  <c r="D542"/>
  <c r="D892" s="1"/>
  <c r="D796" l="1"/>
  <c r="D843"/>
  <c r="D854" s="1"/>
  <c r="D857"/>
  <c r="K754"/>
  <c r="K635"/>
  <c r="K715"/>
  <c r="K218"/>
  <c r="T436" i="36"/>
  <c r="D893" i="39"/>
  <c r="D899" s="1"/>
  <c r="K548"/>
  <c r="K462"/>
  <c r="D904" l="1"/>
  <c r="D901"/>
  <c r="M1061" i="36"/>
  <c r="M1050"/>
  <c r="M1234"/>
  <c r="M1233"/>
  <c r="M1232"/>
  <c r="M1231"/>
  <c r="M1202"/>
  <c r="M1201"/>
  <c r="M1207"/>
  <c r="M1190"/>
  <c r="M1148"/>
  <c r="M1149" s="1"/>
  <c r="M1138"/>
  <c r="M1015"/>
  <c r="D74" i="42"/>
  <c r="D73"/>
  <c r="M968" i="36"/>
  <c r="M955"/>
  <c r="M957" s="1"/>
  <c r="M1183" l="1"/>
  <c r="D16" i="42"/>
  <c r="D54"/>
  <c r="D15"/>
  <c r="D55"/>
  <c r="D72"/>
  <c r="D35"/>
  <c r="D34"/>
  <c r="M1003" i="36"/>
  <c r="M1063"/>
  <c r="M1206"/>
  <c r="M982"/>
  <c r="M1038"/>
  <c r="M1203"/>
  <c r="M1208"/>
  <c r="M1230"/>
  <c r="M1198"/>
  <c r="M1130" l="1"/>
  <c r="M1081"/>
  <c r="M1082"/>
  <c r="M1123"/>
  <c r="D33" i="42"/>
  <c r="M1098" i="36"/>
  <c r="M1124"/>
  <c r="M1099"/>
  <c r="M1209"/>
  <c r="M896"/>
  <c r="M878"/>
  <c r="M817"/>
  <c r="M790"/>
  <c r="M757"/>
  <c r="D28" i="42"/>
  <c r="M530" i="36"/>
  <c r="D64" i="42"/>
  <c r="D51"/>
  <c r="M303" i="36"/>
  <c r="M285"/>
  <c r="F73" i="42"/>
  <c r="F593" i="39"/>
  <c r="F851" s="1"/>
  <c r="F592"/>
  <c r="F849" s="1"/>
  <c r="F591"/>
  <c r="F848" s="1"/>
  <c r="F536"/>
  <c r="F884" s="1"/>
  <c r="F495"/>
  <c r="F888" s="1"/>
  <c r="F494"/>
  <c r="F887" s="1"/>
  <c r="F53" i="42"/>
  <c r="F415" i="39"/>
  <c r="F414"/>
  <c r="F802" s="1"/>
  <c r="F410"/>
  <c r="F64" i="42"/>
  <c r="F57"/>
  <c r="F56"/>
  <c r="F163" i="40"/>
  <c r="F46"/>
  <c r="D163"/>
  <c r="M119" i="36"/>
  <c r="D22" i="39" l="1"/>
  <c r="D795" s="1"/>
  <c r="M1129" i="36"/>
  <c r="M1131"/>
  <c r="F72" i="40"/>
  <c r="F15" i="42"/>
  <c r="F55"/>
  <c r="F16"/>
  <c r="F54"/>
  <c r="F34"/>
  <c r="D12"/>
  <c r="D14"/>
  <c r="D29"/>
  <c r="F17"/>
  <c r="F29"/>
  <c r="D59"/>
  <c r="D13"/>
  <c r="D20"/>
  <c r="F18"/>
  <c r="F14"/>
  <c r="D18"/>
  <c r="D30"/>
  <c r="F59"/>
  <c r="D17"/>
  <c r="D25"/>
  <c r="D69"/>
  <c r="F539" i="39"/>
  <c r="F889"/>
  <c r="F852"/>
  <c r="F501"/>
  <c r="G544"/>
  <c r="G545"/>
  <c r="F365"/>
  <c r="F369" s="1"/>
  <c r="M1122" i="36"/>
  <c r="M1126" s="1"/>
  <c r="F15" i="39"/>
  <c r="F786" s="1"/>
  <c r="F74" i="42"/>
  <c r="F502" i="39"/>
  <c r="F71" i="40"/>
  <c r="F545" i="39"/>
  <c r="D73" i="40"/>
  <c r="M231" i="36"/>
  <c r="F25" i="42"/>
  <c r="M191" i="36"/>
  <c r="D107" i="40"/>
  <c r="F664" i="39"/>
  <c r="F17"/>
  <c r="F788" s="1"/>
  <c r="D13"/>
  <c r="D784" s="1"/>
  <c r="M731" i="36"/>
  <c r="D411" i="39"/>
  <c r="D74" i="40"/>
  <c r="F11" i="39"/>
  <c r="F782" s="1"/>
  <c r="F45" i="40"/>
  <c r="F411" i="39"/>
  <c r="F73" i="40"/>
  <c r="F135"/>
  <c r="F544" i="39"/>
  <c r="F74" i="40"/>
  <c r="F136" i="39"/>
  <c r="M545" i="36"/>
  <c r="M350"/>
  <c r="M366"/>
  <c r="M98"/>
  <c r="M438"/>
  <c r="M898"/>
  <c r="M856"/>
  <c r="M163"/>
  <c r="F836" i="39" l="1"/>
  <c r="F843" s="1"/>
  <c r="F854" s="1"/>
  <c r="F667"/>
  <c r="F23"/>
  <c r="F796" s="1"/>
  <c r="D25"/>
  <c r="D798" s="1"/>
  <c r="D24"/>
  <c r="D797" s="1"/>
  <c r="F24"/>
  <c r="F797" s="1"/>
  <c r="F894"/>
  <c r="F25"/>
  <c r="F798" s="1"/>
  <c r="F22"/>
  <c r="F795" s="1"/>
  <c r="P1089" i="36"/>
  <c r="P313"/>
  <c r="P1099"/>
  <c r="P1097"/>
  <c r="P1098"/>
  <c r="P1130"/>
  <c r="D792" i="39"/>
  <c r="F138"/>
  <c r="M960" i="36"/>
  <c r="F33" i="42"/>
  <c r="F72"/>
  <c r="D9"/>
  <c r="D37" s="1"/>
  <c r="F67"/>
  <c r="F30"/>
  <c r="F13"/>
  <c r="M1077" i="36"/>
  <c r="M649"/>
  <c r="M1073"/>
  <c r="F51" i="42"/>
  <c r="F69"/>
  <c r="F895" i="39"/>
  <c r="F12" i="42"/>
  <c r="F504" i="39"/>
  <c r="F168" i="40"/>
  <c r="M1075" i="36"/>
  <c r="M1074"/>
  <c r="F35" i="42"/>
  <c r="M858" i="36"/>
  <c r="D52" i="42"/>
  <c r="M733" i="36"/>
  <c r="D68" i="42"/>
  <c r="M293" i="36"/>
  <c r="D56" i="42"/>
  <c r="D67"/>
  <c r="F68"/>
  <c r="M310" i="36"/>
  <c r="D57" i="42"/>
  <c r="M1108" i="36"/>
  <c r="M1090"/>
  <c r="M1133"/>
  <c r="M269"/>
  <c r="M272" s="1"/>
  <c r="M1115"/>
  <c r="E53" i="42"/>
  <c r="G53"/>
  <c r="H53"/>
  <c r="I53"/>
  <c r="J53"/>
  <c r="K53"/>
  <c r="T1234" i="36"/>
  <c r="T1233"/>
  <c r="T1232"/>
  <c r="T1231"/>
  <c r="T1202"/>
  <c r="T1201"/>
  <c r="T1190"/>
  <c r="T1138"/>
  <c r="T1061"/>
  <c r="T1050"/>
  <c r="T1015"/>
  <c r="K74" i="42"/>
  <c r="K73"/>
  <c r="T968" i="36"/>
  <c r="T918"/>
  <c r="T896"/>
  <c r="T878"/>
  <c r="T851"/>
  <c r="T812"/>
  <c r="T757"/>
  <c r="T704"/>
  <c r="T613"/>
  <c r="T609"/>
  <c r="T590"/>
  <c r="K64" i="42"/>
  <c r="K25"/>
  <c r="K57"/>
  <c r="K56"/>
  <c r="T145" i="36"/>
  <c r="T143"/>
  <c r="K46" i="40"/>
  <c r="T647" i="36" l="1"/>
  <c r="K494" i="39"/>
  <c r="K887" s="1"/>
  <c r="K592"/>
  <c r="K849" s="1"/>
  <c r="F27"/>
  <c r="F803" s="1"/>
  <c r="K364"/>
  <c r="P1094" i="36"/>
  <c r="Q1098"/>
  <c r="Q1099"/>
  <c r="Q313"/>
  <c r="Q1089"/>
  <c r="P1129"/>
  <c r="P960"/>
  <c r="P1088"/>
  <c r="P296"/>
  <c r="Q1130"/>
  <c r="Q1097"/>
  <c r="P1131"/>
  <c r="K585" i="39"/>
  <c r="K842" s="1"/>
  <c r="F792"/>
  <c r="M1089" i="36"/>
  <c r="K163" i="40"/>
  <c r="T1207" i="36"/>
  <c r="M296"/>
  <c r="K55" i="42"/>
  <c r="K16"/>
  <c r="K54"/>
  <c r="K15"/>
  <c r="K34"/>
  <c r="K30"/>
  <c r="K59"/>
  <c r="M1072" i="36"/>
  <c r="K14" i="42"/>
  <c r="F9"/>
  <c r="M1071" i="36"/>
  <c r="K12" i="42"/>
  <c r="K69"/>
  <c r="F899" i="39"/>
  <c r="D804"/>
  <c r="F856"/>
  <c r="T438" i="36"/>
  <c r="M1107"/>
  <c r="M1079"/>
  <c r="M1078"/>
  <c r="F52" i="42"/>
  <c r="M771" i="36"/>
  <c r="D53" i="42"/>
  <c r="F28"/>
  <c r="G414" i="39"/>
  <c r="J414"/>
  <c r="J802" s="1"/>
  <c r="I414"/>
  <c r="I802" s="1"/>
  <c r="H414"/>
  <c r="H802" s="1"/>
  <c r="M1094" i="36"/>
  <c r="M1088"/>
  <c r="K314" i="39"/>
  <c r="K318" s="1"/>
  <c r="T267" i="36"/>
  <c r="K495" i="39"/>
  <c r="K888" s="1"/>
  <c r="T268" i="36"/>
  <c r="K664" i="39"/>
  <c r="K73" i="40"/>
  <c r="K45"/>
  <c r="M1091" i="36"/>
  <c r="M736"/>
  <c r="T982"/>
  <c r="M313"/>
  <c r="T1038"/>
  <c r="T1230"/>
  <c r="T530"/>
  <c r="T1206"/>
  <c r="T1063"/>
  <c r="T771"/>
  <c r="T366"/>
  <c r="T898"/>
  <c r="T1203"/>
  <c r="G802" i="39" l="1"/>
  <c r="K836"/>
  <c r="K667"/>
  <c r="T984" i="36"/>
  <c r="T1065"/>
  <c r="T1040"/>
  <c r="T773"/>
  <c r="R1099"/>
  <c r="S1099"/>
  <c r="Q1094"/>
  <c r="R1097"/>
  <c r="S1097"/>
  <c r="Q1129"/>
  <c r="Q960"/>
  <c r="Q1131"/>
  <c r="R1130"/>
  <c r="S1130"/>
  <c r="Q296"/>
  <c r="Q1088"/>
  <c r="P1133"/>
  <c r="R1089"/>
  <c r="R313"/>
  <c r="Q444"/>
  <c r="P1090"/>
  <c r="R1098"/>
  <c r="S1098"/>
  <c r="F804" i="39"/>
  <c r="F806" s="1"/>
  <c r="M861" i="36"/>
  <c r="M1114"/>
  <c r="M1096"/>
  <c r="M1092"/>
  <c r="T1081"/>
  <c r="T1082"/>
  <c r="F901" i="39"/>
  <c r="D809"/>
  <c r="T1123" i="36"/>
  <c r="F37" i="42"/>
  <c r="T1080" i="36"/>
  <c r="M1080"/>
  <c r="T1074"/>
  <c r="T1108"/>
  <c r="F222" i="39"/>
  <c r="K326"/>
  <c r="D806"/>
  <c r="F857"/>
  <c r="I67" i="43"/>
  <c r="F48" i="42"/>
  <c r="F76" s="1"/>
  <c r="K168" i="40"/>
  <c r="M1095" i="36"/>
  <c r="M652"/>
  <c r="T1003"/>
  <c r="K35" i="42"/>
  <c r="T545" i="36"/>
  <c r="K20" i="42"/>
  <c r="M274" i="36"/>
  <c r="D48" i="42"/>
  <c r="D76" s="1"/>
  <c r="M1110" i="36"/>
  <c r="M1097"/>
  <c r="T1075"/>
  <c r="E64" i="42"/>
  <c r="K27" i="39" l="1"/>
  <c r="T1005" i="36"/>
  <c r="T547"/>
  <c r="P861"/>
  <c r="P1114"/>
  <c r="Q1090"/>
  <c r="R1129"/>
  <c r="R960"/>
  <c r="R444"/>
  <c r="R296"/>
  <c r="R1088"/>
  <c r="Q1133"/>
  <c r="P1096"/>
  <c r="P736"/>
  <c r="P1095"/>
  <c r="S1089"/>
  <c r="S313"/>
  <c r="R1131"/>
  <c r="S1131"/>
  <c r="R1094"/>
  <c r="S1094"/>
  <c r="M1117"/>
  <c r="F903" i="39"/>
  <c r="F808"/>
  <c r="T1124" i="36"/>
  <c r="K674" i="39"/>
  <c r="I64" i="42"/>
  <c r="H64"/>
  <c r="T1077" i="36"/>
  <c r="G64" i="42"/>
  <c r="G63" i="43"/>
  <c r="K63" s="1"/>
  <c r="M1070" i="36"/>
  <c r="M1084" s="1"/>
  <c r="L25" i="43"/>
  <c r="K803" i="39" l="1"/>
  <c r="P1087" i="36"/>
  <c r="P277"/>
  <c r="Q736"/>
  <c r="Q1096"/>
  <c r="R1133"/>
  <c r="Q652"/>
  <c r="Q1095"/>
  <c r="S444"/>
  <c r="S1088"/>
  <c r="S296"/>
  <c r="Q1114"/>
  <c r="Q861"/>
  <c r="R1090"/>
  <c r="S1090"/>
  <c r="P1092"/>
  <c r="S960"/>
  <c r="S1129"/>
  <c r="P1117"/>
  <c r="M277"/>
  <c r="M1087"/>
  <c r="F904" i="39"/>
  <c r="F809"/>
  <c r="J64" i="42"/>
  <c r="K501" i="39"/>
  <c r="K894" s="1"/>
  <c r="P1101" i="36" l="1"/>
  <c r="R861"/>
  <c r="R1114"/>
  <c r="Q1117"/>
  <c r="R1095"/>
  <c r="R652"/>
  <c r="Q1092"/>
  <c r="T444"/>
  <c r="R1096"/>
  <c r="R736"/>
  <c r="S1133"/>
  <c r="M1101"/>
  <c r="K502" i="39"/>
  <c r="K895" s="1"/>
  <c r="R1092" i="36" l="1"/>
  <c r="R1117"/>
  <c r="S861"/>
  <c r="S1114"/>
  <c r="S1096"/>
  <c r="S736"/>
  <c r="S652"/>
  <c r="S1095"/>
  <c r="E74" i="42"/>
  <c r="G74"/>
  <c r="H74"/>
  <c r="I74"/>
  <c r="J74"/>
  <c r="E414" i="39"/>
  <c r="E802" s="1"/>
  <c r="S1092" i="36" l="1"/>
  <c r="S1117"/>
  <c r="G454" i="39"/>
  <c r="G791" s="1"/>
  <c r="H501"/>
  <c r="H894" s="1"/>
  <c r="I501"/>
  <c r="I894" s="1"/>
  <c r="J501"/>
  <c r="J894" s="1"/>
  <c r="G501"/>
  <c r="G894" l="1"/>
  <c r="G14" i="42"/>
  <c r="G455" i="39"/>
  <c r="L15" i="43"/>
  <c r="G664" i="39"/>
  <c r="H664"/>
  <c r="I664"/>
  <c r="J664"/>
  <c r="E664"/>
  <c r="I836" l="1"/>
  <c r="I667"/>
  <c r="J836"/>
  <c r="J667"/>
  <c r="E836"/>
  <c r="E843" s="1"/>
  <c r="E667"/>
  <c r="G836"/>
  <c r="G667"/>
  <c r="H836"/>
  <c r="H667"/>
  <c r="E34" i="43"/>
  <c r="K411" i="39" l="1"/>
  <c r="K365"/>
  <c r="C172"/>
  <c r="C400"/>
  <c r="C353"/>
  <c r="C169"/>
  <c r="H30" i="42" l="1"/>
  <c r="E25"/>
  <c r="C43" i="45"/>
  <c r="C42"/>
  <c r="C41"/>
  <c r="C36"/>
  <c r="C35"/>
  <c r="C30"/>
  <c r="C24"/>
  <c r="C20"/>
  <c r="C19"/>
  <c r="C18"/>
  <c r="C17"/>
  <c r="C16"/>
  <c r="C15"/>
  <c r="C14"/>
  <c r="C9"/>
  <c r="C46" l="1"/>
  <c r="C167" i="40"/>
  <c r="C166"/>
  <c r="C163"/>
  <c r="C133"/>
  <c r="C107"/>
  <c r="C105"/>
  <c r="C72"/>
  <c r="C44"/>
  <c r="C43"/>
  <c r="C13"/>
  <c r="C12"/>
  <c r="C26" i="39" l="1"/>
  <c r="C800" s="1"/>
  <c r="C746"/>
  <c r="C704"/>
  <c r="C706" s="1"/>
  <c r="K55" i="43" l="1"/>
  <c r="M16"/>
  <c r="K54"/>
  <c r="M17"/>
  <c r="C665" i="39"/>
  <c r="C664"/>
  <c r="E633"/>
  <c r="K71" i="43"/>
  <c r="C628" i="39"/>
  <c r="C842" s="1"/>
  <c r="C627"/>
  <c r="C626"/>
  <c r="C834" s="1"/>
  <c r="G629"/>
  <c r="H629"/>
  <c r="C590"/>
  <c r="C847" s="1"/>
  <c r="C584"/>
  <c r="C841" s="1"/>
  <c r="C580"/>
  <c r="C837" s="1"/>
  <c r="C542"/>
  <c r="C537"/>
  <c r="C536"/>
  <c r="C884" s="1"/>
  <c r="C500"/>
  <c r="C499"/>
  <c r="C493"/>
  <c r="C886" s="1"/>
  <c r="C492"/>
  <c r="C885" s="1"/>
  <c r="C460"/>
  <c r="K36" i="43"/>
  <c r="C409" i="39"/>
  <c r="C401"/>
  <c r="C356"/>
  <c r="C354"/>
  <c r="C352"/>
  <c r="C316"/>
  <c r="C314"/>
  <c r="M25" i="43"/>
  <c r="C173" i="39"/>
  <c r="D173"/>
  <c r="H173"/>
  <c r="I173"/>
  <c r="C138"/>
  <c r="C132"/>
  <c r="K57" i="43"/>
  <c r="C94" i="39"/>
  <c r="C93"/>
  <c r="K56" i="43"/>
  <c r="C58" i="39"/>
  <c r="C57"/>
  <c r="D59"/>
  <c r="C17"/>
  <c r="C15"/>
  <c r="C14"/>
  <c r="C785" s="1"/>
  <c r="C13"/>
  <c r="C784" s="1"/>
  <c r="C12"/>
  <c r="C787" l="1"/>
  <c r="C836"/>
  <c r="C667"/>
  <c r="C786"/>
  <c r="E754"/>
  <c r="C893"/>
  <c r="C892"/>
  <c r="D175"/>
  <c r="F31" i="44"/>
  <c r="H15"/>
  <c r="F15"/>
  <c r="C672" i="39"/>
  <c r="C839"/>
  <c r="C539"/>
  <c r="C504"/>
  <c r="K53" i="43"/>
  <c r="K72"/>
  <c r="K62"/>
  <c r="C95" i="39"/>
  <c r="C59"/>
  <c r="H754"/>
  <c r="D629"/>
  <c r="F173"/>
  <c r="E173"/>
  <c r="E629"/>
  <c r="I754"/>
  <c r="G173"/>
  <c r="M34" i="43"/>
  <c r="D95" i="39"/>
  <c r="J173"/>
  <c r="D208"/>
  <c r="F36" i="43"/>
  <c r="C629" i="39"/>
  <c r="K59" i="43"/>
  <c r="H23" i="44"/>
  <c r="M21" i="43"/>
  <c r="I74"/>
  <c r="F95" i="39"/>
  <c r="F59"/>
  <c r="E95"/>
  <c r="D318"/>
  <c r="D462"/>
  <c r="J629"/>
  <c r="I629"/>
  <c r="D359"/>
  <c r="F629"/>
  <c r="M33" i="43"/>
  <c r="M15"/>
  <c r="E59" i="39"/>
  <c r="H36" i="43"/>
  <c r="F754" i="39"/>
  <c r="J754"/>
  <c r="C754"/>
  <c r="G754"/>
  <c r="E18" i="45" l="1"/>
  <c r="E674" i="39"/>
  <c r="E635"/>
  <c r="J15" i="44"/>
  <c r="H19"/>
  <c r="F11"/>
  <c r="C674" i="39"/>
  <c r="C843"/>
  <c r="F756"/>
  <c r="G74" i="43"/>
  <c r="H14" i="44" l="1"/>
  <c r="F14"/>
  <c r="D15"/>
  <c r="L15" s="1"/>
  <c r="G756" i="39"/>
  <c r="F18" i="45"/>
  <c r="D715" i="39"/>
  <c r="F715"/>
  <c r="H715"/>
  <c r="J715"/>
  <c r="E715"/>
  <c r="G715"/>
  <c r="I715"/>
  <c r="E17" i="45" l="1"/>
  <c r="F717" i="39"/>
  <c r="D14" i="44" s="1"/>
  <c r="J14"/>
  <c r="H756" i="39"/>
  <c r="G18" i="45"/>
  <c r="G717" i="39" l="1"/>
  <c r="G17" i="45" s="1"/>
  <c r="F17"/>
  <c r="L14" i="44"/>
  <c r="I756" i="39"/>
  <c r="H18" i="45"/>
  <c r="H32" i="44"/>
  <c r="E43" i="45"/>
  <c r="H717" i="39" l="1"/>
  <c r="H17" i="45" s="1"/>
  <c r="J674" i="39"/>
  <c r="F674"/>
  <c r="I674"/>
  <c r="H674"/>
  <c r="D674"/>
  <c r="F32" i="44"/>
  <c r="J32" s="1"/>
  <c r="G674" i="39"/>
  <c r="J756"/>
  <c r="I18" i="45"/>
  <c r="D43"/>
  <c r="I717" i="39" l="1"/>
  <c r="I17" i="45" s="1"/>
  <c r="F676" i="39"/>
  <c r="K756"/>
  <c r="J18" i="45"/>
  <c r="J633" i="39"/>
  <c r="I633"/>
  <c r="H633"/>
  <c r="G633"/>
  <c r="F633"/>
  <c r="D633"/>
  <c r="C633"/>
  <c r="C586"/>
  <c r="K18" i="45" l="1"/>
  <c r="J717" i="39"/>
  <c r="J17" i="45" s="1"/>
  <c r="G676" i="39"/>
  <c r="H31" i="44"/>
  <c r="J31" s="1"/>
  <c r="D32"/>
  <c r="L32" s="1"/>
  <c r="F43" i="45"/>
  <c r="D635" i="39"/>
  <c r="F635"/>
  <c r="H635"/>
  <c r="J635"/>
  <c r="C635"/>
  <c r="E42" i="45"/>
  <c r="G635" i="39"/>
  <c r="I635"/>
  <c r="K717" l="1"/>
  <c r="K17" i="45" s="1"/>
  <c r="F637" i="39"/>
  <c r="H676"/>
  <c r="H43" i="45" s="1"/>
  <c r="G43"/>
  <c r="F42" l="1"/>
  <c r="D31" i="44"/>
  <c r="L31" s="1"/>
  <c r="G637" i="39"/>
  <c r="I676"/>
  <c r="I43" i="45" s="1"/>
  <c r="H637" i="39" l="1"/>
  <c r="J676"/>
  <c r="J43" i="45" s="1"/>
  <c r="G42"/>
  <c r="I637" i="39" l="1"/>
  <c r="I42" i="45" s="1"/>
  <c r="K676" i="39"/>
  <c r="H42" i="45"/>
  <c r="J462" i="39"/>
  <c r="F462"/>
  <c r="H462"/>
  <c r="F13" i="44"/>
  <c r="H13"/>
  <c r="J637" i="39" l="1"/>
  <c r="K43" i="45"/>
  <c r="F464" i="39"/>
  <c r="J13" i="44"/>
  <c r="I462" i="39"/>
  <c r="E462"/>
  <c r="G462"/>
  <c r="K637" l="1"/>
  <c r="J42" i="45"/>
  <c r="E16"/>
  <c r="G464" i="39"/>
  <c r="D13" i="44"/>
  <c r="L13" s="1"/>
  <c r="F16" i="45"/>
  <c r="E405" i="39"/>
  <c r="K42" i="45" l="1"/>
  <c r="H464" i="39"/>
  <c r="H16" i="45" s="1"/>
  <c r="G16"/>
  <c r="G318" i="39"/>
  <c r="I464" l="1"/>
  <c r="I16" i="45" s="1"/>
  <c r="F19" i="44"/>
  <c r="F318" i="39"/>
  <c r="H318"/>
  <c r="C318"/>
  <c r="G326"/>
  <c r="J464" l="1"/>
  <c r="J16" i="45" s="1"/>
  <c r="H326" i="39"/>
  <c r="F326"/>
  <c r="J19" i="44"/>
  <c r="E208" i="39"/>
  <c r="C208"/>
  <c r="K464" l="1"/>
  <c r="F328"/>
  <c r="E218"/>
  <c r="E30" i="45"/>
  <c r="C218" i="39"/>
  <c r="K16" i="45" l="1"/>
  <c r="G328" i="39"/>
  <c r="D19" i="44"/>
  <c r="C175" i="39"/>
  <c r="H328" l="1"/>
  <c r="I175"/>
  <c r="E175"/>
  <c r="G175"/>
  <c r="F175"/>
  <c r="H175"/>
  <c r="J175"/>
  <c r="F177" l="1"/>
  <c r="G177" l="1"/>
  <c r="H177" s="1"/>
  <c r="E140"/>
  <c r="I177" l="1"/>
  <c r="E14" i="45"/>
  <c r="D140" i="39"/>
  <c r="J177" l="1"/>
  <c r="J99"/>
  <c r="I99"/>
  <c r="H99"/>
  <c r="G99"/>
  <c r="F99"/>
  <c r="E99"/>
  <c r="D99"/>
  <c r="C99"/>
  <c r="D104" l="1"/>
  <c r="C104"/>
  <c r="E104"/>
  <c r="K177"/>
  <c r="H17" i="44"/>
  <c r="D101" i="39"/>
  <c r="F101"/>
  <c r="F103" s="1"/>
  <c r="C101"/>
  <c r="E101"/>
  <c r="E20" i="45" l="1"/>
  <c r="J63" i="39"/>
  <c r="I63"/>
  <c r="H63"/>
  <c r="G63"/>
  <c r="F63"/>
  <c r="E63"/>
  <c r="D63"/>
  <c r="C63"/>
  <c r="F20" i="45" l="1"/>
  <c r="F104" i="39"/>
  <c r="D68"/>
  <c r="C68"/>
  <c r="E68"/>
  <c r="H16" i="44"/>
  <c r="D17"/>
  <c r="D65" i="39"/>
  <c r="F65"/>
  <c r="C65"/>
  <c r="E65"/>
  <c r="E19" i="45" l="1"/>
  <c r="F67" i="39"/>
  <c r="F19" i="45" l="1"/>
  <c r="F68" i="39"/>
  <c r="D16" i="44"/>
  <c r="M13" i="43"/>
  <c r="E17" i="39" l="1"/>
  <c r="E788" s="1"/>
  <c r="G493"/>
  <c r="I14" i="43" l="1"/>
  <c r="G886" i="39"/>
  <c r="G105" i="40"/>
  <c r="G13"/>
  <c r="G44"/>
  <c r="G356" i="39"/>
  <c r="I28" i="43" s="1"/>
  <c r="G133" i="40"/>
  <c r="G500" i="39"/>
  <c r="G590"/>
  <c r="H493"/>
  <c r="H886" s="1"/>
  <c r="H105" i="40"/>
  <c r="H44"/>
  <c r="H500" i="39"/>
  <c r="H893" s="1"/>
  <c r="H356"/>
  <c r="G107" i="40"/>
  <c r="K74"/>
  <c r="C15"/>
  <c r="C62" i="42"/>
  <c r="J495" i="39"/>
  <c r="J888" s="1"/>
  <c r="I495"/>
  <c r="I888" s="1"/>
  <c r="H495"/>
  <c r="H888" s="1"/>
  <c r="G495"/>
  <c r="E71" i="40"/>
  <c r="G888" i="39" l="1"/>
  <c r="G893"/>
  <c r="L14" i="43"/>
  <c r="D70"/>
  <c r="G847" i="39"/>
  <c r="D52" i="43"/>
  <c r="H133" i="40"/>
  <c r="H13"/>
  <c r="H590" i="39"/>
  <c r="H847" s="1"/>
  <c r="E495"/>
  <c r="E888" s="1"/>
  <c r="G17"/>
  <c r="H107" i="40"/>
  <c r="I493" i="39"/>
  <c r="I886" s="1"/>
  <c r="I208"/>
  <c r="H208"/>
  <c r="J208"/>
  <c r="I356"/>
  <c r="G208"/>
  <c r="H218" l="1"/>
  <c r="J218"/>
  <c r="I218"/>
  <c r="I10" i="43"/>
  <c r="T854" i="36"/>
  <c r="I590" i="39"/>
  <c r="I847" s="1"/>
  <c r="I105" i="40"/>
  <c r="I500" i="39"/>
  <c r="I893" s="1"/>
  <c r="I44" i="40"/>
  <c r="I133"/>
  <c r="G410" i="39"/>
  <c r="G218"/>
  <c r="F23" i="44"/>
  <c r="I13" i="40"/>
  <c r="H17" i="39"/>
  <c r="F208"/>
  <c r="J493"/>
  <c r="J886" s="1"/>
  <c r="I107" i="40"/>
  <c r="H410" i="39"/>
  <c r="J356"/>
  <c r="E15"/>
  <c r="E786" s="1"/>
  <c r="E67" i="43" l="1"/>
  <c r="J44" i="40"/>
  <c r="J105"/>
  <c r="J133"/>
  <c r="J500" i="39"/>
  <c r="J893" s="1"/>
  <c r="I17"/>
  <c r="J13" i="40"/>
  <c r="K590" i="39"/>
  <c r="K847" s="1"/>
  <c r="J590"/>
  <c r="J847" s="1"/>
  <c r="F218"/>
  <c r="F224" s="1"/>
  <c r="J23" i="44"/>
  <c r="J107" i="40"/>
  <c r="I410" i="39"/>
  <c r="C410"/>
  <c r="T98" i="36" l="1"/>
  <c r="K44" i="40" s="1"/>
  <c r="K47" s="1"/>
  <c r="J17" i="39"/>
  <c r="T119" i="36"/>
  <c r="T790"/>
  <c r="K493" i="39"/>
  <c r="T817" i="36"/>
  <c r="T856" s="1"/>
  <c r="K500" i="39"/>
  <c r="K13" i="40"/>
  <c r="T1148" i="36"/>
  <c r="T1149" s="1"/>
  <c r="T569"/>
  <c r="K356" i="39"/>
  <c r="K359" s="1"/>
  <c r="J410"/>
  <c r="E57" i="42"/>
  <c r="G57"/>
  <c r="H57"/>
  <c r="I57"/>
  <c r="J57"/>
  <c r="E56"/>
  <c r="G56"/>
  <c r="H56"/>
  <c r="I56"/>
  <c r="J56"/>
  <c r="C73"/>
  <c r="E73"/>
  <c r="G73"/>
  <c r="H73"/>
  <c r="I73"/>
  <c r="J73"/>
  <c r="G592" i="39"/>
  <c r="H592"/>
  <c r="H849" s="1"/>
  <c r="I592"/>
  <c r="I849" s="1"/>
  <c r="J592"/>
  <c r="J849" s="1"/>
  <c r="G163" i="40"/>
  <c r="H163"/>
  <c r="I163"/>
  <c r="J163"/>
  <c r="C783" i="39" l="1"/>
  <c r="C455"/>
  <c r="H34" i="42"/>
  <c r="I34"/>
  <c r="C34"/>
  <c r="J34"/>
  <c r="E34"/>
  <c r="G34"/>
  <c r="C17"/>
  <c r="E17"/>
  <c r="K28"/>
  <c r="K13"/>
  <c r="E18"/>
  <c r="C18"/>
  <c r="G224" i="39"/>
  <c r="F30" i="45"/>
  <c r="K504" i="39"/>
  <c r="K893"/>
  <c r="K899" s="1"/>
  <c r="K496"/>
  <c r="K886"/>
  <c r="K889" s="1"/>
  <c r="F70" i="43"/>
  <c r="G849" i="39"/>
  <c r="K52" i="42"/>
  <c r="D23" i="44"/>
  <c r="L23" s="1"/>
  <c r="T858" i="36"/>
  <c r="K16" i="40"/>
  <c r="K17" i="39"/>
  <c r="E163" i="40"/>
  <c r="E592" i="39"/>
  <c r="E849" s="1"/>
  <c r="E852" s="1"/>
  <c r="K107" i="40"/>
  <c r="K410" i="39"/>
  <c r="C57" i="42"/>
  <c r="C56"/>
  <c r="G57" i="39"/>
  <c r="C18" i="43" s="1"/>
  <c r="M18" s="1"/>
  <c r="G93" i="39"/>
  <c r="C19" i="43" s="1"/>
  <c r="M19" s="1"/>
  <c r="E22" i="39" l="1"/>
  <c r="E795" s="1"/>
  <c r="T860" i="36"/>
  <c r="C715" i="39"/>
  <c r="C462"/>
  <c r="K506"/>
  <c r="K901"/>
  <c r="E857"/>
  <c r="E854"/>
  <c r="T1107" i="36"/>
  <c r="T1110" s="1"/>
  <c r="H224" i="39"/>
  <c r="G30" i="45"/>
  <c r="H72" i="40"/>
  <c r="G59" i="39"/>
  <c r="G95"/>
  <c r="H93"/>
  <c r="H57"/>
  <c r="H578"/>
  <c r="H834" s="1"/>
  <c r="E59" i="42" l="1"/>
  <c r="G18"/>
  <c r="G17"/>
  <c r="G65" i="39"/>
  <c r="F16" i="44"/>
  <c r="J16" s="1"/>
  <c r="L16" s="1"/>
  <c r="I224" i="39"/>
  <c r="H30" i="45"/>
  <c r="G101" i="39"/>
  <c r="F17" i="44"/>
  <c r="J17" s="1"/>
  <c r="L17" s="1"/>
  <c r="I72" i="40"/>
  <c r="H59" i="39"/>
  <c r="H95"/>
  <c r="I578"/>
  <c r="I834" s="1"/>
  <c r="I57"/>
  <c r="I93"/>
  <c r="H18" i="42" l="1"/>
  <c r="H17"/>
  <c r="H65" i="39"/>
  <c r="G103"/>
  <c r="G104" s="1"/>
  <c r="G67"/>
  <c r="G68" s="1"/>
  <c r="H101"/>
  <c r="H843"/>
  <c r="I843"/>
  <c r="J224"/>
  <c r="I30" i="45"/>
  <c r="J72" i="40"/>
  <c r="I59" i="39"/>
  <c r="I95"/>
  <c r="J578"/>
  <c r="J834" s="1"/>
  <c r="G72" i="40"/>
  <c r="T1158" i="36" l="1"/>
  <c r="I18" i="42"/>
  <c r="I17"/>
  <c r="G20" i="45"/>
  <c r="H103" i="39"/>
  <c r="H104" s="1"/>
  <c r="H67"/>
  <c r="K224"/>
  <c r="I65"/>
  <c r="G19" i="45"/>
  <c r="I101" i="39"/>
  <c r="J843"/>
  <c r="L32" i="43"/>
  <c r="G843" i="39"/>
  <c r="J30" i="45"/>
  <c r="E72" i="40"/>
  <c r="J57" i="39"/>
  <c r="J93"/>
  <c r="K578"/>
  <c r="K834" s="1"/>
  <c r="K843" s="1"/>
  <c r="J67" i="43"/>
  <c r="H415" i="39"/>
  <c r="I415"/>
  <c r="J415"/>
  <c r="E318"/>
  <c r="E23" l="1"/>
  <c r="E796" s="1"/>
  <c r="K72" i="40"/>
  <c r="T1214" i="36"/>
  <c r="T1225" s="1"/>
  <c r="H19" i="45"/>
  <c r="H68" i="39"/>
  <c r="J17" i="42"/>
  <c r="J18"/>
  <c r="H20" i="45"/>
  <c r="I67" i="39"/>
  <c r="I68" s="1"/>
  <c r="K30" i="45"/>
  <c r="I103" i="39"/>
  <c r="I104" s="1"/>
  <c r="T285" i="36"/>
  <c r="K57" i="39"/>
  <c r="K59" s="1"/>
  <c r="T920" i="36"/>
  <c r="K586" i="39"/>
  <c r="T303" i="36"/>
  <c r="K93" i="39"/>
  <c r="K95" s="1"/>
  <c r="J59"/>
  <c r="J95"/>
  <c r="K33" i="42" l="1"/>
  <c r="I19" i="45"/>
  <c r="K65" i="39"/>
  <c r="J101"/>
  <c r="I20" i="45"/>
  <c r="K101" i="39"/>
  <c r="J65"/>
  <c r="E359"/>
  <c r="T293" i="36"/>
  <c r="K17" i="42"/>
  <c r="T310" i="36"/>
  <c r="K18" i="42"/>
  <c r="F359" i="39"/>
  <c r="T295" i="36" l="1"/>
  <c r="T312"/>
  <c r="T1072"/>
  <c r="E28" i="42"/>
  <c r="T1071" i="36"/>
  <c r="J103" i="39"/>
  <c r="J67"/>
  <c r="J68" s="1"/>
  <c r="I359"/>
  <c r="J359"/>
  <c r="G359"/>
  <c r="L28" i="43"/>
  <c r="M28" s="1"/>
  <c r="G168" i="40"/>
  <c r="J104" i="39" l="1"/>
  <c r="J20" i="45"/>
  <c r="K103" i="39"/>
  <c r="K104" s="1"/>
  <c r="J19" i="45"/>
  <c r="K67" i="39"/>
  <c r="K68" s="1"/>
  <c r="F26" i="44"/>
  <c r="G27" i="39"/>
  <c r="G803" l="1"/>
  <c r="K20" i="45"/>
  <c r="K19"/>
  <c r="J48" i="43"/>
  <c r="J74" s="1"/>
  <c r="H168" i="40"/>
  <c r="I168"/>
  <c r="J168"/>
  <c r="E27" i="39"/>
  <c r="E803" s="1"/>
  <c r="J27" l="1"/>
  <c r="H27"/>
  <c r="I27"/>
  <c r="E29" i="42"/>
  <c r="F405" i="39"/>
  <c r="G409"/>
  <c r="H803" l="1"/>
  <c r="I803"/>
  <c r="J803"/>
  <c r="D67" i="43"/>
  <c r="G363" i="39"/>
  <c r="E586"/>
  <c r="T1130" i="36"/>
  <c r="H409" i="39"/>
  <c r="H363"/>
  <c r="T1091" i="36"/>
  <c r="D66" i="43" l="1"/>
  <c r="I409" i="39"/>
  <c r="I363"/>
  <c r="L29" i="43" l="1"/>
  <c r="L36" s="1"/>
  <c r="G136" i="39"/>
  <c r="J409"/>
  <c r="J363"/>
  <c r="J314"/>
  <c r="I314"/>
  <c r="H352"/>
  <c r="G138" l="1"/>
  <c r="F51" i="43"/>
  <c r="K51" s="1"/>
  <c r="H136" i="39"/>
  <c r="K363"/>
  <c r="K369" s="1"/>
  <c r="F140"/>
  <c r="H359"/>
  <c r="I318"/>
  <c r="J318"/>
  <c r="H11" i="44" l="1"/>
  <c r="J11" s="1"/>
  <c r="J326" i="39"/>
  <c r="I326"/>
  <c r="H138"/>
  <c r="G140"/>
  <c r="F142"/>
  <c r="I136"/>
  <c r="T731" i="36"/>
  <c r="K409" i="39"/>
  <c r="K416" s="1"/>
  <c r="C164" i="40"/>
  <c r="C23" i="39" l="1"/>
  <c r="C796" s="1"/>
  <c r="K68" i="42"/>
  <c r="K371" i="39"/>
  <c r="I328"/>
  <c r="H140"/>
  <c r="I138"/>
  <c r="J136"/>
  <c r="T649" i="36"/>
  <c r="K67" i="42"/>
  <c r="G142" i="39"/>
  <c r="D11" i="44"/>
  <c r="L11" s="1"/>
  <c r="F14" i="45"/>
  <c r="T348" i="36"/>
  <c r="T1089"/>
  <c r="T313"/>
  <c r="G788" i="39"/>
  <c r="T651" i="36" l="1"/>
  <c r="T1078"/>
  <c r="J328" i="39"/>
  <c r="I140"/>
  <c r="H142"/>
  <c r="I29" i="43"/>
  <c r="M29" s="1"/>
  <c r="J138" i="39"/>
  <c r="G14" i="45"/>
  <c r="K136" i="39"/>
  <c r="H788"/>
  <c r="G405"/>
  <c r="K328" l="1"/>
  <c r="H14" i="45"/>
  <c r="I36" i="43"/>
  <c r="I142" i="39"/>
  <c r="F27" i="44"/>
  <c r="J140" i="39"/>
  <c r="K138"/>
  <c r="T350" i="36"/>
  <c r="K51" i="42"/>
  <c r="T296" i="36"/>
  <c r="T1088"/>
  <c r="I788" i="39"/>
  <c r="H405"/>
  <c r="C74" i="42"/>
  <c r="T352" i="36" l="1"/>
  <c r="H16" i="42"/>
  <c r="J55"/>
  <c r="E55"/>
  <c r="I16"/>
  <c r="C16"/>
  <c r="G55"/>
  <c r="G16"/>
  <c r="I55"/>
  <c r="J16"/>
  <c r="E16"/>
  <c r="H55"/>
  <c r="T1073" i="36"/>
  <c r="I25" i="42"/>
  <c r="K140" i="39"/>
  <c r="I14" i="45"/>
  <c r="J142" i="39"/>
  <c r="C55" i="42"/>
  <c r="J788" i="39"/>
  <c r="I405"/>
  <c r="G54" i="42"/>
  <c r="J54"/>
  <c r="G15" l="1"/>
  <c r="I54"/>
  <c r="H15"/>
  <c r="E54"/>
  <c r="I15"/>
  <c r="C15"/>
  <c r="J15"/>
  <c r="E15"/>
  <c r="H54"/>
  <c r="J14" i="45"/>
  <c r="K142" i="39"/>
  <c r="D754"/>
  <c r="J405"/>
  <c r="K14" i="45" l="1"/>
  <c r="K788" i="39"/>
  <c r="C54" i="42"/>
  <c r="I35" l="1"/>
  <c r="C35"/>
  <c r="J35"/>
  <c r="E35"/>
  <c r="G35"/>
  <c r="H35"/>
  <c r="K405" i="39"/>
  <c r="T733" i="36"/>
  <c r="K29" i="42"/>
  <c r="T735" i="36" l="1"/>
  <c r="T1079"/>
  <c r="K418" i="39"/>
  <c r="C592"/>
  <c r="C849" s="1"/>
  <c r="T1099" i="36" l="1"/>
  <c r="C33" i="42"/>
  <c r="C591" i="39"/>
  <c r="C848" s="1"/>
  <c r="D599"/>
  <c r="E72" i="42"/>
  <c r="E594" i="39"/>
  <c r="G33" i="42"/>
  <c r="G586" i="39"/>
  <c r="H586"/>
  <c r="I586"/>
  <c r="J586"/>
  <c r="D586"/>
  <c r="J33" i="42" l="1"/>
  <c r="H33"/>
  <c r="C72"/>
  <c r="I33"/>
  <c r="E596" i="39"/>
  <c r="F30" i="44"/>
  <c r="C852" i="39"/>
  <c r="C594"/>
  <c r="D596"/>
  <c r="F586"/>
  <c r="M32" i="43"/>
  <c r="E599" i="39"/>
  <c r="E41" i="45" l="1"/>
  <c r="C596" i="39"/>
  <c r="C857"/>
  <c r="C854"/>
  <c r="G591"/>
  <c r="C599"/>
  <c r="F594"/>
  <c r="G848" l="1"/>
  <c r="G852" s="1"/>
  <c r="G854" s="1"/>
  <c r="T1131" i="36"/>
  <c r="G72" i="42"/>
  <c r="G594" i="39"/>
  <c r="E70" i="43"/>
  <c r="K70" s="1"/>
  <c r="H591" i="39"/>
  <c r="F596"/>
  <c r="G856" l="1"/>
  <c r="F598"/>
  <c r="G596"/>
  <c r="H594"/>
  <c r="H848"/>
  <c r="H852" s="1"/>
  <c r="H30" i="44"/>
  <c r="J30" s="1"/>
  <c r="H72" i="42"/>
  <c r="I591" i="39"/>
  <c r="T1098" i="36"/>
  <c r="F41" i="45" l="1"/>
  <c r="G857" i="39"/>
  <c r="H854"/>
  <c r="F599"/>
  <c r="D30" i="44"/>
  <c r="L30" s="1"/>
  <c r="H596" i="39"/>
  <c r="G598"/>
  <c r="I594"/>
  <c r="I848"/>
  <c r="I852" s="1"/>
  <c r="I72" i="42"/>
  <c r="J591" i="39"/>
  <c r="E544"/>
  <c r="E894" s="1"/>
  <c r="C30" i="42"/>
  <c r="E536" i="39"/>
  <c r="E884" s="1"/>
  <c r="H856" l="1"/>
  <c r="I854"/>
  <c r="I596"/>
  <c r="G41" i="45"/>
  <c r="H598" i="39"/>
  <c r="H599" s="1"/>
  <c r="G599"/>
  <c r="E539"/>
  <c r="J594"/>
  <c r="J848"/>
  <c r="J852" s="1"/>
  <c r="J72" i="42"/>
  <c r="E545" i="39"/>
  <c r="E546" s="1"/>
  <c r="T955" i="36"/>
  <c r="K591" i="39"/>
  <c r="C545"/>
  <c r="C895" s="1"/>
  <c r="G546"/>
  <c r="C544"/>
  <c r="C894" s="1"/>
  <c r="J546"/>
  <c r="C495"/>
  <c r="C888" s="1"/>
  <c r="E494"/>
  <c r="E887" s="1"/>
  <c r="H857" l="1"/>
  <c r="J854"/>
  <c r="I856"/>
  <c r="H41" i="45"/>
  <c r="I598" i="39"/>
  <c r="J30" i="42"/>
  <c r="E30"/>
  <c r="G30"/>
  <c r="I30"/>
  <c r="E69"/>
  <c r="C69"/>
  <c r="G69"/>
  <c r="H69"/>
  <c r="I69"/>
  <c r="J69"/>
  <c r="J596" i="39"/>
  <c r="C899"/>
  <c r="E496"/>
  <c r="E889"/>
  <c r="K594"/>
  <c r="K848"/>
  <c r="K852" s="1"/>
  <c r="J502"/>
  <c r="T957" i="36"/>
  <c r="K72" i="42"/>
  <c r="E502" i="39"/>
  <c r="H502"/>
  <c r="I502"/>
  <c r="G502"/>
  <c r="E52" i="43"/>
  <c r="H494" i="39"/>
  <c r="H887" s="1"/>
  <c r="G494"/>
  <c r="J494"/>
  <c r="J887" s="1"/>
  <c r="I494"/>
  <c r="I887" s="1"/>
  <c r="C546"/>
  <c r="H546"/>
  <c r="D546"/>
  <c r="F546"/>
  <c r="C494"/>
  <c r="C887" s="1"/>
  <c r="C889" s="1"/>
  <c r="E548"/>
  <c r="I546"/>
  <c r="F496"/>
  <c r="G548"/>
  <c r="D496"/>
  <c r="J548"/>
  <c r="G895" l="1"/>
  <c r="G899" s="1"/>
  <c r="T959" i="36"/>
  <c r="G887" i="39"/>
  <c r="G889" s="1"/>
  <c r="C904"/>
  <c r="I857"/>
  <c r="K854"/>
  <c r="J856"/>
  <c r="T1122" i="36"/>
  <c r="T1126" s="1"/>
  <c r="J598" i="39"/>
  <c r="I41" i="45"/>
  <c r="K596" i="39"/>
  <c r="I599"/>
  <c r="C13" i="42"/>
  <c r="H13"/>
  <c r="G13"/>
  <c r="J13"/>
  <c r="I13"/>
  <c r="E13"/>
  <c r="H548" i="39"/>
  <c r="I548"/>
  <c r="C548"/>
  <c r="E504"/>
  <c r="E895"/>
  <c r="E899" s="1"/>
  <c r="H504"/>
  <c r="H895"/>
  <c r="H899" s="1"/>
  <c r="J504"/>
  <c r="J895"/>
  <c r="J899" s="1"/>
  <c r="I504"/>
  <c r="I895"/>
  <c r="I899" s="1"/>
  <c r="H496"/>
  <c r="H889"/>
  <c r="C496"/>
  <c r="I496"/>
  <c r="I889"/>
  <c r="J496"/>
  <c r="J889"/>
  <c r="F52" i="43"/>
  <c r="K52" s="1"/>
  <c r="G504" i="39"/>
  <c r="G496"/>
  <c r="J14" i="43"/>
  <c r="M14" s="1"/>
  <c r="D509" i="39"/>
  <c r="C509"/>
  <c r="D548"/>
  <c r="F548"/>
  <c r="C53" i="42"/>
  <c r="G901" i="39" l="1"/>
  <c r="G903" s="1"/>
  <c r="J857"/>
  <c r="E904"/>
  <c r="K856"/>
  <c r="C901"/>
  <c r="K598"/>
  <c r="K599" s="1"/>
  <c r="J41" i="45"/>
  <c r="J599" i="39"/>
  <c r="H14" i="42"/>
  <c r="I14"/>
  <c r="C52"/>
  <c r="J14"/>
  <c r="E14"/>
  <c r="E506" i="39"/>
  <c r="F12" i="44"/>
  <c r="J506" i="39"/>
  <c r="I506"/>
  <c r="H506"/>
  <c r="I901"/>
  <c r="J901"/>
  <c r="H901"/>
  <c r="E901"/>
  <c r="J52" i="42"/>
  <c r="H52"/>
  <c r="I52"/>
  <c r="G52"/>
  <c r="T960" i="36"/>
  <c r="T1129"/>
  <c r="E52" i="42"/>
  <c r="J36" i="43"/>
  <c r="G506" i="39"/>
  <c r="H12" i="44"/>
  <c r="E509" i="39"/>
  <c r="D506"/>
  <c r="C506"/>
  <c r="F506"/>
  <c r="C788"/>
  <c r="T1133" i="36" l="1"/>
  <c r="G904" i="39"/>
  <c r="H903"/>
  <c r="K857"/>
  <c r="K41" i="45"/>
  <c r="E15"/>
  <c r="J12" i="44"/>
  <c r="F508" i="39"/>
  <c r="G550"/>
  <c r="J411"/>
  <c r="J416" s="1"/>
  <c r="I411"/>
  <c r="I416" s="1"/>
  <c r="E411"/>
  <c r="H411"/>
  <c r="H416" s="1"/>
  <c r="G411"/>
  <c r="C411"/>
  <c r="D416"/>
  <c r="C14" i="42"/>
  <c r="C414" i="39"/>
  <c r="C802" s="1"/>
  <c r="C405"/>
  <c r="D405"/>
  <c r="E416" l="1"/>
  <c r="I903"/>
  <c r="H904"/>
  <c r="G29" i="42"/>
  <c r="I29"/>
  <c r="C29"/>
  <c r="H29"/>
  <c r="C68"/>
  <c r="J68"/>
  <c r="I68"/>
  <c r="H68"/>
  <c r="G68"/>
  <c r="I418" i="39"/>
  <c r="D421"/>
  <c r="H418"/>
  <c r="J418"/>
  <c r="F15" i="45"/>
  <c r="E68" i="42"/>
  <c r="G416" i="39"/>
  <c r="F67" i="43"/>
  <c r="K67" s="1"/>
  <c r="F509" i="39"/>
  <c r="D12" i="44"/>
  <c r="L12" s="1"/>
  <c r="G508" i="39"/>
  <c r="H550"/>
  <c r="C416"/>
  <c r="F416"/>
  <c r="D418"/>
  <c r="I904" l="1"/>
  <c r="E418"/>
  <c r="E421"/>
  <c r="J903"/>
  <c r="J29" i="42"/>
  <c r="T1115" i="36"/>
  <c r="F418" i="39"/>
  <c r="G509"/>
  <c r="E36" i="45"/>
  <c r="C421" i="39"/>
  <c r="G418"/>
  <c r="H27" i="44"/>
  <c r="J27" s="1"/>
  <c r="H508" i="39"/>
  <c r="G15" i="45"/>
  <c r="I550" i="39"/>
  <c r="C418"/>
  <c r="J904" l="1"/>
  <c r="K903"/>
  <c r="K904" s="1"/>
  <c r="G365"/>
  <c r="H28" i="42"/>
  <c r="J28"/>
  <c r="J365" i="39"/>
  <c r="J369" s="1"/>
  <c r="H365"/>
  <c r="H369" s="1"/>
  <c r="I28" i="42"/>
  <c r="G28"/>
  <c r="H509" i="39"/>
  <c r="F420"/>
  <c r="I365"/>
  <c r="I369" s="1"/>
  <c r="E66" i="43"/>
  <c r="I508" i="39"/>
  <c r="H15" i="45"/>
  <c r="J550" i="39"/>
  <c r="C359"/>
  <c r="G369" l="1"/>
  <c r="F66" i="43"/>
  <c r="K66" s="1"/>
  <c r="J20" i="42"/>
  <c r="C20"/>
  <c r="G59"/>
  <c r="G20"/>
  <c r="H59"/>
  <c r="I20"/>
  <c r="J59"/>
  <c r="C28"/>
  <c r="H20"/>
  <c r="I59"/>
  <c r="C67"/>
  <c r="E67"/>
  <c r="J67"/>
  <c r="I67"/>
  <c r="H67"/>
  <c r="G67"/>
  <c r="F36" i="45"/>
  <c r="D27" i="44"/>
  <c r="L27" s="1"/>
  <c r="F421" i="39"/>
  <c r="I509"/>
  <c r="G420"/>
  <c r="C374"/>
  <c r="J508"/>
  <c r="I15" i="45"/>
  <c r="K550" i="39"/>
  <c r="C371"/>
  <c r="C64" i="42"/>
  <c r="C324" i="39" l="1"/>
  <c r="T1097" i="36"/>
  <c r="H25" i="42"/>
  <c r="C25"/>
  <c r="C59"/>
  <c r="J25"/>
  <c r="E371" i="39"/>
  <c r="I371"/>
  <c r="D371"/>
  <c r="H420"/>
  <c r="G36" i="45"/>
  <c r="G421" i="39"/>
  <c r="H371"/>
  <c r="J371"/>
  <c r="J509"/>
  <c r="E326"/>
  <c r="T861" i="36"/>
  <c r="T1114"/>
  <c r="G25" i="42"/>
  <c r="K508" i="39"/>
  <c r="J15" i="45"/>
  <c r="G371" i="39"/>
  <c r="H26" i="44"/>
  <c r="J26" s="1"/>
  <c r="E374" i="39"/>
  <c r="D374"/>
  <c r="F371"/>
  <c r="F24" i="45"/>
  <c r="L19" i="44"/>
  <c r="T1096" i="36" l="1"/>
  <c r="T736"/>
  <c r="G222" i="39"/>
  <c r="I420"/>
  <c r="H36" i="45"/>
  <c r="H421" i="39"/>
  <c r="K15" i="45"/>
  <c r="E35"/>
  <c r="E24"/>
  <c r="D326" i="39"/>
  <c r="C326"/>
  <c r="K509"/>
  <c r="F373"/>
  <c r="G24" i="45"/>
  <c r="D218" i="39"/>
  <c r="F374" l="1"/>
  <c r="J420"/>
  <c r="I36" i="45"/>
  <c r="I421" i="39"/>
  <c r="H222"/>
  <c r="G373"/>
  <c r="D26" i="44"/>
  <c r="L26" s="1"/>
  <c r="F35" i="45"/>
  <c r="J22" i="44"/>
  <c r="H24" i="45"/>
  <c r="M24" i="43"/>
  <c r="I222" i="39" l="1"/>
  <c r="K420"/>
  <c r="J36" i="45"/>
  <c r="J421" i="39"/>
  <c r="H373"/>
  <c r="H374" s="1"/>
  <c r="G374"/>
  <c r="G35" i="45"/>
  <c r="I24"/>
  <c r="J222" i="39" l="1"/>
  <c r="H35" i="45"/>
  <c r="I373" i="39"/>
  <c r="I374" s="1"/>
  <c r="K36" i="45"/>
  <c r="K421" i="39"/>
  <c r="L22" i="44"/>
  <c r="J24" i="45"/>
  <c r="G51" i="42"/>
  <c r="H51"/>
  <c r="I51"/>
  <c r="J51"/>
  <c r="E51"/>
  <c r="G12" l="1"/>
  <c r="J12"/>
  <c r="I12"/>
  <c r="C12"/>
  <c r="H12"/>
  <c r="E12"/>
  <c r="T652" i="36"/>
  <c r="T1095"/>
  <c r="K222" i="39"/>
  <c r="J373"/>
  <c r="I35" i="45"/>
  <c r="K24"/>
  <c r="E36" i="43"/>
  <c r="C140" i="39"/>
  <c r="K373" l="1"/>
  <c r="J35" i="45"/>
  <c r="J374" i="39"/>
  <c r="T1092" i="36"/>
  <c r="C51" i="42"/>
  <c r="K35" i="45" l="1"/>
  <c r="K374" i="39"/>
  <c r="T1117" i="36"/>
  <c r="T1094"/>
  <c r="G164" i="40" l="1"/>
  <c r="C27" i="39"/>
  <c r="C803" s="1"/>
  <c r="C73" i="40"/>
  <c r="E45"/>
  <c r="G45"/>
  <c r="H45"/>
  <c r="I45"/>
  <c r="J45"/>
  <c r="C46"/>
  <c r="E46"/>
  <c r="G46"/>
  <c r="H46"/>
  <c r="I46"/>
  <c r="J46"/>
  <c r="G23" i="39" l="1"/>
  <c r="I74" i="40"/>
  <c r="H73"/>
  <c r="H74"/>
  <c r="G73"/>
  <c r="G24" i="39" s="1"/>
  <c r="G74" i="40"/>
  <c r="J73"/>
  <c r="E73"/>
  <c r="E24" i="39" s="1"/>
  <c r="E135" i="40"/>
  <c r="J74"/>
  <c r="E74"/>
  <c r="I73"/>
  <c r="F16"/>
  <c r="C169"/>
  <c r="C71"/>
  <c r="G47"/>
  <c r="D47"/>
  <c r="C135"/>
  <c r="C136" s="1"/>
  <c r="E47"/>
  <c r="C45"/>
  <c r="C47" s="1"/>
  <c r="D108"/>
  <c r="C74"/>
  <c r="F108"/>
  <c r="G16"/>
  <c r="J47"/>
  <c r="I47"/>
  <c r="C108"/>
  <c r="I16"/>
  <c r="G108"/>
  <c r="H16"/>
  <c r="E108"/>
  <c r="H47"/>
  <c r="J108"/>
  <c r="I108"/>
  <c r="J16"/>
  <c r="F47"/>
  <c r="H108"/>
  <c r="G796" i="39" l="1"/>
  <c r="C22"/>
  <c r="C795" s="1"/>
  <c r="C24"/>
  <c r="C797" s="1"/>
  <c r="G797"/>
  <c r="E797"/>
  <c r="C25"/>
  <c r="C798" s="1"/>
  <c r="E25"/>
  <c r="E798" s="1"/>
  <c r="D48" i="43"/>
  <c r="D74" s="1"/>
  <c r="H164" i="40"/>
  <c r="E136"/>
  <c r="C16"/>
  <c r="G71"/>
  <c r="G135"/>
  <c r="D136"/>
  <c r="F75"/>
  <c r="C75"/>
  <c r="D75"/>
  <c r="E75"/>
  <c r="D169"/>
  <c r="F136"/>
  <c r="E16"/>
  <c r="D16"/>
  <c r="I164"/>
  <c r="I23" i="39" l="1"/>
  <c r="H23"/>
  <c r="G25"/>
  <c r="G22"/>
  <c r="C48" i="42"/>
  <c r="C76" s="1"/>
  <c r="T1090" i="36"/>
  <c r="C804" i="39"/>
  <c r="H71" i="40"/>
  <c r="H135"/>
  <c r="D28" i="39"/>
  <c r="C28"/>
  <c r="G136" i="40"/>
  <c r="G75"/>
  <c r="E11" i="39"/>
  <c r="E782" s="1"/>
  <c r="H796" l="1"/>
  <c r="I796"/>
  <c r="G795"/>
  <c r="H22"/>
  <c r="F48" i="43"/>
  <c r="F74" s="1"/>
  <c r="G798" i="39"/>
  <c r="H25"/>
  <c r="C48" i="43"/>
  <c r="C74" s="1"/>
  <c r="C33" i="39"/>
  <c r="C809"/>
  <c r="I71" i="40"/>
  <c r="K164"/>
  <c r="J164"/>
  <c r="I135"/>
  <c r="D33" i="39"/>
  <c r="H75" i="40"/>
  <c r="E804" i="39"/>
  <c r="H798" l="1"/>
  <c r="H795"/>
  <c r="I22"/>
  <c r="J23"/>
  <c r="I25"/>
  <c r="E809"/>
  <c r="E48" i="43"/>
  <c r="G804" i="39"/>
  <c r="J135" i="40"/>
  <c r="I75"/>
  <c r="J71"/>
  <c r="T269" i="36"/>
  <c r="E169" i="40"/>
  <c r="E28" i="39"/>
  <c r="K169" i="40"/>
  <c r="F169"/>
  <c r="I169"/>
  <c r="G169"/>
  <c r="G28" i="39"/>
  <c r="H169" i="40"/>
  <c r="G15" i="39"/>
  <c r="C11"/>
  <c r="C782" s="1"/>
  <c r="J796" l="1"/>
  <c r="I798"/>
  <c r="I795"/>
  <c r="J22"/>
  <c r="G786"/>
  <c r="J25"/>
  <c r="T163" i="36"/>
  <c r="T1208"/>
  <c r="T1209" s="1"/>
  <c r="H8" i="44"/>
  <c r="G10" i="43"/>
  <c r="G36" s="1"/>
  <c r="G48" i="42"/>
  <c r="G76" s="1"/>
  <c r="K71" i="40"/>
  <c r="J75"/>
  <c r="K135"/>
  <c r="C18" i="39"/>
  <c r="C790" s="1"/>
  <c r="F28"/>
  <c r="J169" i="40"/>
  <c r="J798" i="39" l="1"/>
  <c r="K22"/>
  <c r="K105" i="40"/>
  <c r="T191" i="36"/>
  <c r="K25" i="39"/>
  <c r="J795"/>
  <c r="C9" i="42"/>
  <c r="C37" s="1"/>
  <c r="E48"/>
  <c r="E76" s="1"/>
  <c r="C20" i="39"/>
  <c r="C792"/>
  <c r="G11"/>
  <c r="T1198" i="36"/>
  <c r="K75" i="40"/>
  <c r="H34" i="44"/>
  <c r="D46" i="45"/>
  <c r="E74" i="43"/>
  <c r="K48"/>
  <c r="K798" i="39" l="1"/>
  <c r="C806"/>
  <c r="G782"/>
  <c r="K108" i="40"/>
  <c r="K795" i="39"/>
  <c r="G9" i="42"/>
  <c r="G37" s="1"/>
  <c r="C30" i="39"/>
  <c r="K74" i="43"/>
  <c r="G20" i="39"/>
  <c r="C10" i="43"/>
  <c r="C36" s="1"/>
  <c r="H11" i="39"/>
  <c r="E12"/>
  <c r="E783" s="1"/>
  <c r="H782" l="1"/>
  <c r="G792"/>
  <c r="T1213" i="36"/>
  <c r="T1224" s="1"/>
  <c r="T1227" s="1"/>
  <c r="K133" i="40"/>
  <c r="T223" i="36"/>
  <c r="I11" i="39"/>
  <c r="E20"/>
  <c r="E792"/>
  <c r="G30"/>
  <c r="F8" i="44"/>
  <c r="E9" i="45"/>
  <c r="E46" s="1"/>
  <c r="E33" i="39"/>
  <c r="F20"/>
  <c r="I782" l="1"/>
  <c r="G806"/>
  <c r="G808" s="1"/>
  <c r="G809" s="1"/>
  <c r="T1216" i="36"/>
  <c r="K23" i="39"/>
  <c r="E806"/>
  <c r="F30"/>
  <c r="E30"/>
  <c r="J11"/>
  <c r="D36" i="43"/>
  <c r="M10"/>
  <c r="D20" i="39"/>
  <c r="E9" i="42"/>
  <c r="J782" i="39" l="1"/>
  <c r="K796"/>
  <c r="K11"/>
  <c r="T1157" i="36"/>
  <c r="T1160" s="1"/>
  <c r="T1182" s="1"/>
  <c r="E37" i="42"/>
  <c r="F32" i="39"/>
  <c r="G32" s="1"/>
  <c r="D30"/>
  <c r="M36" i="43"/>
  <c r="F34" i="44"/>
  <c r="J8"/>
  <c r="K782" i="39" l="1"/>
  <c r="T1166" i="36"/>
  <c r="T1167" s="1"/>
  <c r="T1161"/>
  <c r="D8" i="44"/>
  <c r="D34" s="1"/>
  <c r="F33" i="39"/>
  <c r="F9" i="45"/>
  <c r="F46" s="1"/>
  <c r="J34" i="44"/>
  <c r="T1183" i="36" l="1"/>
  <c r="L8" i="44"/>
  <c r="L34" s="1"/>
  <c r="G33" i="39"/>
  <c r="G9" i="45"/>
  <c r="G46" s="1"/>
  <c r="H134" i="40" l="1"/>
  <c r="H24" i="39" s="1"/>
  <c r="Q229" i="36"/>
  <c r="Q231" s="1"/>
  <c r="Q41"/>
  <c r="Q59" s="1"/>
  <c r="H797" i="39" l="1"/>
  <c r="H804" s="1"/>
  <c r="H28"/>
  <c r="H9" i="42"/>
  <c r="H136" i="40"/>
  <c r="H15" i="39"/>
  <c r="Q272" i="36"/>
  <c r="H786" i="39" l="1"/>
  <c r="H792" s="1"/>
  <c r="H20"/>
  <c r="H48" i="42"/>
  <c r="H37"/>
  <c r="Q274" i="36"/>
  <c r="Q276" s="1"/>
  <c r="H806" i="39" l="1"/>
  <c r="Q1070" i="36"/>
  <c r="Q1084" s="1"/>
  <c r="H76" i="42"/>
  <c r="H30" i="39"/>
  <c r="Q277" i="36" l="1"/>
  <c r="Q1087"/>
  <c r="H32" i="39"/>
  <c r="H808"/>
  <c r="Q1101" i="36" l="1"/>
  <c r="H33" i="39"/>
  <c r="H9" i="45"/>
  <c r="H46" s="1"/>
  <c r="H809" i="39"/>
  <c r="I134" i="40" l="1"/>
  <c r="I24" i="39" s="1"/>
  <c r="S229" i="36"/>
  <c r="S231" s="1"/>
  <c r="T229"/>
  <c r="T231" s="1"/>
  <c r="T272" s="1"/>
  <c r="S41"/>
  <c r="J134" i="40"/>
  <c r="J24" i="39" s="1"/>
  <c r="T41" i="36"/>
  <c r="T59" s="1"/>
  <c r="K134" i="40"/>
  <c r="K24" i="39" s="1"/>
  <c r="R229" i="36"/>
  <c r="R231" s="1"/>
  <c r="R41"/>
  <c r="I15" i="39" s="1"/>
  <c r="J797" l="1"/>
  <c r="J804" s="1"/>
  <c r="J136" i="40"/>
  <c r="K9" i="42"/>
  <c r="K37" s="1"/>
  <c r="T274" i="36"/>
  <c r="I28" i="39"/>
  <c r="I797"/>
  <c r="I804" s="1"/>
  <c r="K797"/>
  <c r="K804" s="1"/>
  <c r="K28"/>
  <c r="S272" i="36"/>
  <c r="R272"/>
  <c r="I786" i="39"/>
  <c r="I792" s="1"/>
  <c r="I20"/>
  <c r="K48" i="42"/>
  <c r="K76" s="1"/>
  <c r="J15" i="39"/>
  <c r="S59" i="36"/>
  <c r="I136" i="40"/>
  <c r="K15" i="39"/>
  <c r="K136" i="40"/>
  <c r="R59" i="36"/>
  <c r="J28" i="39"/>
  <c r="T1070" i="36" l="1"/>
  <c r="T1084" s="1"/>
  <c r="I806" i="39"/>
  <c r="R274" i="36"/>
  <c r="I9" i="42"/>
  <c r="J786" i="39"/>
  <c r="J792" s="1"/>
  <c r="J20"/>
  <c r="K786"/>
  <c r="K792" s="1"/>
  <c r="K20"/>
  <c r="J9" i="42"/>
  <c r="J37" s="1"/>
  <c r="S274" i="36"/>
  <c r="I48" i="42"/>
  <c r="J48"/>
  <c r="J76" s="1"/>
  <c r="I30" i="39"/>
  <c r="J806" l="1"/>
  <c r="J30"/>
  <c r="I32"/>
  <c r="I76" i="42"/>
  <c r="K30" i="39"/>
  <c r="I37" i="42"/>
  <c r="S1070" i="36"/>
  <c r="S1084" s="1"/>
  <c r="K806" i="39"/>
  <c r="R1070" i="36"/>
  <c r="R1084" s="1"/>
  <c r="R276"/>
  <c r="I808" i="39"/>
  <c r="I33" l="1"/>
  <c r="I9" i="45"/>
  <c r="I46" s="1"/>
  <c r="J32" i="39"/>
  <c r="R1087" i="36"/>
  <c r="R277"/>
  <c r="S276"/>
  <c r="I809" i="39"/>
  <c r="J808"/>
  <c r="K32" l="1"/>
  <c r="J33"/>
  <c r="J9" i="45"/>
  <c r="J46" s="1"/>
  <c r="K808" i="39"/>
  <c r="J809"/>
  <c r="S277" i="36"/>
  <c r="T276"/>
  <c r="S1087"/>
  <c r="R1101"/>
  <c r="K33" i="39" l="1"/>
  <c r="K9" i="45"/>
  <c r="K46" s="1"/>
  <c r="S1101" i="36"/>
  <c r="T277"/>
  <c r="T1087"/>
  <c r="K809" i="39"/>
  <c r="T1101" i="36" l="1"/>
</calcChain>
</file>

<file path=xl/sharedStrings.xml><?xml version="1.0" encoding="utf-8"?>
<sst xmlns="http://schemas.openxmlformats.org/spreadsheetml/2006/main" count="3045" uniqueCount="1425">
  <si>
    <t>Description</t>
  </si>
  <si>
    <t>Actual</t>
  </si>
  <si>
    <t>ELECTRIC UTILITY TAX</t>
  </si>
  <si>
    <t>HOTEL TAX</t>
  </si>
  <si>
    <t>CABLE FRANCHISE FEES</t>
  </si>
  <si>
    <t>FEDERAL GRANTS</t>
  </si>
  <si>
    <t>INVESTMENT EARNINGS</t>
  </si>
  <si>
    <t>MISCELLANEOUS INCOME</t>
  </si>
  <si>
    <t>RETIREMENT PLAN CONTRIBUTION</t>
  </si>
  <si>
    <t>FICA CONTRIBUTION</t>
  </si>
  <si>
    <t>PROFESSIONAL SERVICES</t>
  </si>
  <si>
    <t>OFFICE SUPPLIES</t>
  </si>
  <si>
    <t>OPERATING SUPPLIES</t>
  </si>
  <si>
    <t>GROUP HEALTH INSURANCE</t>
  </si>
  <si>
    <t>OVERTIME</t>
  </si>
  <si>
    <t>ECONOMIC DEVELOPMENT</t>
  </si>
  <si>
    <t>SMALL TOOLS &amp; EQUIPMENT</t>
  </si>
  <si>
    <t>UTILITIES</t>
  </si>
  <si>
    <t>BAD DEBT</t>
  </si>
  <si>
    <t>Projected</t>
  </si>
  <si>
    <t>01-000-40-00-4000</t>
  </si>
  <si>
    <t>MUNICIPAL SALES TAX</t>
  </si>
  <si>
    <t>01-000-40-00-4030</t>
  </si>
  <si>
    <t>01-000-40-00-4040</t>
  </si>
  <si>
    <t>01-000-40-00-4041</t>
  </si>
  <si>
    <t>01-000-40-00-4075</t>
  </si>
  <si>
    <t>01-000-40-00-4070</t>
  </si>
  <si>
    <t>01-000-40-00-4065</t>
  </si>
  <si>
    <t>01-000-40-00-4060</t>
  </si>
  <si>
    <t>01-000-40-00-4050</t>
  </si>
  <si>
    <t>01-000-40-00-4045</t>
  </si>
  <si>
    <t>01-000-40-00-4043</t>
  </si>
  <si>
    <t>AUTO RENTAL TAX</t>
  </si>
  <si>
    <t>ADMISSIONS TAX</t>
  </si>
  <si>
    <t>AMUSEMENT TAX</t>
  </si>
  <si>
    <t>TELEPHONE UTILITY TAX</t>
  </si>
  <si>
    <t>NATURAL GAS UTILITY TAX</t>
  </si>
  <si>
    <t>01-000-41-00-4170</t>
  </si>
  <si>
    <t>01-000-41-00-4160</t>
  </si>
  <si>
    <t>01-000-41-00-4120</t>
  </si>
  <si>
    <t>01-000-41-00-4110</t>
  </si>
  <si>
    <t>01-000-41-00-4105</t>
  </si>
  <si>
    <t>01-000-41-00-4100</t>
  </si>
  <si>
    <t>STATE GRANTS</t>
  </si>
  <si>
    <t xml:space="preserve">PERSONAL PROPERTY TAX                       </t>
  </si>
  <si>
    <t xml:space="preserve">STATE INCOME TAX                                       </t>
  </si>
  <si>
    <t>01-000-42-00-4210</t>
  </si>
  <si>
    <t>01-000-42-00-4205</t>
  </si>
  <si>
    <t>01-000-42-00-4200</t>
  </si>
  <si>
    <t>FILING FEES</t>
  </si>
  <si>
    <t>BUILDING PERMITS</t>
  </si>
  <si>
    <t>01-000-43-00-4325</t>
  </si>
  <si>
    <t>01-000-43-00-4320</t>
  </si>
  <si>
    <t>01-000-43-00-4310</t>
  </si>
  <si>
    <t>POLICE TOWS</t>
  </si>
  <si>
    <t>01-000-44-00-4405</t>
  </si>
  <si>
    <t>01-000-44-00-4400</t>
  </si>
  <si>
    <t>DEVELOPMENT FEES</t>
  </si>
  <si>
    <t>GARBAGE SURCHARGE</t>
  </si>
  <si>
    <t>01-000-45-00-4500</t>
  </si>
  <si>
    <t>01-000-46-00-4690</t>
  </si>
  <si>
    <t>01-000-46-00-4680</t>
  </si>
  <si>
    <t>01-000-46-00-4601</t>
  </si>
  <si>
    <t>REIMB - MISCELLANEOUS</t>
  </si>
  <si>
    <t>REIMB - LEGAL EXPENSES</t>
  </si>
  <si>
    <t>01-000-48-00-4850</t>
  </si>
  <si>
    <t>01-110-50-00-5020</t>
  </si>
  <si>
    <t>01-110-50-00-5005</t>
  </si>
  <si>
    <t>01-110-50-00-5004</t>
  </si>
  <si>
    <t>01-110-50-00-5003</t>
  </si>
  <si>
    <t>01-110-50-00-5002</t>
  </si>
  <si>
    <t>01-110-50-00-5001</t>
  </si>
  <si>
    <t>PART-TIME SALARIES</t>
  </si>
  <si>
    <t>SALARIES - ADMINISTRATION</t>
  </si>
  <si>
    <t>SALARIES - ALDERMAN</t>
  </si>
  <si>
    <t>SALARIES - CITY TREASURER</t>
  </si>
  <si>
    <t>SALARIES - CITY CLERK</t>
  </si>
  <si>
    <t>SALARIES - LIQUOR COMM</t>
  </si>
  <si>
    <t>SALARIES - MAYOR</t>
  </si>
  <si>
    <t>01-110-52-00-5214</t>
  </si>
  <si>
    <t>01-110-52-00-5212</t>
  </si>
  <si>
    <t>01-110-54-00-5480</t>
  </si>
  <si>
    <t>01-110-54-00-5473</t>
  </si>
  <si>
    <t>01-110-54-00-5462</t>
  </si>
  <si>
    <t>01-110-54-00-5452</t>
  </si>
  <si>
    <t>01-110-54-00-5440</t>
  </si>
  <si>
    <t>01-110-54-00-5430</t>
  </si>
  <si>
    <t>01-110-54-00-5426</t>
  </si>
  <si>
    <t>01-110-54-00-5415</t>
  </si>
  <si>
    <t>01-110-54-00-5412</t>
  </si>
  <si>
    <t>RENTAL &amp; LEASE PURCHASE</t>
  </si>
  <si>
    <t>OFFICE CLEANING</t>
  </si>
  <si>
    <t>CODIFICATION</t>
  </si>
  <si>
    <t>POSTAGE &amp; SHIPPING</t>
  </si>
  <si>
    <t>PUBLISHING &amp; ADVERTISING</t>
  </si>
  <si>
    <t>TRAINING &amp; CONFERENCES</t>
  </si>
  <si>
    <t>TUITION REIMBURSEMENT</t>
  </si>
  <si>
    <t>01-110-56-00-5635</t>
  </si>
  <si>
    <t>01-110-56-00-5610</t>
  </si>
  <si>
    <t>CONTINGENCIES</t>
  </si>
  <si>
    <t>WEARING APPAREL</t>
  </si>
  <si>
    <t>01-120-50-00-5010</t>
  </si>
  <si>
    <t>01-120-52-00-5214</t>
  </si>
  <si>
    <t>01-120-52-00-5212</t>
  </si>
  <si>
    <t>01-120-54-00-5485</t>
  </si>
  <si>
    <t>01-120-54-00-5462</t>
  </si>
  <si>
    <t>01-120-54-00-5452</t>
  </si>
  <si>
    <t>01-120-54-00-5440</t>
  </si>
  <si>
    <t>01-120-54-00-5430</t>
  </si>
  <si>
    <t>01-120-54-00-5415</t>
  </si>
  <si>
    <t>01-120-54-00-5412</t>
  </si>
  <si>
    <t>AUDITING SERVICES</t>
  </si>
  <si>
    <t>01-120-56-00-5635</t>
  </si>
  <si>
    <t>01-120-56-00-5610</t>
  </si>
  <si>
    <t>01-210-50-00-5020</t>
  </si>
  <si>
    <t>01-210-50-00-5015</t>
  </si>
  <si>
    <t>01-210-50-00-5014</t>
  </si>
  <si>
    <t>01-210-50-00-5013</t>
  </si>
  <si>
    <t>01-210-50-00-5012</t>
  </si>
  <si>
    <t>SALARIES - CROSSING GUARD</t>
  </si>
  <si>
    <t>SALARIES - POLICE CLERKS</t>
  </si>
  <si>
    <t>SALARIES - POLICE OFFICERS</t>
  </si>
  <si>
    <t>01-210-52-00-5214</t>
  </si>
  <si>
    <t>01-210-52-00-5213</t>
  </si>
  <si>
    <t>01-210-52-00-5212</t>
  </si>
  <si>
    <t>01-210-54-00-5469</t>
  </si>
  <si>
    <t>01-210-54-00-5467</t>
  </si>
  <si>
    <t>01-210-54-00-5466</t>
  </si>
  <si>
    <t>01-210-54-00-5462</t>
  </si>
  <si>
    <t>01-210-54-00-5452</t>
  </si>
  <si>
    <t>01-210-54-00-5440</t>
  </si>
  <si>
    <t>01-210-54-00-5430</t>
  </si>
  <si>
    <t>01-210-54-00-5426</t>
  </si>
  <si>
    <t>01-210-54-00-5415</t>
  </si>
  <si>
    <t>LEGAL SERVICES</t>
  </si>
  <si>
    <t>TRAINING &amp; CONFERENCE</t>
  </si>
  <si>
    <t>01-210-56-00-5696</t>
  </si>
  <si>
    <t>01-210-56-00-5695</t>
  </si>
  <si>
    <t>01-210-56-00-5635</t>
  </si>
  <si>
    <t>01-210-56-00-5620</t>
  </si>
  <si>
    <t>01-210-56-00-5610</t>
  </si>
  <si>
    <t>01-210-56-00-5600</t>
  </si>
  <si>
    <t>AMMUNITION</t>
  </si>
  <si>
    <t>GASOLINE</t>
  </si>
  <si>
    <t>01-220-50-00-5010</t>
  </si>
  <si>
    <t>01-220-52-00-5214</t>
  </si>
  <si>
    <t>01-220-52-00-5212</t>
  </si>
  <si>
    <t>01-220-54-00-5466</t>
  </si>
  <si>
    <t>01-220-54-00-5462</t>
  </si>
  <si>
    <t>01-220-54-00-5452</t>
  </si>
  <si>
    <t>01-220-54-00-5440</t>
  </si>
  <si>
    <t>01-220-54-00-5430</t>
  </si>
  <si>
    <t>01-220-54-00-5426</t>
  </si>
  <si>
    <t>01-220-54-00-5415</t>
  </si>
  <si>
    <t>01-220-54-00-5412</t>
  </si>
  <si>
    <t>01-220-56-00-5645</t>
  </si>
  <si>
    <t>01-220-56-00-5635</t>
  </si>
  <si>
    <t>01-220-56-00-5620</t>
  </si>
  <si>
    <t>01-220-56-00-5610</t>
  </si>
  <si>
    <t>01-410-50-00-5020</t>
  </si>
  <si>
    <t>01-410-50-00-5010</t>
  </si>
  <si>
    <t>01-410-52-00-5214</t>
  </si>
  <si>
    <t>01-410-52-00-5212</t>
  </si>
  <si>
    <t>01-410-54-00-5485</t>
  </si>
  <si>
    <t>01-410-54-00-5462</t>
  </si>
  <si>
    <t>01-410-54-00-5440</t>
  </si>
  <si>
    <t>01-410-54-00-5412</t>
  </si>
  <si>
    <t>01-410-56-00-5695</t>
  </si>
  <si>
    <t>01-410-56-00-5656</t>
  </si>
  <si>
    <t>01-410-56-00-5626</t>
  </si>
  <si>
    <t>01-410-56-00-5620</t>
  </si>
  <si>
    <t>01-410-56-00-5600</t>
  </si>
  <si>
    <t>MOSQUITO CONTROL</t>
  </si>
  <si>
    <t>HANGING BASKETS</t>
  </si>
  <si>
    <t>SIDEWALK CONSTRUCTION</t>
  </si>
  <si>
    <t>01-540-54-00-5443</t>
  </si>
  <si>
    <t>01-540-54-00-5442</t>
  </si>
  <si>
    <t>LEAF PICKUP</t>
  </si>
  <si>
    <t>GARBAGE SERVICES</t>
  </si>
  <si>
    <t>01-640-52-00-5231</t>
  </si>
  <si>
    <t>01-640-52-00-5230</t>
  </si>
  <si>
    <t>UNEMPLOYMENT INSURANCE</t>
  </si>
  <si>
    <t>GROUP LIFE INSURANCE</t>
  </si>
  <si>
    <t>01-640-54-00-5494</t>
  </si>
  <si>
    <t>01-640-54-00-5493</t>
  </si>
  <si>
    <t>01-640-54-00-5492</t>
  </si>
  <si>
    <t>01-640-54-00-5491</t>
  </si>
  <si>
    <t>01-640-54-00-5475</t>
  </si>
  <si>
    <t>01-640-54-00-5463</t>
  </si>
  <si>
    <t>01-640-54-00-5461</t>
  </si>
  <si>
    <t>SALES TAX REBATE</t>
  </si>
  <si>
    <t>CABLE CONSORTIUM FEE</t>
  </si>
  <si>
    <t>SPECIAL COUNSEL</t>
  </si>
  <si>
    <t>LITIGATION COUNSEL</t>
  </si>
  <si>
    <t>CORPORATE COUNSEL</t>
  </si>
  <si>
    <t>01-640-54-00-5499</t>
  </si>
  <si>
    <t>01-640-70-00-7799</t>
  </si>
  <si>
    <r>
      <t xml:space="preserve">ROAD &amp; BRIDGE TAX                            </t>
    </r>
    <r>
      <rPr>
        <b/>
        <sz val="11"/>
        <rFont val="Times New Roman"/>
        <family val="1"/>
      </rPr>
      <t xml:space="preserve">  </t>
    </r>
  </si>
  <si>
    <t xml:space="preserve">PROPERTY TAXES - CORPORATE LEVY                                  </t>
  </si>
  <si>
    <t xml:space="preserve">PROPERTY TAXES - POLICE PENSION                                    </t>
  </si>
  <si>
    <t>01-000-40-00-4010</t>
  </si>
  <si>
    <t>01-640-99-00-9942</t>
  </si>
  <si>
    <t>01-640-99-00-9952</t>
  </si>
  <si>
    <t>01-640-99-00-9979</t>
  </si>
  <si>
    <t>01-110-54-00-5451</t>
  </si>
  <si>
    <t>01-110-54-00-5488</t>
  </si>
  <si>
    <t>01-120-54-00-5414</t>
  </si>
  <si>
    <t>01-120-54-00-5460</t>
  </si>
  <si>
    <t>01-210-54-00-5410</t>
  </si>
  <si>
    <t>01-210-54-00-5412</t>
  </si>
  <si>
    <t>01-210-54-00-5484</t>
  </si>
  <si>
    <t>01-210-54-00-5460</t>
  </si>
  <si>
    <t>01-220-54-00-5460</t>
  </si>
  <si>
    <t>01-640-54-00-5456</t>
  </si>
  <si>
    <t>01-640-54-00-5481</t>
  </si>
  <si>
    <t>TRANSFER TO DEBT SERVICE</t>
  </si>
  <si>
    <t>TRANSFER TO WATER</t>
  </si>
  <si>
    <t>TRANSFER TO SEWER</t>
  </si>
  <si>
    <t>TRANSFER FROM SEWER</t>
  </si>
  <si>
    <t>01-000-46-00-4685</t>
  </si>
  <si>
    <t>REIMB - CABLE CONSORTIUM</t>
  </si>
  <si>
    <t>01-210-56-00-5640</t>
  </si>
  <si>
    <t>01-210-54-00-5495</t>
  </si>
  <si>
    <t>01-410-56-00-5640</t>
  </si>
  <si>
    <t xml:space="preserve">LOCAL USE TAX                                              </t>
  </si>
  <si>
    <t>01-000-48-00-4845</t>
  </si>
  <si>
    <t>DONATIONS</t>
  </si>
  <si>
    <t>01-000-41-00-4182</t>
  </si>
  <si>
    <t>MISC INTERGOVERNMENTAL</t>
  </si>
  <si>
    <t>01-210-56-00-5690</t>
  </si>
  <si>
    <t>ADMINISTRATIVE ADJUDICATION</t>
  </si>
  <si>
    <t>REIMB - LIABILITY INSURANCE</t>
  </si>
  <si>
    <t>01-000-48-00-4820</t>
  </si>
  <si>
    <t>RENTAL INCOME</t>
  </si>
  <si>
    <t>TELECOMMUNICATIONS</t>
  </si>
  <si>
    <t>01-410-56-00-5630</t>
  </si>
  <si>
    <t>01-220-54-00-5459</t>
  </si>
  <si>
    <t>INSPECTIONS</t>
  </si>
  <si>
    <t>01-410-54-00-5458</t>
  </si>
  <si>
    <t>LIABILITY INSURANCE</t>
  </si>
  <si>
    <t xml:space="preserve">POLICE COMMISSION </t>
  </si>
  <si>
    <t>01-210-54-00-5411</t>
  </si>
  <si>
    <t>01-410-54-00-5455</t>
  </si>
  <si>
    <t>COMPUTER EQUIPMENT &amp; SOFTWARE</t>
  </si>
  <si>
    <t>01-000-44-00-4474</t>
  </si>
  <si>
    <t>POLICE SPECIAL DETAIL</t>
  </si>
  <si>
    <t>01-640-50-00-5092</t>
  </si>
  <si>
    <t>POLICE SPECIAL DETAIL WAGES</t>
  </si>
  <si>
    <t>ADMISSIONS TAX REBATE</t>
  </si>
  <si>
    <t>FY 2014</t>
  </si>
  <si>
    <t>01-000-46-00-4681</t>
  </si>
  <si>
    <t>REIMB - WORKERS COMP</t>
  </si>
  <si>
    <t>CITY PROPERTY TAX REBATE</t>
  </si>
  <si>
    <t>01-640-56-00-5625</t>
  </si>
  <si>
    <t>REIMBURSABLE REPAIRS</t>
  </si>
  <si>
    <t>01-210-54-00-5472</t>
  </si>
  <si>
    <t>FY 2015</t>
  </si>
  <si>
    <t>FY 2016</t>
  </si>
  <si>
    <t>FY 2017</t>
  </si>
  <si>
    <t>01-640-54-00-5465</t>
  </si>
  <si>
    <t>ENGINEERING SERVICES</t>
  </si>
  <si>
    <t>01-000-40-00-4035</t>
  </si>
  <si>
    <t>12-112-54-00-5495</t>
  </si>
  <si>
    <t>11-111-54-00-5495</t>
  </si>
  <si>
    <t>15-000-41-00-4112</t>
  </si>
  <si>
    <t xml:space="preserve">MOTOR FUEL TAX </t>
  </si>
  <si>
    <t>15-000-41-00-4113</t>
  </si>
  <si>
    <t>MFT HIGH GROWTH</t>
  </si>
  <si>
    <t>15-000-41-00-4172</t>
  </si>
  <si>
    <t>ILLINOIS JOBS NOW PROCEEDS</t>
  </si>
  <si>
    <t>15-000-45-00-4500</t>
  </si>
  <si>
    <t>TRANSFER FROM GENERAL</t>
  </si>
  <si>
    <t>15-155-56-00-5618</t>
  </si>
  <si>
    <t>SALT</t>
  </si>
  <si>
    <t>15-155-56-00-5619</t>
  </si>
  <si>
    <t>SIGNS</t>
  </si>
  <si>
    <t>15-155-56-00-5633</t>
  </si>
  <si>
    <t>COLD PATCH</t>
  </si>
  <si>
    <t>15-155-56-00-5634</t>
  </si>
  <si>
    <t>HOT PATCH</t>
  </si>
  <si>
    <t>15-155-60-00-6072</t>
  </si>
  <si>
    <t>DOWNTOWN PARKING LOT</t>
  </si>
  <si>
    <t>15-155-60-00-6073</t>
  </si>
  <si>
    <t>GAME FARM ROAD PROJECT</t>
  </si>
  <si>
    <t>15-155-60-00-6079</t>
  </si>
  <si>
    <t>ROUTE 47 EXPANSION</t>
  </si>
  <si>
    <t>16-000-42-00-4214</t>
  </si>
  <si>
    <t>WEATHER WARNING SIREN FEES</t>
  </si>
  <si>
    <t>DUI FINES</t>
  </si>
  <si>
    <t>EQUIPMENT</t>
  </si>
  <si>
    <t>VEHICLES</t>
  </si>
  <si>
    <t>MOWING INCOME</t>
  </si>
  <si>
    <t>INTEREST PAYMENT</t>
  </si>
  <si>
    <t>23-000-42-00-4210</t>
  </si>
  <si>
    <t>ENGINEERING CAPITAL FEE</t>
  </si>
  <si>
    <t>23-000-42-00-4214</t>
  </si>
  <si>
    <t>23-000-42-00-4222</t>
  </si>
  <si>
    <r>
      <t xml:space="preserve">ROAD CONTRIBUTION FEE                            </t>
    </r>
    <r>
      <rPr>
        <b/>
        <sz val="11"/>
        <rFont val="Times New Roman"/>
        <family val="1"/>
      </rPr>
      <t xml:space="preserve"> </t>
    </r>
  </si>
  <si>
    <t>23-000-45-00-4500</t>
  </si>
  <si>
    <t>23-000-49-00-4900</t>
  </si>
  <si>
    <t>BOND PROCEEDS</t>
  </si>
  <si>
    <t>23-230-60-00-6041</t>
  </si>
  <si>
    <t>23-230-60-00-6073</t>
  </si>
  <si>
    <t>23-230-60-00-6075</t>
  </si>
  <si>
    <t>RIVER ROAD BRIDGE PROJECT</t>
  </si>
  <si>
    <t>23-230-60-00-6092</t>
  </si>
  <si>
    <t>SAFE ROUTE TO SCHOOL PROJECT</t>
  </si>
  <si>
    <t>23-230-97-00-8000</t>
  </si>
  <si>
    <t>42-000-42-00-4208</t>
  </si>
  <si>
    <t>RECAPTURE FEES - WATER &amp; SEWER</t>
  </si>
  <si>
    <t>42-000-49-00-4901</t>
  </si>
  <si>
    <t>42-420-54-00-5498</t>
  </si>
  <si>
    <t>PAYING AGENT FEES</t>
  </si>
  <si>
    <t>42-420-82-00-8000</t>
  </si>
  <si>
    <t>42-420-82-00-8050</t>
  </si>
  <si>
    <t xml:space="preserve">PROPERTY TAXES - 2007A BOND             </t>
  </si>
  <si>
    <t>51-000-44-00-4424</t>
  </si>
  <si>
    <t>WATER SALES</t>
  </si>
  <si>
    <t>51-000-44-00-4425</t>
  </si>
  <si>
    <t>BULK WATER SALES</t>
  </si>
  <si>
    <t>51-000-44-00-4430</t>
  </si>
  <si>
    <t>WATER METER SALES</t>
  </si>
  <si>
    <t>51-000-44-00-4440</t>
  </si>
  <si>
    <t>WATER INFRASTRUCTURE FEE</t>
  </si>
  <si>
    <t>51-000-44-00-4450</t>
  </si>
  <si>
    <t>WATER CONNECTION FEES</t>
  </si>
  <si>
    <t>51-000-45-00-4500</t>
  </si>
  <si>
    <t>51-000-48-00-4850</t>
  </si>
  <si>
    <t>51-000-49-00-4952</t>
  </si>
  <si>
    <t>51-510-50-00-5010</t>
  </si>
  <si>
    <t>51-510-50-00-5020</t>
  </si>
  <si>
    <t>51-510-52-00-5212</t>
  </si>
  <si>
    <t>51-510-52-00-5214</t>
  </si>
  <si>
    <t>51-510-54-00-5412</t>
  </si>
  <si>
    <t>51-510-54-00-5415</t>
  </si>
  <si>
    <t>51-510-54-00-5426</t>
  </si>
  <si>
    <t>51-510-54-00-5429</t>
  </si>
  <si>
    <t>WATER SAMPLES</t>
  </si>
  <si>
    <t>51-510-54-00-5430</t>
  </si>
  <si>
    <t>51-510-54-00-5440</t>
  </si>
  <si>
    <t>51-510-54-00-5452</t>
  </si>
  <si>
    <t>51-510-54-00-5460</t>
  </si>
  <si>
    <t>51-510-54-00-5462</t>
  </si>
  <si>
    <t>51-510-54-00-5466</t>
  </si>
  <si>
    <t>51-510-54-00-5480</t>
  </si>
  <si>
    <t>51-510-54-00-5483</t>
  </si>
  <si>
    <t>JULIE SERVICES</t>
  </si>
  <si>
    <t>51-510-54-00-5485</t>
  </si>
  <si>
    <t>51-510-54-00-5499</t>
  </si>
  <si>
    <t>51-510-56-00-5600</t>
  </si>
  <si>
    <t>51-510-56-00-5620</t>
  </si>
  <si>
    <t>51-510-56-00-5630</t>
  </si>
  <si>
    <t>51-510-56-00-5635</t>
  </si>
  <si>
    <t>51-510-56-00-5638</t>
  </si>
  <si>
    <t>TREATMENT FACILITY SUPPLIES</t>
  </si>
  <si>
    <t>51-510-56-00-5640</t>
  </si>
  <si>
    <t>51-510-56-00-5664</t>
  </si>
  <si>
    <t>51-510-56-00-5695</t>
  </si>
  <si>
    <t>51-510-60-00-6079</t>
  </si>
  <si>
    <t>Debt Service - 2007A Bond</t>
  </si>
  <si>
    <t>51-510-83-00-8000</t>
  </si>
  <si>
    <t>51-510-83-00-8050</t>
  </si>
  <si>
    <t>Debt Service - 2003 Debt Certificates</t>
  </si>
  <si>
    <t>51-510-86-00-8000</t>
  </si>
  <si>
    <t>51-510-86-00-8050</t>
  </si>
  <si>
    <t>Debt Service - 2006A Refunding Debt Certificates</t>
  </si>
  <si>
    <t>51-510-87-00-8000</t>
  </si>
  <si>
    <t>51-510-87-00-8050</t>
  </si>
  <si>
    <t>Debt Service - 2005C Bond</t>
  </si>
  <si>
    <t>51-510-88-00-8000</t>
  </si>
  <si>
    <t>51-510-88-00-8050</t>
  </si>
  <si>
    <t>Debt Service - IEPA Loan L17-156300</t>
  </si>
  <si>
    <t>51-510-89-00-8000</t>
  </si>
  <si>
    <t>51-510-89-00-8050</t>
  </si>
  <si>
    <t>TRANSFER TO GENERAL</t>
  </si>
  <si>
    <t xml:space="preserve">PROPERTY TAXES - 2004B BOND            </t>
  </si>
  <si>
    <t>52-000-44-00-4435</t>
  </si>
  <si>
    <t>SEWER MAINTENANCE FEES</t>
  </si>
  <si>
    <t>52-000-44-00-4455</t>
  </si>
  <si>
    <t>SW CONNECTION FEES - OPERATIONS</t>
  </si>
  <si>
    <t>52-000-44-00-4456</t>
  </si>
  <si>
    <t>SW CONNECTION FEES - CAPITAL</t>
  </si>
  <si>
    <t>52-000-44-00-4465</t>
  </si>
  <si>
    <t>RIVER CROSSING FEES</t>
  </si>
  <si>
    <t>52-000-45-00-4500</t>
  </si>
  <si>
    <t>52-000-46-00-4690</t>
  </si>
  <si>
    <t>52-000-49-00-4901</t>
  </si>
  <si>
    <t>52-520-50-00-5010</t>
  </si>
  <si>
    <t>52-520-50-00-5020</t>
  </si>
  <si>
    <t>52-520-52-00-5212</t>
  </si>
  <si>
    <t>52-520-52-00-5214</t>
  </si>
  <si>
    <t>52-520-54-00-5412</t>
  </si>
  <si>
    <t>52-520-54-00-5415</t>
  </si>
  <si>
    <t>52-520-54-00-5440</t>
  </si>
  <si>
    <t>52-520-54-00-5462</t>
  </si>
  <si>
    <t>52-520-54-00-5480</t>
  </si>
  <si>
    <t>52-520-54-00-5485</t>
  </si>
  <si>
    <t>52-520-56-00-5600</t>
  </si>
  <si>
    <t>52-520-56-00-5610</t>
  </si>
  <si>
    <t>52-520-56-00-5613</t>
  </si>
  <si>
    <t>LIFT STATION MAINTENANCE</t>
  </si>
  <si>
    <t>52-520-56-00-5620</t>
  </si>
  <si>
    <t>52-520-56-00-5630</t>
  </si>
  <si>
    <t>52-520-56-00-5635</t>
  </si>
  <si>
    <t>52-520-56-00-5640</t>
  </si>
  <si>
    <t>52-520-56-00-5695</t>
  </si>
  <si>
    <t>52-520-60-00-6079</t>
  </si>
  <si>
    <t>52-520-75-00-7500</t>
  </si>
  <si>
    <t>LENNAR - RAINTREE SEWER RECPATURE</t>
  </si>
  <si>
    <t>Debt Service - 2004B Bond</t>
  </si>
  <si>
    <t>52-520-84-00-8000</t>
  </si>
  <si>
    <t>52-520-84-00-8050</t>
  </si>
  <si>
    <t>52-520-90-00-8000</t>
  </si>
  <si>
    <t>52-520-90-00-8050</t>
  </si>
  <si>
    <t>52-520-91-00-8000</t>
  </si>
  <si>
    <t>52-520-91-00-8050</t>
  </si>
  <si>
    <t>Debt Service - 2011 Refunding Bond</t>
  </si>
  <si>
    <t>Debt Service - IEPA Loan L17-115300</t>
  </si>
  <si>
    <t>52-520-96-00-8000</t>
  </si>
  <si>
    <t>52-520-96-00-8050</t>
  </si>
  <si>
    <t>72-000-47-00-4703</t>
  </si>
  <si>
    <t>AUTUMN CREEK</t>
  </si>
  <si>
    <t>72-000-47-00-4704</t>
  </si>
  <si>
    <t>BLACKBERRY WOODS</t>
  </si>
  <si>
    <t>72-720-60-00-6032</t>
  </si>
  <si>
    <t>72-720-60-00-6044</t>
  </si>
  <si>
    <t>72-720-60-00-6045</t>
  </si>
  <si>
    <t>RIVERFRONT PARK</t>
  </si>
  <si>
    <t>PROGRAM FEES</t>
  </si>
  <si>
    <t>79-000-44-00-4441</t>
  </si>
  <si>
    <t>CONCESSION REVENUE</t>
  </si>
  <si>
    <t>HOMETOWN DAYS</t>
  </si>
  <si>
    <t>79-000-45-00-4500</t>
  </si>
  <si>
    <t>79-000-48-00-4820</t>
  </si>
  <si>
    <t>79-000-48-00-4846</t>
  </si>
  <si>
    <t>79-000-48-00-4850</t>
  </si>
  <si>
    <t>79-000-49-00-4901</t>
  </si>
  <si>
    <t>79-790-50-00-5010</t>
  </si>
  <si>
    <t>79-790-50-00-5015</t>
  </si>
  <si>
    <t>79-790-50-00-5020</t>
  </si>
  <si>
    <t>79-790-52-00-5212</t>
  </si>
  <si>
    <t>79-790-52-00-5214</t>
  </si>
  <si>
    <t>79-790-54-00-5412</t>
  </si>
  <si>
    <t>79-790-54-00-5415</t>
  </si>
  <si>
    <t>79-790-54-00-5440</t>
  </si>
  <si>
    <t>79-790-54-00-5462</t>
  </si>
  <si>
    <t>79-790-54-00-5466</t>
  </si>
  <si>
    <t>79-790-54-00-5485</t>
  </si>
  <si>
    <t>79-790-56-00-5600</t>
  </si>
  <si>
    <t>79-790-56-00-5610</t>
  </si>
  <si>
    <t>79-790-56-00-5620</t>
  </si>
  <si>
    <t>79-790-56-00-5630</t>
  </si>
  <si>
    <t>79-790-56-00-5635</t>
  </si>
  <si>
    <t>79-790-56-00-5640</t>
  </si>
  <si>
    <t>CONCESSION WAGES</t>
  </si>
  <si>
    <t>PRE-SCHOOL WAGES</t>
  </si>
  <si>
    <t>INSTRUCTORS WAGES</t>
  </si>
  <si>
    <t>SCHOLARSHIPS</t>
  </si>
  <si>
    <t>PROGRAM REFUNDS</t>
  </si>
  <si>
    <t>HOMETOWN DAYS SUPPLIES</t>
  </si>
  <si>
    <t>PROGRAM SUPPLIES</t>
  </si>
  <si>
    <t>CONCESSION SUPPLIES</t>
  </si>
  <si>
    <t>80-000-44-00-4441</t>
  </si>
  <si>
    <t>80-000-44-00-4444</t>
  </si>
  <si>
    <t>MEMBERSHIP FEES</t>
  </si>
  <si>
    <t>80-000-44-00-4445</t>
  </si>
  <si>
    <t>GUEST FEES</t>
  </si>
  <si>
    <t>80-000-44-00-4446</t>
  </si>
  <si>
    <t>SWIM CLASS FEES</t>
  </si>
  <si>
    <t>80-000-44-00-4447</t>
  </si>
  <si>
    <t>PERSONAL TRAINING FEES</t>
  </si>
  <si>
    <t>80-000-44-00-4448</t>
  </si>
  <si>
    <t>TANNING SESSION FEES</t>
  </si>
  <si>
    <t>80-000-48-00-4820</t>
  </si>
  <si>
    <t>80-000-48-00-4846</t>
  </si>
  <si>
    <t>80-000-48-00-4850</t>
  </si>
  <si>
    <t>80-800-50-00-5015</t>
  </si>
  <si>
    <t>80-800-50-00-5052</t>
  </si>
  <si>
    <t>80-800-52-00-5212</t>
  </si>
  <si>
    <t>80-800-52-00-5214</t>
  </si>
  <si>
    <t>80-800-54-00-5440</t>
  </si>
  <si>
    <t>80-800-54-00-5462</t>
  </si>
  <si>
    <t>80-800-54-00-5480</t>
  </si>
  <si>
    <t>80-800-54-00-5485</t>
  </si>
  <si>
    <t>80-800-54-00-5495</t>
  </si>
  <si>
    <t>80-800-54-00-5496</t>
  </si>
  <si>
    <t>80-800-54-00-5497</t>
  </si>
  <si>
    <t>PROPERTY TAX PAYMENT</t>
  </si>
  <si>
    <t>80-800-56-00-5606</t>
  </si>
  <si>
    <t>80-800-56-00-5620</t>
  </si>
  <si>
    <t>80-800-56-00-5640</t>
  </si>
  <si>
    <t>82-000-41-00-4120</t>
  </si>
  <si>
    <t>82-000-41-00-4170</t>
  </si>
  <si>
    <t>82-000-43-00-4330</t>
  </si>
  <si>
    <t>LIBRARY FINES</t>
  </si>
  <si>
    <t>82-000-44-00-4401</t>
  </si>
  <si>
    <t>LIBRARY SUBSCRIPTION CARDS</t>
  </si>
  <si>
    <t>82-000-44-00-4422</t>
  </si>
  <si>
    <t>COPY FEES</t>
  </si>
  <si>
    <t>82-000-45-00-4500</t>
  </si>
  <si>
    <t>82-000-48-00-4820</t>
  </si>
  <si>
    <t>82-000-48-00-4824</t>
  </si>
  <si>
    <t>DVD RENTAL INCOME</t>
  </si>
  <si>
    <t>82-000-48-00-4850</t>
  </si>
  <si>
    <t>82-820-50-00-5010</t>
  </si>
  <si>
    <t>82-820-50-00-5015</t>
  </si>
  <si>
    <t>82-820-52-00-5212</t>
  </si>
  <si>
    <t>82-820-52-00-5214</t>
  </si>
  <si>
    <t>82-820-52-00-5216</t>
  </si>
  <si>
    <t>82-820-52-00-5222</t>
  </si>
  <si>
    <t>82-820-52-00-5223</t>
  </si>
  <si>
    <t>82-820-54-00-5412</t>
  </si>
  <si>
    <t>82-820-54-00-5415</t>
  </si>
  <si>
    <t>82-820-54-00-5426</t>
  </si>
  <si>
    <t>82-820-54-00-5440</t>
  </si>
  <si>
    <t>82-820-54-00-5452</t>
  </si>
  <si>
    <t>82-820-54-00-5460</t>
  </si>
  <si>
    <t>82-820-54-00-5462</t>
  </si>
  <si>
    <t>82-820-54-00-5466</t>
  </si>
  <si>
    <t>82-820-54-00-5468</t>
  </si>
  <si>
    <t>AUTOMATION</t>
  </si>
  <si>
    <t>82-820-54-00-5480</t>
  </si>
  <si>
    <t>82-820-54-00-5495</t>
  </si>
  <si>
    <t>82-820-56-00-5610</t>
  </si>
  <si>
    <t>82-820-56-00-5620</t>
  </si>
  <si>
    <t>82-820-56-00-5635</t>
  </si>
  <si>
    <t>82-820-56-00-5671</t>
  </si>
  <si>
    <t>LIBRARY PROGRAMMING</t>
  </si>
  <si>
    <t>82-820-56-00-5676</t>
  </si>
  <si>
    <t>EMPLOYEE RECOGNITION</t>
  </si>
  <si>
    <t>AUDIO BOOKS</t>
  </si>
  <si>
    <t>82-820-56-00-5684</t>
  </si>
  <si>
    <t>82-820-56-00-5685</t>
  </si>
  <si>
    <t>DVD'S</t>
  </si>
  <si>
    <t>Debt Service - 2005B Bond</t>
  </si>
  <si>
    <t>Debt Service - 2006 Bond</t>
  </si>
  <si>
    <t>Library Debt Service</t>
  </si>
  <si>
    <t>87-000-45-00-4500</t>
  </si>
  <si>
    <t>Countryside TIF</t>
  </si>
  <si>
    <t>87-870-54-00-5498</t>
  </si>
  <si>
    <t>Debt Service - 2005 Bond</t>
  </si>
  <si>
    <t>87-870-80-00-8000</t>
  </si>
  <si>
    <t>87-870-80-00-8050</t>
  </si>
  <si>
    <t>Downtown TIF</t>
  </si>
  <si>
    <t>88-880-60-00-6079</t>
  </si>
  <si>
    <t>Revenue</t>
  </si>
  <si>
    <t>Finance</t>
  </si>
  <si>
    <t>Police</t>
  </si>
  <si>
    <t>Expenditures</t>
  </si>
  <si>
    <t>Surplus(Deficit)</t>
  </si>
  <si>
    <t>Expenses</t>
  </si>
  <si>
    <t>Fund Balance</t>
  </si>
  <si>
    <t>01-640-99-00-9982</t>
  </si>
  <si>
    <t>TRANSFER TO LIBRARY OPERATIONS</t>
  </si>
  <si>
    <t>82-000-49-00-4901</t>
  </si>
  <si>
    <t>83-830-83-00-8000</t>
  </si>
  <si>
    <t>83-830-83-00-8050</t>
  </si>
  <si>
    <t>83-830-84-00-8000</t>
  </si>
  <si>
    <t>83-830-84-00-8050</t>
  </si>
  <si>
    <t>Administration</t>
  </si>
  <si>
    <t>Fund Balance Equiv</t>
  </si>
  <si>
    <t>Recreation Center</t>
  </si>
  <si>
    <t>GENERAL FUND - 01</t>
  </si>
  <si>
    <t>Fox Hill SSA - 11</t>
  </si>
  <si>
    <t>Sunflower SSA - 12</t>
  </si>
  <si>
    <t>Municipal Building - 16</t>
  </si>
  <si>
    <t>City-Wide Capital - 23</t>
  </si>
  <si>
    <t>Debt Service - 42</t>
  </si>
  <si>
    <t>Land Cash - 72</t>
  </si>
  <si>
    <t>Parks and Recreation - 79</t>
  </si>
  <si>
    <t>Water - 51</t>
  </si>
  <si>
    <t>Sewer - 52</t>
  </si>
  <si>
    <t>51-510-52-00-5231</t>
  </si>
  <si>
    <t>52-520-52-00-5231</t>
  </si>
  <si>
    <t>51-510-52-00-5230</t>
  </si>
  <si>
    <t>52-520-52-00-5230</t>
  </si>
  <si>
    <t>01-110-52-00-5216</t>
  </si>
  <si>
    <t>01-110-52-00-5222</t>
  </si>
  <si>
    <t>01-110-52-00-5223</t>
  </si>
  <si>
    <t>01-120-52-00-5216</t>
  </si>
  <si>
    <t>01-120-52-00-5222</t>
  </si>
  <si>
    <t>01-120-52-00-5223</t>
  </si>
  <si>
    <t>01-210-52-00-5216</t>
  </si>
  <si>
    <t>01-210-52-00-5222</t>
  </si>
  <si>
    <t>01-210-52-00-5223</t>
  </si>
  <si>
    <t>01-220-52-00-5216</t>
  </si>
  <si>
    <t>01-220-52-00-5222</t>
  </si>
  <si>
    <t>01-220-52-00-5223</t>
  </si>
  <si>
    <t>01-410-52-00-5216</t>
  </si>
  <si>
    <t>01-410-52-00-5222</t>
  </si>
  <si>
    <t>01-410-52-00-5223</t>
  </si>
  <si>
    <t>51-510-52-00-5216</t>
  </si>
  <si>
    <t>51-510-52-00-5222</t>
  </si>
  <si>
    <t>51-510-52-00-5223</t>
  </si>
  <si>
    <t>52-520-52-00-5216</t>
  </si>
  <si>
    <t>52-520-52-00-5222</t>
  </si>
  <si>
    <t>52-520-52-00-5223</t>
  </si>
  <si>
    <t>79-790-52-00-5216</t>
  </si>
  <si>
    <t>79-790-52-00-5222</t>
  </si>
  <si>
    <t>79-790-52-00-5223</t>
  </si>
  <si>
    <t>DENTAL INSURANCE</t>
  </si>
  <si>
    <t>01-110-52-00-5224</t>
  </si>
  <si>
    <t>VISION INSURANCE</t>
  </si>
  <si>
    <t>01-120-52-00-5224</t>
  </si>
  <si>
    <t>01-210-52-00-5224</t>
  </si>
  <si>
    <t>01-220-52-00-5224</t>
  </si>
  <si>
    <t>01-410-52-00-5224</t>
  </si>
  <si>
    <t>51-510-52-00-5224</t>
  </si>
  <si>
    <t>52-520-52-00-5224</t>
  </si>
  <si>
    <t>79-790-52-00-5224</t>
  </si>
  <si>
    <t>82-820-52-00-5224</t>
  </si>
  <si>
    <t>Parks Department</t>
  </si>
  <si>
    <t>Recreation Department</t>
  </si>
  <si>
    <t>Administrative Services</t>
  </si>
  <si>
    <t>Library Operations</t>
  </si>
  <si>
    <t>Community Development</t>
  </si>
  <si>
    <t>TRANSFER FROM LIBRARY OPS</t>
  </si>
  <si>
    <t>Cash Flow - Surplus(Deficit)</t>
  </si>
  <si>
    <t>General</t>
  </si>
  <si>
    <t>Fox Hill</t>
  </si>
  <si>
    <t>Sunflower</t>
  </si>
  <si>
    <t>Water</t>
  </si>
  <si>
    <t>Sewer</t>
  </si>
  <si>
    <t>Land Cash</t>
  </si>
  <si>
    <t>NON-HOME RULE SALES TAX</t>
  </si>
  <si>
    <t>01-220-50-00-5015</t>
  </si>
  <si>
    <t>2005A Bond</t>
  </si>
  <si>
    <t>79-795-50-00-5010</t>
  </si>
  <si>
    <t>79-795-50-00-5015</t>
  </si>
  <si>
    <t>79-795-50-00-5045</t>
  </si>
  <si>
    <t>79-795-50-00-5046</t>
  </si>
  <si>
    <t>79-795-50-00-5052</t>
  </si>
  <si>
    <t>79-795-52-00-5212</t>
  </si>
  <si>
    <t>79-795-52-00-5214</t>
  </si>
  <si>
    <t>79-795-52-00-5216</t>
  </si>
  <si>
    <t>79-795-52-00-5222</t>
  </si>
  <si>
    <t>79-795-52-00-5223</t>
  </si>
  <si>
    <t>79-795-52-00-5224</t>
  </si>
  <si>
    <t>79-795-54-00-5412</t>
  </si>
  <si>
    <t>79-795-54-00-5415</t>
  </si>
  <si>
    <t>79-795-54-00-5426</t>
  </si>
  <si>
    <t>79-795-54-00-5440</t>
  </si>
  <si>
    <t>79-795-54-00-5447</t>
  </si>
  <si>
    <t>79-795-54-00-5452</t>
  </si>
  <si>
    <t>79-795-54-00-5462</t>
  </si>
  <si>
    <t>79-795-54-00-5480</t>
  </si>
  <si>
    <t>79-795-54-00-5485</t>
  </si>
  <si>
    <t>79-795-54-00-5495</t>
  </si>
  <si>
    <t>79-795-54-00-5496</t>
  </si>
  <si>
    <t>79-795-56-00-5602</t>
  </si>
  <si>
    <t>79-795-56-00-5606</t>
  </si>
  <si>
    <t>79-795-56-00-5607</t>
  </si>
  <si>
    <t>79-795-56-00-5610</t>
  </si>
  <si>
    <t>79-795-56-00-5620</t>
  </si>
  <si>
    <t>79-795-56-00-5630</t>
  </si>
  <si>
    <t>79-795-56-00-5635</t>
  </si>
  <si>
    <t>79-795-56-00-5640</t>
  </si>
  <si>
    <t>79-795-56-00-5695</t>
  </si>
  <si>
    <t>SEIZED VEHICLE PROCEEDS</t>
  </si>
  <si>
    <t>OTHER LICENSES &amp; PERMITS</t>
  </si>
  <si>
    <t>01-110-54-00-5485</t>
  </si>
  <si>
    <t>01-210-54-00-5485</t>
  </si>
  <si>
    <t>01-220-54-00-5485</t>
  </si>
  <si>
    <t>11-000-45-00-4500</t>
  </si>
  <si>
    <t>12-000-45-00-4500</t>
  </si>
  <si>
    <t>42-000-45-00-4500</t>
  </si>
  <si>
    <t>51-000-46-00-4690</t>
  </si>
  <si>
    <t>01-000-40-00-4044</t>
  </si>
  <si>
    <t>23-230-60-00-6094</t>
  </si>
  <si>
    <t>KENCOM</t>
  </si>
  <si>
    <t>01-640-54-00-5449</t>
  </si>
  <si>
    <t>88-880-54-00-5466</t>
  </si>
  <si>
    <t>88-880-60-00-6000</t>
  </si>
  <si>
    <t>PROJECT COSTS</t>
  </si>
  <si>
    <t>72-000-41-00-4174</t>
  </si>
  <si>
    <t>72-000-41-00-4175</t>
  </si>
  <si>
    <t>01-640-54-00-5450</t>
  </si>
  <si>
    <t>INFORMATION TECHNOLOGY SERVICES</t>
  </si>
  <si>
    <t>GRANDE RESERVE PARK A</t>
  </si>
  <si>
    <t>GRANDE RESERVE PARK B</t>
  </si>
  <si>
    <t>72-720-60-00-6046</t>
  </si>
  <si>
    <t>72-720-60-00-6047</t>
  </si>
  <si>
    <t>79-000-48-00-4825</t>
  </si>
  <si>
    <t>79-790-54-00-5495</t>
  </si>
  <si>
    <t>88-000-45-00-4500</t>
  </si>
  <si>
    <t>23-000-41-00-4176</t>
  </si>
  <si>
    <t>83-000-45-00-4500</t>
  </si>
  <si>
    <t>84-000-45-00-4500</t>
  </si>
  <si>
    <t>82-820-52-00-5231</t>
  </si>
  <si>
    <t>CITY</t>
  </si>
  <si>
    <t>Park &amp; Recreation</t>
  </si>
  <si>
    <t xml:space="preserve">Park &amp; Rec </t>
  </si>
  <si>
    <t>Rec Ctr</t>
  </si>
  <si>
    <t>Library</t>
  </si>
  <si>
    <t>Library Ops</t>
  </si>
  <si>
    <t>01-220-56-00-5695</t>
  </si>
  <si>
    <t>79-000-46-00-4690</t>
  </si>
  <si>
    <t>52-520-54-00-5430</t>
  </si>
  <si>
    <t>51-510-60-00-6060</t>
  </si>
  <si>
    <t>Liability Insurance</t>
  </si>
  <si>
    <t>Unemployment Ins</t>
  </si>
  <si>
    <t>Health Insurance</t>
  </si>
  <si>
    <t>Dental Insurance</t>
  </si>
  <si>
    <t>Vision Insurance</t>
  </si>
  <si>
    <t>82-820-52-00-5230</t>
  </si>
  <si>
    <t>Debt Service</t>
  </si>
  <si>
    <t>51-510-54-00-5498</t>
  </si>
  <si>
    <t>52-520-54-00-5499</t>
  </si>
  <si>
    <t>52-520-54-00-5498</t>
  </si>
  <si>
    <t>51-510-54-00-5448</t>
  </si>
  <si>
    <t>HOTEL TAX REBATE</t>
  </si>
  <si>
    <t>01-000-46-00-4604</t>
  </si>
  <si>
    <t>REIMB - ENGINEERING EXPENSES</t>
  </si>
  <si>
    <t>01-110-54-00-5448</t>
  </si>
  <si>
    <t>82-820-54-00-5498</t>
  </si>
  <si>
    <t>82-820-99-00-9983</t>
  </si>
  <si>
    <t>TRANSFER TO LIBRARY DEBT SERVICE</t>
  </si>
  <si>
    <t>83-000-49-00-4982</t>
  </si>
  <si>
    <t>Non-Abatement of Debt Service</t>
  </si>
  <si>
    <t>23-000-41-00-4178</t>
  </si>
  <si>
    <t>Budget</t>
  </si>
  <si>
    <t xml:space="preserve">DEVELOPMENT FEES </t>
  </si>
  <si>
    <t>84-000-42-00-4214</t>
  </si>
  <si>
    <t>01-410-54-00-5446</t>
  </si>
  <si>
    <t>PROPERTY &amp; BLDG MAINT SERVICES</t>
  </si>
  <si>
    <t>PROPERTY &amp; BLDG MAINT SUPPLIES</t>
  </si>
  <si>
    <t>51-510-54-00-5445</t>
  </si>
  <si>
    <t>TREATMENT FACILITY SERVICES</t>
  </si>
  <si>
    <t>52-520-54-00-5444</t>
  </si>
  <si>
    <t>LIFT STATION SERVICES</t>
  </si>
  <si>
    <t>01-110-52-00-5235</t>
  </si>
  <si>
    <t>01-110-52-00-5236</t>
  </si>
  <si>
    <t>01-110-52-00-5237</t>
  </si>
  <si>
    <t>01-110-52-00-5238</t>
  </si>
  <si>
    <t>01-540-54-00-5441</t>
  </si>
  <si>
    <t>GARBAGE SERVICES - SENIOR SUBSIDY</t>
  </si>
  <si>
    <t>01-210-50-00-5011</t>
  </si>
  <si>
    <t>SALARIES - POLICE CHIEF &amp; DEPUTIES</t>
  </si>
  <si>
    <t>SALARIES - SERGEANTS</t>
  </si>
  <si>
    <t>.</t>
  </si>
  <si>
    <t>MDT - ALERTS FEE</t>
  </si>
  <si>
    <t>01-210-56-00-5650</t>
  </si>
  <si>
    <t>COMMUNITY SERVICES</t>
  </si>
  <si>
    <t>OFFENDER REGISTRATION FEES</t>
  </si>
  <si>
    <t>ELECTED OFFICIAL - GROUP HEALTH INSURANCE</t>
  </si>
  <si>
    <t>ELECTED OFFICIAL - GROUP LIFE INSURANCE</t>
  </si>
  <si>
    <t>ELECTED OFFICIAL - DENTAL INSURANCE</t>
  </si>
  <si>
    <t>ELECTED OFFICIAL - VISION INSURANCE</t>
  </si>
  <si>
    <t>Motor Fuel Tax</t>
  </si>
  <si>
    <t>Municipal Bldg</t>
  </si>
  <si>
    <t>Police Capital</t>
  </si>
  <si>
    <t>City Wide Capital</t>
  </si>
  <si>
    <t>City</t>
  </si>
  <si>
    <t>Net Ins Costs</t>
  </si>
  <si>
    <t>Lib</t>
  </si>
  <si>
    <t>01-640-52-00-5240</t>
  </si>
  <si>
    <t>01-640-52-00-5241</t>
  </si>
  <si>
    <t>01-640-52-00-5242</t>
  </si>
  <si>
    <t>RETIREES - GROUP HEALTH INSURANCE</t>
  </si>
  <si>
    <t>RETIREES - DENTAL INSURANCE</t>
  </si>
  <si>
    <t>RETIREES - VISION INSURANCE</t>
  </si>
  <si>
    <t>GENERAL FUND (01)</t>
  </si>
  <si>
    <t xml:space="preserve">The General Fund is the City’s primary operating fund.  It accounts for major tax revenue used to support administrative and public safety functions.    </t>
  </si>
  <si>
    <t>Adopted</t>
  </si>
  <si>
    <t xml:space="preserve">Revenue </t>
  </si>
  <si>
    <t>Taxes</t>
  </si>
  <si>
    <t>Intergovernmental</t>
  </si>
  <si>
    <t>Licenses &amp; Permits</t>
  </si>
  <si>
    <t>Fines &amp; Forfeits</t>
  </si>
  <si>
    <t>Charges for Service</t>
  </si>
  <si>
    <t>Investment Earnings</t>
  </si>
  <si>
    <t>Reimbursements</t>
  </si>
  <si>
    <t>Miscellaneous</t>
  </si>
  <si>
    <t>Other Financing Sources</t>
  </si>
  <si>
    <t>Total Revenue</t>
  </si>
  <si>
    <t>Salaries</t>
  </si>
  <si>
    <t>Benefits</t>
  </si>
  <si>
    <t>Contractual Services</t>
  </si>
  <si>
    <t>Supplies</t>
  </si>
  <si>
    <t>Capital Outlay</t>
  </si>
  <si>
    <t>Contingencies</t>
  </si>
  <si>
    <t>Other Financing Uses</t>
  </si>
  <si>
    <t>Total Expenditures</t>
  </si>
  <si>
    <t>Surplus (Deficit)</t>
  </si>
  <si>
    <t>Ending Fund Balance</t>
  </si>
  <si>
    <t>Fox Hill SSA Fund (11)</t>
  </si>
  <si>
    <t>This fund was created for the purpose of maintaining the common areas of the Fox Hill Estates (SSA 2004-201) subdivision.  All money for the fund is derived from property taxes levied on homeowners in the subdivision.</t>
  </si>
  <si>
    <t>Sunflower SSA Fund (12)</t>
  </si>
  <si>
    <t>This fund was created for the purpose of maintaining the common areas of the Sunflower Estates (SSA 2006-119) subdivision.  All money for the fund is derived from property taxes levied on homeowners in the subdivision.</t>
  </si>
  <si>
    <t>Motor Fuel Tax Fund (15)</t>
  </si>
  <si>
    <t>Municipal Building Fund (16)</t>
  </si>
  <si>
    <t>City-Wide Capital Fund (23)</t>
  </si>
  <si>
    <t>Debt Service Fund (42)</t>
  </si>
  <si>
    <t>Water Fund (51)</t>
  </si>
  <si>
    <t xml:space="preserve">The Water Fund is an enterprise fund which is comprised of both a capital and operational budget. The capital portion is used for the improvement and expansion of water infrastructure, while the operational side is used to service and maintain City water systems.   </t>
  </si>
  <si>
    <t>Developer Commitments</t>
  </si>
  <si>
    <t>Total Expenses</t>
  </si>
  <si>
    <t>Ending Fund Balance Equivalent</t>
  </si>
  <si>
    <t>Sewer Fund (52)</t>
  </si>
  <si>
    <t>The Sewer Fund is an enterprise fund which is comprised of both a capital and operational budget.  The capital portion is used for improvement and expansion of the sanitary sewer infrastructure while the operational side allows the City to service and maintain sanitary sewer systems.</t>
  </si>
  <si>
    <t>Land Cash Fund (72)</t>
  </si>
  <si>
    <t xml:space="preserve">Land-Cash funds are dedicated by developers through the contribution ordinance to serve the immediate and future needs of park and recreation of residents in new subdivisions. Land for park development and cash spent on recreational facilities is often matched through grant funding to meet the community’s recreation needs at a lower cost to the City. </t>
  </si>
  <si>
    <t>Land Cash Contributions</t>
  </si>
  <si>
    <t>Parks and Recreation Fund (79)</t>
  </si>
  <si>
    <t>This fund accounts for the daily operations of the  Parks and Recreation Department.  Programs, classes, special events and maintenance of City wide park land and public facilities make up the day to day operations.  Programs and classes consist of a wide variety of options serving children through senior citizens.  Special events range from Music Under the Stars to Home Town Days.  City wide maintenance consists of over two hundred acres at more than fifty sites including buildings, boulevards, parks, utility locations and natural areas.</t>
  </si>
  <si>
    <t>Recreation Center Fund (80)</t>
  </si>
  <si>
    <t>Library Operations Fund (82)</t>
  </si>
  <si>
    <t>The Yorkville Public Library provides the people of the community, from pre-school through maturity, with access to a collection of books and other materials which will serve their educational, cultural and recreational needs.  The Library board and staff strive to provide the community an environment that promotes the love of reading.</t>
  </si>
  <si>
    <t>Library Debt Service Fund (83)</t>
  </si>
  <si>
    <t>Library Capital Fund (84)</t>
  </si>
  <si>
    <t>Countryside TIF Fund (87)</t>
  </si>
  <si>
    <t>The Countryside TIF was created in February of 2005, with the intent of constructing a future retail development at Countryside Center.  This TIF is located at the northwest corner of US Route 34 and IL Route 47.</t>
  </si>
  <si>
    <t>Downtown TIF Fund (88)</t>
  </si>
  <si>
    <t>The Downtown TIF was created in 2006, in order to finance a mixed use development in the downtown area.</t>
  </si>
  <si>
    <t>ADMINISTRATION DEPARTMENT</t>
  </si>
  <si>
    <t>Total Administration</t>
  </si>
  <si>
    <t>FINANCE DEPARTMENT</t>
  </si>
  <si>
    <t>POLICE DEPARTMENT</t>
  </si>
  <si>
    <t>COMMUNITY DEVELOPMENT DEPARTMENT</t>
  </si>
  <si>
    <t>The primary focus of the Community Development Department is to ensure that all existing and new construction is consistent with the overall development goals of the City which entails short and long-range planning, administration of zoning regulations, building permits issuance and code enforcement. The department also provides staff support to the City Council, Plan Commission, Zoning Board of Appeals and Park Board and assists in the review of all development plans proposed within the United City of Yorkville.</t>
  </si>
  <si>
    <t>Total Community Development</t>
  </si>
  <si>
    <t>The Public Works Department is an integral part of the United City of Yorkville.  We provide high quality drinking water, efficient disposal of sanitary waste and maintain a comprehensive road and storm sewer network to ensure the safety and quality of life for the citizens of Yorkville.</t>
  </si>
  <si>
    <t>ADMINISTRATIVE SERVICES DEPARTMENT</t>
  </si>
  <si>
    <t>United City of Yorkville</t>
  </si>
  <si>
    <t>Revenue Budget Summary - All Funds</t>
  </si>
  <si>
    <t>FUND</t>
  </si>
  <si>
    <t>General Fund</t>
  </si>
  <si>
    <t>Special Revenue Funds</t>
  </si>
  <si>
    <t>Parks and Recreation</t>
  </si>
  <si>
    <t>Fox Hill SSA</t>
  </si>
  <si>
    <t>Sunflower SSA</t>
  </si>
  <si>
    <t>Debt Service Fund</t>
  </si>
  <si>
    <t>Capital Project Funds</t>
  </si>
  <si>
    <t>Municipal Building</t>
  </si>
  <si>
    <t>Public Works Capital</t>
  </si>
  <si>
    <t>City-Wide Capital</t>
  </si>
  <si>
    <t>Enterprise Funds</t>
  </si>
  <si>
    <t>Library Funds</t>
  </si>
  <si>
    <t>Library Capital</t>
  </si>
  <si>
    <t>Expenditure Budget Summary - All Funds</t>
  </si>
  <si>
    <t>Library Fund</t>
  </si>
  <si>
    <t>Revenues by Category</t>
  </si>
  <si>
    <t xml:space="preserve">Other </t>
  </si>
  <si>
    <t>Inter-</t>
  </si>
  <si>
    <t>Licenses &amp;</t>
  </si>
  <si>
    <t>Fines &amp;</t>
  </si>
  <si>
    <t xml:space="preserve">Charges </t>
  </si>
  <si>
    <t>Investment</t>
  </si>
  <si>
    <t>Reimb-</t>
  </si>
  <si>
    <t>Miscel-</t>
  </si>
  <si>
    <t>Land</t>
  </si>
  <si>
    <t xml:space="preserve">Financing </t>
  </si>
  <si>
    <t>Fund</t>
  </si>
  <si>
    <t>governmental</t>
  </si>
  <si>
    <t>Permits</t>
  </si>
  <si>
    <t>Forfeits</t>
  </si>
  <si>
    <t>for Services</t>
  </si>
  <si>
    <t>Earnings</t>
  </si>
  <si>
    <t>ursements</t>
  </si>
  <si>
    <t>laneous</t>
  </si>
  <si>
    <t>Cash</t>
  </si>
  <si>
    <t>Sources</t>
  </si>
  <si>
    <t>Total</t>
  </si>
  <si>
    <t>Expenditures by Category</t>
  </si>
  <si>
    <t>Contractual</t>
  </si>
  <si>
    <t>Capital</t>
  </si>
  <si>
    <t>Debt</t>
  </si>
  <si>
    <t>Financing</t>
  </si>
  <si>
    <t>Services</t>
  </si>
  <si>
    <t>Outlay</t>
  </si>
  <si>
    <t>Service</t>
  </si>
  <si>
    <t>Uses</t>
  </si>
  <si>
    <t>Fund Balance Summary</t>
  </si>
  <si>
    <t>Beginning</t>
  </si>
  <si>
    <t>Budgeted</t>
  </si>
  <si>
    <t xml:space="preserve">Budgeted </t>
  </si>
  <si>
    <t>Surplus</t>
  </si>
  <si>
    <t>Ending</t>
  </si>
  <si>
    <t>Revenues</t>
  </si>
  <si>
    <t>(Deficit)</t>
  </si>
  <si>
    <t>Totals</t>
  </si>
  <si>
    <t xml:space="preserve">Fund Balance History </t>
  </si>
  <si>
    <t>Enterprise Funds *</t>
  </si>
  <si>
    <t>*</t>
  </si>
  <si>
    <t xml:space="preserve">Full Time </t>
  </si>
  <si>
    <t>Overtime</t>
  </si>
  <si>
    <t>Part Time</t>
  </si>
  <si>
    <t>16-000-42-00-4216</t>
  </si>
  <si>
    <t>BUILD PROGRAM</t>
  </si>
  <si>
    <t>16-160-54-00-5405</t>
  </si>
  <si>
    <t>51-000-42-00-4216</t>
  </si>
  <si>
    <t>51-510-54-00-5405</t>
  </si>
  <si>
    <t>52-000-42-00-4216</t>
  </si>
  <si>
    <t>52-520-54-00-5405</t>
  </si>
  <si>
    <t>Motor Fuel Tax  - 15</t>
  </si>
  <si>
    <t>Cash Flow - Fund Balance</t>
  </si>
  <si>
    <t>TOTAL REVENUES</t>
  </si>
  <si>
    <t>TOTAL EXPENDITURES</t>
  </si>
  <si>
    <t>52-520-92-00-8000</t>
  </si>
  <si>
    <t>52-520-92-00-8050</t>
  </si>
  <si>
    <t xml:space="preserve">KENNEDY RD BIKE TRAIL </t>
  </si>
  <si>
    <t>PARK RENTALS</t>
  </si>
  <si>
    <t>51-000-48-00-4820</t>
  </si>
  <si>
    <t xml:space="preserve">RENTAL INCOME </t>
  </si>
  <si>
    <t>52-520-99-00-9951</t>
  </si>
  <si>
    <t>23-000-49-00-4905</t>
  </si>
  <si>
    <t>Kendall County Loan - River Road Bridge</t>
  </si>
  <si>
    <t>Route 47 Expansion Project</t>
  </si>
  <si>
    <t>ELECTRONIC CITATION FEES</t>
  </si>
  <si>
    <t>TRANSFER TO LAND CASH</t>
  </si>
  <si>
    <t>84-840-56-00-5683</t>
  </si>
  <si>
    <t>84-840-56-00-5684</t>
  </si>
  <si>
    <t>84-840-56-00-5685</t>
  </si>
  <si>
    <t>84-840-56-00-5635</t>
  </si>
  <si>
    <t>BOOKS</t>
  </si>
  <si>
    <t>84-840-56-00-5686</t>
  </si>
  <si>
    <t>23-000-42-00-4216</t>
  </si>
  <si>
    <t>BUILD PROGRAM PERMITS</t>
  </si>
  <si>
    <t>23-230-54-00-5405</t>
  </si>
  <si>
    <t>79-000-44-00-4402</t>
  </si>
  <si>
    <t>SPECIAL EVENTS</t>
  </si>
  <si>
    <t>79-000-44-00-4403</t>
  </si>
  <si>
    <t>CHILD DEVELOPMENT</t>
  </si>
  <si>
    <t>79-000-44-00-4404</t>
  </si>
  <si>
    <t>MFT</t>
  </si>
  <si>
    <t>79-790-56-00-5695</t>
  </si>
  <si>
    <t>FY 2018</t>
  </si>
  <si>
    <t>CIRCUIT COURT FINES</t>
  </si>
  <si>
    <t>Total Finance</t>
  </si>
  <si>
    <t xml:space="preserve">Total Police </t>
  </si>
  <si>
    <t xml:space="preserve">Total Public Works </t>
  </si>
  <si>
    <t>Total Admin Services &amp; Transfers</t>
  </si>
  <si>
    <t xml:space="preserve">Library Capital </t>
  </si>
  <si>
    <t>SALARIES &amp; WAGES</t>
  </si>
  <si>
    <t>01-110-50-00-5015</t>
  </si>
  <si>
    <t>EXCISE TAX</t>
  </si>
  <si>
    <t>23-230-60-00-6058</t>
  </si>
  <si>
    <t xml:space="preserve">US 34 (IL 47 / ORCHARD RD) PROJECT </t>
  </si>
  <si>
    <t>23-230-60-00-6059</t>
  </si>
  <si>
    <t>RTP GRANT - CLARK PARK</t>
  </si>
  <si>
    <t>CLARK PARK</t>
  </si>
  <si>
    <t>79-000-48-00-4843</t>
  </si>
  <si>
    <t>TRANSFER TO PARKS &amp; RECREATION</t>
  </si>
  <si>
    <t>16-000-49-00-4901</t>
  </si>
  <si>
    <t>01-640-99-00-9916</t>
  </si>
  <si>
    <t>TRANSFER TO MUNICIPAL BUILDING</t>
  </si>
  <si>
    <t>23-000-42-00-4218</t>
  </si>
  <si>
    <t>DEVELOPMENT FEES - MUNICIPAL BLDG</t>
  </si>
  <si>
    <t>Vehicle &amp; Equipment - 25</t>
  </si>
  <si>
    <t>DEVELOPMENT FEES - POLICE CAPITAL</t>
  </si>
  <si>
    <t>DEVELOPMENT FEES - PW CAPITAL</t>
  </si>
  <si>
    <t>25-205-54-00-5462</t>
  </si>
  <si>
    <t>25-205-54-00-5495</t>
  </si>
  <si>
    <t>25-205-60-00-6060</t>
  </si>
  <si>
    <t>25-205-60-00-6070</t>
  </si>
  <si>
    <t>25-215-54-00-5405</t>
  </si>
  <si>
    <t>25-215-54-00-5448</t>
  </si>
  <si>
    <t>25-215-54-00-5485</t>
  </si>
  <si>
    <t>25-215-56-00-5620</t>
  </si>
  <si>
    <t>25-215-60-00-6060</t>
  </si>
  <si>
    <t>25-215-60-00-6070</t>
  </si>
  <si>
    <t>25-215-92-00-8000</t>
  </si>
  <si>
    <t>25-215-92-00-8050</t>
  </si>
  <si>
    <t>25-225-60-00-6060</t>
  </si>
  <si>
    <t>25-225-99-00-9972</t>
  </si>
  <si>
    <t>25-225-92-00-8000</t>
  </si>
  <si>
    <t>25-225-92-00-8050</t>
  </si>
  <si>
    <t>Vehicle &amp; Equipment</t>
  </si>
  <si>
    <t>Vehicle and Equipment Fund (25)</t>
  </si>
  <si>
    <t>72-000-49-00-4925</t>
  </si>
  <si>
    <t>TRANSFER FROM VEHICLE &amp; EQUIPMENT</t>
  </si>
  <si>
    <t>Police Capital Expenditures</t>
  </si>
  <si>
    <t>Public Works Capital Expenditures</t>
  </si>
  <si>
    <t>Police Capital Fund Balance</t>
  </si>
  <si>
    <t>Public Works Capital Fund Balance</t>
  </si>
  <si>
    <t>City-Wide Capital Expenditures</t>
  </si>
  <si>
    <t>Sub-Total Expenditures</t>
  </si>
  <si>
    <t>Total Public Works</t>
  </si>
  <si>
    <t>Account Number</t>
  </si>
  <si>
    <t>City-Wide Capital Fund Balance</t>
  </si>
  <si>
    <t>185 Wolf Street Building</t>
  </si>
  <si>
    <t>Parks &amp; Recreation Capital</t>
  </si>
  <si>
    <t>Fund Balance Equivalent</t>
  </si>
  <si>
    <t>87-870-54-00-5425</t>
  </si>
  <si>
    <t>01-110-54-00-5460</t>
  </si>
  <si>
    <t>15-155-54-00-5438</t>
  </si>
  <si>
    <t>SALT STORAGE</t>
  </si>
  <si>
    <t>84-840-54-00-5460</t>
  </si>
  <si>
    <t>DEVELOPMENT FEES - PARK CAPITAL</t>
  </si>
  <si>
    <t>MISCELLANEOUS INCOME - PW CAPITAL</t>
  </si>
  <si>
    <t>INVESTMENT EARNINGS - PARK CAPITAL</t>
  </si>
  <si>
    <t>REIMB - MISCELLANEOUS - PARK CAPITAL</t>
  </si>
  <si>
    <t>MISCELLANEOUS INCOME - POLICE CAPITAL</t>
  </si>
  <si>
    <t>LATE PENALTIES - GARBAGE</t>
  </si>
  <si>
    <t>15-000-46-00-4690</t>
  </si>
  <si>
    <t>LATE PENALTIES - SEWER</t>
  </si>
  <si>
    <t>LATE PENALTIES - WATER</t>
  </si>
  <si>
    <t>01-410-54-00-5490</t>
  </si>
  <si>
    <t>VEHICLE MAINTENANCE SERVICES</t>
  </si>
  <si>
    <t>01-410-56-00-5628</t>
  </si>
  <si>
    <t>VEHICLE MAINTENANCE SUPPLIES</t>
  </si>
  <si>
    <t>51-510-54-00-5490</t>
  </si>
  <si>
    <t>51-510-56-00-5628</t>
  </si>
  <si>
    <t>52-520-54-00-5490</t>
  </si>
  <si>
    <t>52-520-56-00-5628</t>
  </si>
  <si>
    <t>51-510-60-00-6070</t>
  </si>
  <si>
    <t>15-155-60-00-6003</t>
  </si>
  <si>
    <t>MATERIAL STORAGE BLDG CONSTRUCTION</t>
  </si>
  <si>
    <t>15-155-60-00-6025</t>
  </si>
  <si>
    <t>15-155-60-00-6089</t>
  </si>
  <si>
    <t>CANNONBALL LAFO PROJECT</t>
  </si>
  <si>
    <t>01-410-54-00-5435</t>
  </si>
  <si>
    <t>TRAFFIC SIGNAL MAINTENANCE</t>
  </si>
  <si>
    <t>ADJUDICATION SERVICES</t>
  </si>
  <si>
    <t>79-795-54-00-5497</t>
  </si>
  <si>
    <t>80-000-49-00-4979</t>
  </si>
  <si>
    <t>TRANSFER FROM PARKS &amp; REC</t>
  </si>
  <si>
    <t>79-795-99-00-9980</t>
  </si>
  <si>
    <t>TRANSFER TO RECREATION CENTER</t>
  </si>
  <si>
    <t>Fund Balance - Police Capital</t>
  </si>
  <si>
    <t>Fund Balance - Public Works Capital</t>
  </si>
  <si>
    <t>Fund Balance - Parks &amp; Rec Capital</t>
  </si>
  <si>
    <t>12-112-54-00-5416</t>
  </si>
  <si>
    <t>POND MAINTENANCE</t>
  </si>
  <si>
    <t>TRAIL MAINTENANCE</t>
  </si>
  <si>
    <t>11-111-54-00-5417</t>
  </si>
  <si>
    <t>FY 2019</t>
  </si>
  <si>
    <t>01-210-54-00-5422</t>
  </si>
  <si>
    <t>VEHICLE &amp; EQUIPMENT CHARGEBACK</t>
  </si>
  <si>
    <t>POLICE CHARGEBACK</t>
  </si>
  <si>
    <t>52-520-60-00-6070</t>
  </si>
  <si>
    <t>PUBLIC WORKS CHARGEBACK</t>
  </si>
  <si>
    <t>01-410-54-00-5422</t>
  </si>
  <si>
    <t>01-640-54-00-5439</t>
  </si>
  <si>
    <t>AMUSEMENT TAX REBATE</t>
  </si>
  <si>
    <t>23-230-54-00-5465</t>
  </si>
  <si>
    <t>Operating Funds</t>
  </si>
  <si>
    <t>51-000-44-00-4426</t>
  </si>
  <si>
    <t>01-000-44-00-4407</t>
  </si>
  <si>
    <t>01-000-49-00-4916</t>
  </si>
  <si>
    <t>01-000-43-00-4323</t>
  </si>
  <si>
    <t>23-216-99-00-9901</t>
  </si>
  <si>
    <t>PRINCIPAL PAYMENT</t>
  </si>
  <si>
    <t>23-000-44-00-4440</t>
  </si>
  <si>
    <t>ROAD INFRASTRUCTURE FEE</t>
  </si>
  <si>
    <t>TIF INCENTIVE PAYOUT</t>
  </si>
  <si>
    <t>88-880-54-00-5425</t>
  </si>
  <si>
    <t>Debt Service - 2013 Refunding Bond</t>
  </si>
  <si>
    <t>87-870-93-00-8000</t>
  </si>
  <si>
    <t>87-870-93-00-8050</t>
  </si>
  <si>
    <t>52-000-44-00-4440</t>
  </si>
  <si>
    <t>52-000-44-00-4462</t>
  </si>
  <si>
    <t>SEWER INFRASTRUCTURE FEE</t>
  </si>
  <si>
    <t>United City of Yorkville - Consolidated Budget</t>
  </si>
  <si>
    <t>Yorkville Public Library - Consolidated Budget</t>
  </si>
  <si>
    <t>Yorkville Parks and Recreation - Consolidated Budget</t>
  </si>
  <si>
    <t xml:space="preserve">BUSINESS DISTRICT REBATE </t>
  </si>
  <si>
    <t>79-795-54-00-5460</t>
  </si>
  <si>
    <t>The table and graph below present the Library's funds in aggregate, similar to that of a private business (for illustrative purposes only).  All budgeted Library funds are included:  Library Operations (82); Library Debt Service (83); and Library Capital (84).</t>
  </si>
  <si>
    <t>The table and graph below present the Park &amp; Recreation funds in aggregate, similar to that of a private business (for illustrative purposes only).  All budgeted Park &amp; Recreation funds are included:  Parks &amp; Recreation (79); Recreation Center (80); and the Parks &amp; Recreation Capital portion of Vehicle &amp; Equipment (25).</t>
  </si>
  <si>
    <t>FY 2020</t>
  </si>
  <si>
    <t>FY 2021</t>
  </si>
  <si>
    <t>83-830-99-00-8000</t>
  </si>
  <si>
    <t>83-830-99-00-8050</t>
  </si>
  <si>
    <t>23-230-60-00-6048</t>
  </si>
  <si>
    <t>The Library Capital Fund derives its revenue from monies collected from building permits.  The revenue is used for Library building maintenance and associated capital, contractual and supply purchases.</t>
  </si>
  <si>
    <t>01-210-50-00-5008</t>
  </si>
  <si>
    <t>Property Taxes</t>
  </si>
  <si>
    <t>Corporate</t>
  </si>
  <si>
    <t>Police Pension</t>
  </si>
  <si>
    <t>Total City</t>
  </si>
  <si>
    <t>Total City Capped</t>
  </si>
  <si>
    <t>Building Permits Revenue</t>
  </si>
  <si>
    <t>23-230-60-00-6025</t>
  </si>
  <si>
    <t>80-000-44-00-4439</t>
  </si>
  <si>
    <t>TRAVEL &amp; LODGING</t>
  </si>
  <si>
    <t>PRINTING &amp; DUPLICATING</t>
  </si>
  <si>
    <t>DUES &amp; SUBSCRIPTIONS</t>
  </si>
  <si>
    <t>REPAIR &amp; MAINTENANCE</t>
  </si>
  <si>
    <t>OUTSIDE REPAIR &amp; MAINTENANCE</t>
  </si>
  <si>
    <t>BOOKS &amp; PUBLICATIONS</t>
  </si>
  <si>
    <t>METERS &amp; PARTS</t>
  </si>
  <si>
    <t>ATHLETICS &amp; FITNESS</t>
  </si>
  <si>
    <t>SPONSORSHIPS &amp; DONATIONS</t>
  </si>
  <si>
    <t>SCHOLARSHIPS &amp; DONATIONS</t>
  </si>
  <si>
    <t>COMPACT DISCS &amp; OTHER MUSIC</t>
  </si>
  <si>
    <t>ROAD TO BETTER ROADS PROGRAM</t>
  </si>
  <si>
    <t>Water Operations</t>
  </si>
  <si>
    <t>Sewer Operations</t>
  </si>
  <si>
    <t>51-510-60-00-6025</t>
  </si>
  <si>
    <t>52-520-60-00-6025</t>
  </si>
  <si>
    <t>01-110-50-00-5010</t>
  </si>
  <si>
    <t>23-000-46-00-4660</t>
  </si>
  <si>
    <t>REIMB - PUSH FOR THE PATH</t>
  </si>
  <si>
    <t>VIDEO GAMING TAX</t>
  </si>
  <si>
    <t>23-000-46-00-4620</t>
  </si>
  <si>
    <t>REIMB - PULTE (AUTUMN CREEK)</t>
  </si>
  <si>
    <t>23-230-60-00-6007</t>
  </si>
  <si>
    <t>KENNEDY RD - AUTUMN CREEK</t>
  </si>
  <si>
    <t>Debt Service - 2003A IRBB Debt Certificates</t>
  </si>
  <si>
    <t>SALE OF CAPITAL ASSETS - POLICE CAPITAL</t>
  </si>
  <si>
    <t>SALE OF CAPITAL ASSETS</t>
  </si>
  <si>
    <t>INTEREST EXPENSE</t>
  </si>
  <si>
    <t>OUTSIDE REPAIR &amp; MAINTENCE</t>
  </si>
  <si>
    <t>51-510-54-00-5495</t>
  </si>
  <si>
    <t>52-520-54-00-5495</t>
  </si>
  <si>
    <t>23-216-54-00-5446</t>
  </si>
  <si>
    <t>23-216-56-00-5656</t>
  </si>
  <si>
    <t>15-155-60-00-6004</t>
  </si>
  <si>
    <t>BASELINE ROAD BRIDGE REPAIRS</t>
  </si>
  <si>
    <t>51-510-56-00-5665</t>
  </si>
  <si>
    <t>JULIE SUPPLIES</t>
  </si>
  <si>
    <t>11-111-54-00-5466</t>
  </si>
  <si>
    <t>E-BOOKS SUBSCRIPTION</t>
  </si>
  <si>
    <t>SALE OF CAPITAL ASSETS - PW CAPITAL</t>
  </si>
  <si>
    <t>25-225-60-00-6070</t>
  </si>
  <si>
    <t>25-225-60-00-6065</t>
  </si>
  <si>
    <t>52-000-49-00-4910</t>
  </si>
  <si>
    <t>88-000-49-00-4910</t>
  </si>
  <si>
    <t>12-000-40-00-4000</t>
  </si>
  <si>
    <t xml:space="preserve">PROPERTY TAXES                        </t>
  </si>
  <si>
    <t>11-000-40-00-4000</t>
  </si>
  <si>
    <t xml:space="preserve">PROPERTY TAXES                             </t>
  </si>
  <si>
    <t>42-000-40-00-4000</t>
  </si>
  <si>
    <t>51-000-40-00-4000</t>
  </si>
  <si>
    <t>82-000-40-00-4000</t>
  </si>
  <si>
    <t xml:space="preserve">PROPERTY TAXES                    </t>
  </si>
  <si>
    <t>83-000-40-00-4000</t>
  </si>
  <si>
    <t xml:space="preserve">PROPERTY TAXES           </t>
  </si>
  <si>
    <t xml:space="preserve">PROPERTY TAXES                         </t>
  </si>
  <si>
    <t>87-000-40-00-4000</t>
  </si>
  <si>
    <t>88-000-40-00-4000</t>
  </si>
  <si>
    <t>PARKS &amp; RECREATION CHARGEBACK</t>
  </si>
  <si>
    <t>79-790-54-00-5422</t>
  </si>
  <si>
    <t>The Municipal Building Fund was used to maintain existing City owned buildings and to fund land acquisition, design and construction of new buildings.  This fund was closed out in fiscal year 2014.</t>
  </si>
  <si>
    <t>Parks &amp; Rec Capital Expenditures</t>
  </si>
  <si>
    <t>Parks &amp; Rec Capital Fund Balance</t>
  </si>
  <si>
    <t>23-000-41-00-4161</t>
  </si>
  <si>
    <t>88-880-60-00-6048</t>
  </si>
  <si>
    <t>Principal</t>
  </si>
  <si>
    <t>Interest</t>
  </si>
  <si>
    <t>72-720-60-00-6028</t>
  </si>
  <si>
    <t>CANNONBALL PARK</t>
  </si>
  <si>
    <t>01-000-41-00-4168</t>
  </si>
  <si>
    <t>BRIDGE PARK</t>
  </si>
  <si>
    <t>BUSINESS DISTRICT TAX</t>
  </si>
  <si>
    <t>88-000-40-00-4070</t>
  </si>
  <si>
    <t>LOAN PROCEEDS - RIVER ROAD BRIDGE</t>
  </si>
  <si>
    <t>01-110-54-00-5436</t>
  </si>
  <si>
    <t>4TH OF JULY CONTRIBUTION</t>
  </si>
  <si>
    <t>23-216-54-00-5405</t>
  </si>
  <si>
    <t>25-205-54-00-5405</t>
  </si>
  <si>
    <t>25-225-54-00-5405</t>
  </si>
  <si>
    <t>42-420-54-00-5405</t>
  </si>
  <si>
    <t>72-000-42-00-4216</t>
  </si>
  <si>
    <t>25-000-42-00-4216</t>
  </si>
  <si>
    <t>42-000-42-00-4216</t>
  </si>
  <si>
    <t>72-720-54-00-5405</t>
  </si>
  <si>
    <t>51-510-60-00-6066</t>
  </si>
  <si>
    <t>RTE 71 WATERMAIN RELOCATION</t>
  </si>
  <si>
    <t>TRANSFER FROM GENERAL - CW CAPITAL</t>
  </si>
  <si>
    <t>15-000-41-00-4183</t>
  </si>
  <si>
    <t>KENDALL AREA TRANSIT</t>
  </si>
  <si>
    <t>15-000-41-00-4184</t>
  </si>
  <si>
    <t>23-000-41-00-4162</t>
  </si>
  <si>
    <t>FEDERAL GRANTS - RIVER RD BRIDGE</t>
  </si>
  <si>
    <t>FEDERAL GRANTS - ITEP DOWNTOWN</t>
  </si>
  <si>
    <t>15-000-41-00-4185</t>
  </si>
  <si>
    <t>23-230-60-00-6095</t>
  </si>
  <si>
    <t>FEDERAL GRANTS - SAFE ROUTE TO SCHOOL</t>
  </si>
  <si>
    <t>15-155-54-00-5482</t>
  </si>
  <si>
    <t>STREET LIGHTING</t>
  </si>
  <si>
    <t>88-880-54-00-5493</t>
  </si>
  <si>
    <t>72-000-45-00-4500</t>
  </si>
  <si>
    <t>72-000-47-00-4736</t>
  </si>
  <si>
    <t>BRIARWOOD</t>
  </si>
  <si>
    <t>EMPLOYER CONTRIBUTION - POLICE PENSION</t>
  </si>
  <si>
    <t>STATE GRANTS - DOWNTOWN PARKING LOT</t>
  </si>
  <si>
    <t>STATE GRANTS - MATERIALS STORAGE FACILITY</t>
  </si>
  <si>
    <t>DEVELOPMENT FEES - CW CAPITAL</t>
  </si>
  <si>
    <t>DOWNTOWN STREETSCAPE IMPROVEMENT</t>
  </si>
  <si>
    <t>SUNFLOWER ESTATES - DRAINAGE IMPROVEMENT</t>
  </si>
  <si>
    <t>ROUTE 71 (RTE 47 / ORCHARD RD) PROJECT</t>
  </si>
  <si>
    <t xml:space="preserve">City-Wide </t>
  </si>
  <si>
    <t>Grant Proceeds</t>
  </si>
  <si>
    <t>P4P Proceeds</t>
  </si>
  <si>
    <t>Kennedy Road - Autumn Creek</t>
  </si>
  <si>
    <t>Pulte Reimbursement</t>
  </si>
  <si>
    <t>Road to Better Roads Program</t>
  </si>
  <si>
    <t xml:space="preserve">The Administration Department includes both elected official and management expenditures.  The executive and legislative branches consist of the Mayor and an eight member City Council.  The city administrator is hired by the Mayor with the consent of the City Council.  City staff report to the city administrator.  It is the role of the city administrator to direct staff in the daily administration of City services.  </t>
  </si>
  <si>
    <t>The Finance Department is responsible for the accounting, internal controls, external reporting and auditing of all financial transactions.   The Finance Department is in charge of preparing for the annual audit, utility billing, receivables, payables, treasury management and payroll and works with administration in the preparation of the annual budget.  Personnel are budgeted in the General and Water Funds.</t>
  </si>
  <si>
    <t>The mission of the Yorkville Police Department is to work in partnership with the community to protect life and property, assist neighborhoods with solving their problems and enhance the quality of life in our City.</t>
  </si>
  <si>
    <t xml:space="preserve">The Administrative Services Department accounts for General Fund expenditures that are shared by all departments and cannot be easily classified in one department or the other.  These expenditures include such items as tax rebates, bad debt, engineering services, corporate legal expenditures and interfund transfers. </t>
  </si>
  <si>
    <t xml:space="preserve">This fund was created in Fiscal Year 2014, consolidating the Police Capital, Public Works Capital and Park &amp; Recreation Capital funds.  This fund primarily derives its revenue from monies collected from building permits and development fees.  The revenue is used to purchase vehicles and equipment for use in the operations of the Police, Public Works and Parks &amp; Recreation Departments.  </t>
  </si>
  <si>
    <t>The Motor Fuel Tax Fund is used to maintain existing and construct new City owned roadways, alleys and parking lots.  The fund also purchases materials used in the maintenance and operation of those facilities.</t>
  </si>
  <si>
    <t xml:space="preserve">The REC Center is a 38,000 square foot, full-service fitness and recreation facility leased by the City and operated by the Parks and Recreation Department.  This fund was closed out in fiscal year 2014. </t>
  </si>
  <si>
    <t xml:space="preserve">The Library Debt Service Fund accumulates monies for payment of the 2006 and 2013 refinancing bonds, which were issued to finance construction of the Library building.  </t>
  </si>
  <si>
    <t>The table and graph below present the City's funds in aggregate, similar to that of a private business (for illustrative purposes only).  All budgeted funds are included except for the following:  Park &amp; Recreation Capital portion of Vehicle and Equipment (25); Library Operations (82); Library Debt Service (83); Library Capital (84); Park &amp; Recreation (79); and Recreation Center (80).</t>
  </si>
  <si>
    <t>51-510-50-00-5015</t>
  </si>
  <si>
    <t>TRANSFER FROM CW MUNICIPAL BUILDING</t>
  </si>
  <si>
    <t>Game Farm Road Project</t>
  </si>
  <si>
    <t>END BUDGET DETAIL WORKSHEET</t>
  </si>
  <si>
    <t>87-000-40-00-4070</t>
  </si>
  <si>
    <t>87-870-54-00-5493</t>
  </si>
  <si>
    <t>PUBLIC WORKS DEPARTMENT - STREET OPERATIONS / HEALTH &amp; SANITATION</t>
  </si>
  <si>
    <t xml:space="preserve">The City-Wide Capital Fund is used to maintain existing and construct new public and municipal infrastructure, and to fund other improvements that benefit the public.  </t>
  </si>
  <si>
    <t>Public Works - Street Operations</t>
  </si>
  <si>
    <t>Public Works - Health &amp; Sanitation</t>
  </si>
  <si>
    <t>Allocated Insurance Expenditures - Aggregated</t>
  </si>
  <si>
    <t>Aggregated Salary &amp; Wage Information</t>
  </si>
  <si>
    <t>01-410-50-00-5015</t>
  </si>
  <si>
    <t>FEDERAL GRANTS - GAME FARM RD ROW</t>
  </si>
  <si>
    <t>FEDERAL GRANTS - ITEP KENNEDY RD TRAIL</t>
  </si>
  <si>
    <t>25-000-42-00-4218</t>
  </si>
  <si>
    <t>25-000-42-00-4219</t>
  </si>
  <si>
    <t>25-000-42-00-4215</t>
  </si>
  <si>
    <t>25-000-42-00-4220</t>
  </si>
  <si>
    <t>25-000-43-00-4315</t>
  </si>
  <si>
    <t>25-000-43-00-4316</t>
  </si>
  <si>
    <t>25-000-43-00-4340</t>
  </si>
  <si>
    <t>25-000-44-00-4418</t>
  </si>
  <si>
    <t>25-000-44-00-4420</t>
  </si>
  <si>
    <t>25-000-44-00-4421</t>
  </si>
  <si>
    <t>25-000-44-00-4427</t>
  </si>
  <si>
    <t>25-000-45-00-4522</t>
  </si>
  <si>
    <t>25-000-42-00-4217</t>
  </si>
  <si>
    <t>25-000-48-00-4852</t>
  </si>
  <si>
    <t>25-000-48-00-4854</t>
  </si>
  <si>
    <t>25-000-49-00-4920</t>
  </si>
  <si>
    <t>25-000-49-00-4921</t>
  </si>
  <si>
    <t>25-000-46-00-4692</t>
  </si>
  <si>
    <t>01-640-99-00-9923</t>
  </si>
  <si>
    <t>01-640-99-00-9914</t>
  </si>
  <si>
    <t>TRANSFER TO CW BUILDINGS &amp; GROUNDS</t>
  </si>
  <si>
    <t>STATE GRANTS - TRAFFIC SIGNAL MAINTENANCE</t>
  </si>
  <si>
    <t>82-000-44-00-4439</t>
  </si>
  <si>
    <t>Debt Service - 2004A Debt Certificates</t>
  </si>
  <si>
    <t>MOSER HOLDING COSTS</t>
  </si>
  <si>
    <t>01-640-54-00-5434</t>
  </si>
  <si>
    <t>EXCISE TAX REBATE</t>
  </si>
  <si>
    <t>23-230-54-00-5499</t>
  </si>
  <si>
    <t>52-000-40-00-4000</t>
  </si>
  <si>
    <t>72-720-60-00-6043</t>
  </si>
  <si>
    <t>BRISTOL BAY REGIONAL PARK</t>
  </si>
  <si>
    <t>87-000-49-00-4902</t>
  </si>
  <si>
    <t>BOND ISSUANCE</t>
  </si>
  <si>
    <t>87-870-54-00-5402</t>
  </si>
  <si>
    <t>BOND ISSUANCE COSTS</t>
  </si>
  <si>
    <t>87-870-99-00-9902</t>
  </si>
  <si>
    <t>BOND DISCOUNT</t>
  </si>
  <si>
    <t>87-870-99-00-9960</t>
  </si>
  <si>
    <t>PAYMENT TO ESCROW AGENT</t>
  </si>
  <si>
    <t>88-000-48-00-4850</t>
  </si>
  <si>
    <t>23-000-49-00-4923</t>
  </si>
  <si>
    <t>23-000-49-00-4916</t>
  </si>
  <si>
    <t>TRANSFER FROM GENERAL - CW B&amp;G</t>
  </si>
  <si>
    <t>CW Municipal Building Fund Balance</t>
  </si>
  <si>
    <t>42-420-79-00-8000</t>
  </si>
  <si>
    <t>42-420-79-00-8050</t>
  </si>
  <si>
    <t>2014A Bond</t>
  </si>
  <si>
    <t>23-230-78-00-8000</t>
  </si>
  <si>
    <t>23-230-78-00-8050</t>
  </si>
  <si>
    <t>51-510-94-00-8000</t>
  </si>
  <si>
    <t>51-510-94-00-8050</t>
  </si>
  <si>
    <t>Debt Service - 2014 Refunding Bond</t>
  </si>
  <si>
    <t>Total Debt Service Payments</t>
  </si>
  <si>
    <t>23-230-54-00-5498</t>
  </si>
  <si>
    <t>City-Wide - Building &amp; Grounds Expenditures</t>
  </si>
  <si>
    <t>Fund Balance - City-Wide Capital</t>
  </si>
  <si>
    <t>Fund Balance - CW Municipal Building</t>
  </si>
  <si>
    <t>LIQUOR LICENSES</t>
  </si>
  <si>
    <t>COLLECTION FEES - YBSD</t>
  </si>
  <si>
    <t>TRANSFER TO CITY-WIDE  CAPITAL</t>
  </si>
  <si>
    <t>23-000-49-00-4903</t>
  </si>
  <si>
    <t>PREMIUM ON BOND ISSUANCE</t>
  </si>
  <si>
    <t>23-000-46-00-4690</t>
  </si>
  <si>
    <t xml:space="preserve">REIMB - MISCELLANEOUS </t>
  </si>
  <si>
    <t>42-000-49-00-4902</t>
  </si>
  <si>
    <t>72-000-46-00-4655</t>
  </si>
  <si>
    <t>72-000-47-00-4701</t>
  </si>
  <si>
    <t>WHITE OAK</t>
  </si>
  <si>
    <t>23-230-54-00-5402</t>
  </si>
  <si>
    <t>51-510-54-00-5402</t>
  </si>
  <si>
    <t>23-230-60-00-6018</t>
  </si>
  <si>
    <t>GREENBRIAR POND NATURALIZATION</t>
  </si>
  <si>
    <t>87-870-60-00-6000</t>
  </si>
  <si>
    <t>42-420-99-00-9960</t>
  </si>
  <si>
    <t>42-000-49-00-4903</t>
  </si>
  <si>
    <t xml:space="preserve">The Debt Service Fund accumulates monies for payment of the 2014B bonds, which refinanced the 2005A bonds.  The 2005A bonds were originally issued to finance road improvement projects.  </t>
  </si>
  <si>
    <t>72-000-41-00-4186</t>
  </si>
  <si>
    <t xml:space="preserve">OSLAD GRANT - BRISTOL BAY </t>
  </si>
  <si>
    <t>OSLAD GRANT - RIVERFRONT PARK</t>
  </si>
  <si>
    <t>TREE &amp; STUMP MAINTENANCE</t>
  </si>
  <si>
    <t>BALISTIC VESTS</t>
  </si>
  <si>
    <t>01-000-49-00-4910</t>
  </si>
  <si>
    <t>51-510-54-00-5465</t>
  </si>
  <si>
    <t>15-000-41-00-4187</t>
  </si>
  <si>
    <t>23-000-46-00-4606</t>
  </si>
  <si>
    <t>REIMB - COM ED</t>
  </si>
  <si>
    <t>23-230-60-00-6008</t>
  </si>
  <si>
    <t>51-510-60-00-6022</t>
  </si>
  <si>
    <t>WELL REHABILITATIONS</t>
  </si>
  <si>
    <t>52-520-60-00-6028</t>
  </si>
  <si>
    <t>SANITARY SEWER LINING</t>
  </si>
  <si>
    <t>52-000-46-00-4625</t>
  </si>
  <si>
    <t>REIMB - I &amp; I REDUCTIONS</t>
  </si>
  <si>
    <t>BUSINESS DISTRICT TAX - KENDALL MRKT</t>
  </si>
  <si>
    <t>01-000-40-00-4071</t>
  </si>
  <si>
    <t>01-000-40-00-4072</t>
  </si>
  <si>
    <t>BUSINESS DISTRICT TAX - DOWNTOWN</t>
  </si>
  <si>
    <t>BUSINESS DISTRICT TAX - COUNTRYSIDE</t>
  </si>
  <si>
    <t>01-640-54-00-5428</t>
  </si>
  <si>
    <t>UTILITY TAX REBATE</t>
  </si>
  <si>
    <t>23-230-60-00-6082</t>
  </si>
  <si>
    <t>COUNTRYSIDE PKY IMPROVEMENTS</t>
  </si>
  <si>
    <t>51-510-77-00-8000</t>
  </si>
  <si>
    <t>51-510-77-00-8050</t>
  </si>
  <si>
    <t>51-510-60-00-6082</t>
  </si>
  <si>
    <t>51-000-49-00-4900</t>
  </si>
  <si>
    <t>42-420-54-00-5402</t>
  </si>
  <si>
    <t>Aggregated Benefit Information</t>
  </si>
  <si>
    <t>IMRF</t>
  </si>
  <si>
    <t>FICA</t>
  </si>
  <si>
    <t xml:space="preserve">PROPERTY TAXES - 2014B BOND                  </t>
  </si>
  <si>
    <t>BEECHER &amp; CORNEILS ROAD</t>
  </si>
  <si>
    <t>88-880-99-00-9923</t>
  </si>
  <si>
    <t>23-000-49-00-4988</t>
  </si>
  <si>
    <t>TRANSFER FROM DOWNTOWN TIF</t>
  </si>
  <si>
    <t>TRANSFER TO CITY-WIDE CAPITAL</t>
  </si>
  <si>
    <t>BLACKBERRY CREEK NATURE PRESERVE</t>
  </si>
  <si>
    <t>72-720-60-00-6067</t>
  </si>
  <si>
    <t>01-640-99-00-9915</t>
  </si>
  <si>
    <t>TRANSFER TO MOTOR FUEL TAX</t>
  </si>
  <si>
    <t>TRANSFER FROM CITY-WIDE CAPITAL</t>
  </si>
  <si>
    <t>15-000-49-00-4901</t>
  </si>
  <si>
    <t>15-000-49-00-4923</t>
  </si>
  <si>
    <t>Countryside Parkway</t>
  </si>
  <si>
    <t>87-870-54-00-5462</t>
  </si>
  <si>
    <t>88-880-54-00-5462</t>
  </si>
  <si>
    <t>Well Rehabs</t>
  </si>
  <si>
    <t>Rte 71 Watermain Relocate</t>
  </si>
  <si>
    <t>Sanitary Sewer Lining</t>
  </si>
  <si>
    <t>Selected Capital Projects - Aggregated &gt; $500,000</t>
  </si>
  <si>
    <t>25-225-60-00-6068</t>
  </si>
  <si>
    <t>2014B Refunding Bond</t>
  </si>
  <si>
    <t>Debt Service - 2014C Refunding Bond</t>
  </si>
  <si>
    <t>TRAIL IMPROVEMENTS</t>
  </si>
  <si>
    <t>WRIGLEY (RTE 47) EXPANSION</t>
  </si>
  <si>
    <t>STATE GRANTS - EDP WRIGLEY (RTE 47)</t>
  </si>
  <si>
    <t>23-000-41-00-4188</t>
  </si>
  <si>
    <t>23-230-60-00-6009</t>
  </si>
  <si>
    <t>Total Library</t>
  </si>
  <si>
    <t>Grand Total</t>
  </si>
  <si>
    <t>01-640-54-00-5489</t>
  </si>
  <si>
    <t>LOSS ON INVESTMENT</t>
  </si>
  <si>
    <t>15-155-54-00-5489</t>
  </si>
  <si>
    <t>23-230-54-00-5489</t>
  </si>
  <si>
    <t>25-225-54-00-5489</t>
  </si>
  <si>
    <t>51-510-54-00-5489</t>
  </si>
  <si>
    <t>52-520-54-00-5489</t>
  </si>
  <si>
    <t>82-820-54-00-5489</t>
  </si>
  <si>
    <t>01-000-40-00-4055</t>
  </si>
  <si>
    <t>Selected Capital Projects - Aggregated &gt; $500,000 continued</t>
  </si>
  <si>
    <t>23-230-99-00-9915</t>
  </si>
  <si>
    <t xml:space="preserve">Developer </t>
  </si>
  <si>
    <t>Commitments</t>
  </si>
  <si>
    <t>FEDERAL GRANTS - CANNONBALL LAFO</t>
  </si>
  <si>
    <t>See separate spreadsheet tab for Vehicle &amp; Equipment Fund description.</t>
  </si>
  <si>
    <t>2015A Bond</t>
  </si>
  <si>
    <t>Fiscal Years 2014 - 2021</t>
  </si>
  <si>
    <t>Fiscal Year 2017</t>
  </si>
  <si>
    <t>Fiscal Year 2017 Budget</t>
  </si>
  <si>
    <t>01-000-45-00-4550</t>
  </si>
  <si>
    <t xml:space="preserve">GAIN ON INVESTMENT </t>
  </si>
  <si>
    <t>01-410-54-00-5415</t>
  </si>
  <si>
    <t>15-000-45-00-4550</t>
  </si>
  <si>
    <t>23-000-45-00-4550</t>
  </si>
  <si>
    <t>25-000-45-00-4550</t>
  </si>
  <si>
    <t>51-000-45-00-4550</t>
  </si>
  <si>
    <t>51-000-49-00-4902</t>
  </si>
  <si>
    <t>51-000-49-00-4903</t>
  </si>
  <si>
    <t>51-510-99-00-9960</t>
  </si>
  <si>
    <t>52-000-45-00-4550</t>
  </si>
  <si>
    <t>72-000-48-00-4850</t>
  </si>
  <si>
    <t>82-000-45-00-4550</t>
  </si>
  <si>
    <t>GAIN ON INVESTMENT</t>
  </si>
  <si>
    <t>82-000-46-00-4690</t>
  </si>
  <si>
    <t>84-000-48-00-4850</t>
  </si>
  <si>
    <t>KENDALL CO JUVE PROBATION</t>
  </si>
  <si>
    <t>Developer Commitment</t>
  </si>
  <si>
    <t>25-225-60-00-6010</t>
  </si>
  <si>
    <t>PARK IMPROVEMENTS</t>
  </si>
  <si>
    <t>25-225-60-00-6030</t>
  </si>
  <si>
    <t>BUILDING IMPROVEMENTS</t>
  </si>
  <si>
    <t>Special Service Areas</t>
  </si>
  <si>
    <t>TIF Districts</t>
  </si>
  <si>
    <t>Road &amp; Bridge Tax</t>
  </si>
  <si>
    <t>01-640-54-00-5462</t>
  </si>
  <si>
    <t>15-000-41-00-4168</t>
  </si>
  <si>
    <t xml:space="preserve">US 34 (CENTER / ELDAMAIN RD) PROJECT </t>
  </si>
  <si>
    <t>23-230-60-00-6016</t>
  </si>
  <si>
    <t>72-000-47-00-4708</t>
  </si>
  <si>
    <t>COUNTRY HILLS</t>
  </si>
  <si>
    <t>72-000-47-00-4711</t>
  </si>
  <si>
    <t>FOX HIGHLANDS DETENTION</t>
  </si>
  <si>
    <t>72-000-47-00-4713</t>
  </si>
  <si>
    <t>PRESTWICK</t>
  </si>
  <si>
    <t>87-000-49-00-4903</t>
  </si>
  <si>
    <t>01-110-54-00-5410</t>
  </si>
  <si>
    <t>01-410-54-00-5482</t>
  </si>
  <si>
    <t>25-000-49-00-4922</t>
  </si>
  <si>
    <t>SALE OF CAPITAL ASSETS - PARK CAPITAL</t>
  </si>
  <si>
    <t>I&amp;I Reimbursement</t>
  </si>
  <si>
    <t>Wrigley Rte 47 (EDP) Expansion</t>
  </si>
  <si>
    <t xml:space="preserve">REIMB - GRANDE RESERVE PARK </t>
  </si>
  <si>
    <t>82-820-56-00-5686</t>
  </si>
  <si>
    <t>Kennedy Road Bike Trail</t>
  </si>
  <si>
    <t>51-510-60-00-6059</t>
  </si>
  <si>
    <t>52-520-60-00-6059</t>
  </si>
  <si>
    <t>87-870-77-00-8000</t>
  </si>
  <si>
    <t>87-870-77-00-8050</t>
  </si>
  <si>
    <t>NEW WORLD &amp; LIVE SCAN</t>
  </si>
  <si>
    <t>01-220-54-00-5486</t>
  </si>
  <si>
    <t>01-640-54-00-5418</t>
  </si>
  <si>
    <t>PURCHASING SERVICES</t>
  </si>
</sst>
</file>

<file path=xl/styles.xml><?xml version="1.0" encoding="utf-8"?>
<styleSheet xmlns="http://schemas.openxmlformats.org/spreadsheetml/2006/main">
  <numFmts count="10">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quot;$&quot;#,##0.00"/>
    <numFmt numFmtId="166" formatCode="0.0%"/>
    <numFmt numFmtId="167" formatCode="_(&quot;$&quot;* #,##0_);_(&quot;$&quot;* \(#,##0\);_(&quot;$&quot;* &quot;-&quot;??_);_(@_)"/>
    <numFmt numFmtId="168" formatCode="_(* #,##0.00_);_(* \(#,##0.00\);_(* &quot;-&quot;_);_(@_)"/>
    <numFmt numFmtId="169" formatCode="0.000%"/>
  </numFmts>
  <fonts count="61">
    <font>
      <sz val="10"/>
      <color indexed="8"/>
      <name val="ARIAL"/>
      <charset val="1"/>
    </font>
    <font>
      <sz val="10"/>
      <color indexed="8"/>
      <name val="Arial"/>
      <family val="2"/>
    </font>
    <font>
      <sz val="11"/>
      <name val="Times New Roman"/>
      <family val="1"/>
    </font>
    <font>
      <b/>
      <sz val="11"/>
      <name val="Times New Roman"/>
      <family val="1"/>
    </font>
    <font>
      <b/>
      <u/>
      <sz val="9"/>
      <name val="Univers (WN)"/>
    </font>
    <font>
      <sz val="8"/>
      <name val="Univers (WN)"/>
    </font>
    <font>
      <sz val="11"/>
      <color indexed="8"/>
      <name val="Times New Roman"/>
      <family val="1"/>
    </font>
    <font>
      <b/>
      <sz val="11"/>
      <color indexed="8"/>
      <name val="Times New Roman"/>
      <family val="1"/>
    </font>
    <font>
      <b/>
      <sz val="11"/>
      <color indexed="18"/>
      <name val="Times New Roman"/>
      <family val="1"/>
    </font>
    <font>
      <b/>
      <i/>
      <sz val="11"/>
      <color indexed="8"/>
      <name val="Times New Roman"/>
      <family val="1"/>
    </font>
    <font>
      <i/>
      <sz val="11"/>
      <color indexed="8"/>
      <name val="Times New Roman"/>
      <family val="1"/>
    </font>
    <font>
      <sz val="10"/>
      <color indexed="8"/>
      <name val="Arial"/>
      <family val="2"/>
    </font>
    <font>
      <b/>
      <u/>
      <sz val="12"/>
      <color indexed="8"/>
      <name val="Times New Roman"/>
      <family val="1"/>
    </font>
    <font>
      <b/>
      <u/>
      <sz val="11"/>
      <color indexed="8"/>
      <name val="Times New Roman"/>
      <family val="1"/>
    </font>
    <font>
      <b/>
      <sz val="10"/>
      <color indexed="8"/>
      <name val="Arial"/>
      <family val="2"/>
    </font>
    <font>
      <u/>
      <sz val="11"/>
      <color indexed="8"/>
      <name val="Times New Roman"/>
      <family val="1"/>
    </font>
    <font>
      <u val="singleAccounting"/>
      <sz val="11"/>
      <name val="Times New Roman"/>
      <family val="1"/>
    </font>
    <font>
      <u val="singleAccounting"/>
      <sz val="11"/>
      <color indexed="8"/>
      <name val="Times New Roman"/>
      <family val="1"/>
    </font>
    <font>
      <i/>
      <sz val="11"/>
      <name val="Times New Roman"/>
      <family val="1"/>
    </font>
    <font>
      <sz val="10"/>
      <color indexed="8"/>
      <name val="Arial"/>
      <family val="2"/>
    </font>
    <font>
      <b/>
      <sz val="14"/>
      <name val="Times New Roman"/>
      <family val="1"/>
    </font>
    <font>
      <sz val="14"/>
      <name val="Times New Roman"/>
      <family val="1"/>
    </font>
    <font>
      <sz val="11"/>
      <color rgb="FF000000"/>
      <name val="Times New Roman"/>
      <family val="1"/>
    </font>
    <font>
      <sz val="8"/>
      <name val="Times New Roman"/>
      <family val="1"/>
    </font>
    <font>
      <b/>
      <u/>
      <sz val="11"/>
      <name val="Times New Roman"/>
      <family val="1"/>
    </font>
    <font>
      <b/>
      <sz val="18"/>
      <name val="Times New Roman"/>
      <family val="1"/>
    </font>
    <font>
      <u/>
      <sz val="11"/>
      <name val="Times New Roman"/>
      <family val="1"/>
    </font>
    <font>
      <sz val="7"/>
      <name val="Univers (WN)"/>
    </font>
    <font>
      <b/>
      <i/>
      <u/>
      <sz val="7"/>
      <name val="Univers (WN)"/>
    </font>
    <font>
      <sz val="10"/>
      <name val="Times New Roman"/>
      <family val="1"/>
    </font>
    <font>
      <i/>
      <sz val="10"/>
      <name val="Times New Roman"/>
      <family val="1"/>
    </font>
    <font>
      <i/>
      <sz val="10"/>
      <color indexed="8"/>
      <name val="Times New Roman"/>
      <family val="1"/>
    </font>
    <font>
      <b/>
      <u val="singleAccounting"/>
      <sz val="11"/>
      <color indexed="8"/>
      <name val="Times New Roman"/>
      <family val="1"/>
    </font>
    <font>
      <b/>
      <i/>
      <u val="singleAccounting"/>
      <sz val="11"/>
      <color indexed="8"/>
      <name val="Times New Roman"/>
      <family val="1"/>
    </font>
    <font>
      <b/>
      <i/>
      <sz val="11"/>
      <name val="Times New Roman"/>
      <family val="1"/>
    </font>
    <font>
      <i/>
      <sz val="11"/>
      <color rgb="FFFF0000"/>
      <name val="Times New Roman"/>
      <family val="1"/>
    </font>
    <font>
      <sz val="11"/>
      <color rgb="FFFF0000"/>
      <name val="Times New Roman"/>
      <family val="1"/>
    </font>
    <font>
      <b/>
      <sz val="20"/>
      <color indexed="8"/>
      <name val="Times New Roman"/>
      <family val="1"/>
    </font>
    <font>
      <i/>
      <sz val="20"/>
      <color indexed="8"/>
      <name val="Times New Roman"/>
      <family val="1"/>
    </font>
    <font>
      <i/>
      <u/>
      <sz val="11"/>
      <color indexed="8"/>
      <name val="Times New Roman"/>
      <family val="1"/>
    </font>
    <font>
      <b/>
      <i/>
      <u/>
      <sz val="11"/>
      <color indexed="8"/>
      <name val="Times New Roman"/>
      <family val="1"/>
    </font>
    <font>
      <sz val="10"/>
      <name val="Arial Black"/>
      <family val="2"/>
    </font>
    <font>
      <b/>
      <u/>
      <sz val="11"/>
      <color theme="0"/>
      <name val="Times New Roman"/>
      <family val="1"/>
    </font>
    <font>
      <sz val="11"/>
      <color theme="0"/>
      <name val="Times New Roman"/>
      <family val="1"/>
    </font>
    <font>
      <b/>
      <sz val="11"/>
      <color theme="0"/>
      <name val="Times New Roman"/>
      <family val="1"/>
    </font>
    <font>
      <i/>
      <sz val="11"/>
      <color theme="0"/>
      <name val="Times New Roman"/>
      <family val="1"/>
    </font>
    <font>
      <sz val="20"/>
      <color theme="0"/>
      <name val="Times New Roman"/>
      <family val="1"/>
    </font>
    <font>
      <u val="singleAccounting"/>
      <sz val="11"/>
      <color theme="0"/>
      <name val="Times New Roman"/>
      <family val="1"/>
    </font>
    <font>
      <b/>
      <i/>
      <u/>
      <sz val="11"/>
      <color theme="0"/>
      <name val="Times New Roman"/>
      <family val="1"/>
    </font>
    <font>
      <sz val="14"/>
      <color indexed="8"/>
      <name val="Times New Roman"/>
      <family val="1"/>
    </font>
    <font>
      <b/>
      <u/>
      <sz val="14"/>
      <color indexed="8"/>
      <name val="Times New Roman"/>
      <family val="1"/>
    </font>
    <font>
      <sz val="16"/>
      <color indexed="8"/>
      <name val="Times New Roman"/>
      <family val="1"/>
    </font>
    <font>
      <b/>
      <u/>
      <sz val="16"/>
      <color indexed="8"/>
      <name val="Times New Roman"/>
      <family val="1"/>
    </font>
    <font>
      <i/>
      <u/>
      <sz val="11"/>
      <color theme="0"/>
      <name val="Times New Roman"/>
      <family val="1"/>
    </font>
    <font>
      <i/>
      <sz val="9"/>
      <color theme="0"/>
      <name val="Times New Roman"/>
      <family val="1"/>
    </font>
    <font>
      <b/>
      <i/>
      <sz val="11"/>
      <color theme="0"/>
      <name val="Times New Roman"/>
      <family val="1"/>
    </font>
    <font>
      <b/>
      <sz val="72"/>
      <name val="Times New Roman"/>
      <family val="1"/>
    </font>
    <font>
      <b/>
      <u val="singleAccounting"/>
      <sz val="11"/>
      <color theme="0"/>
      <name val="Times New Roman"/>
      <family val="1"/>
    </font>
    <font>
      <b/>
      <i/>
      <u/>
      <sz val="9"/>
      <color indexed="8"/>
      <name val="Times New Roman"/>
      <family val="1"/>
    </font>
    <font>
      <sz val="16"/>
      <color theme="0"/>
      <name val="Times New Roman"/>
      <family val="1"/>
    </font>
    <font>
      <i/>
      <u/>
      <sz val="11"/>
      <name val="Times New Roman"/>
      <family val="1"/>
    </font>
  </fonts>
  <fills count="8">
    <fill>
      <patternFill patternType="none"/>
    </fill>
    <fill>
      <patternFill patternType="gray125"/>
    </fill>
    <fill>
      <patternFill patternType="lightGray"/>
    </fill>
    <fill>
      <patternFill patternType="solid">
        <fgColor indexed="9"/>
        <bgColor indexed="64"/>
      </patternFill>
    </fill>
    <fill>
      <patternFill patternType="solid">
        <fgColor indexed="6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1"/>
        <bgColor indexed="64"/>
      </patternFill>
    </fill>
  </fills>
  <borders count="8">
    <border>
      <left/>
      <right/>
      <top/>
      <bottom/>
      <diagonal/>
    </border>
    <border>
      <left/>
      <right/>
      <top style="thin">
        <color theme="0"/>
      </top>
      <bottom style="thin">
        <color theme="0"/>
      </bottom>
      <diagonal/>
    </border>
    <border>
      <left/>
      <right/>
      <top style="thin">
        <color theme="0"/>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top style="thin">
        <color indexed="64"/>
      </top>
      <bottom style="double">
        <color indexed="64"/>
      </bottom>
      <diagonal/>
    </border>
    <border>
      <left/>
      <right/>
      <top/>
      <bottom style="double">
        <color indexed="64"/>
      </bottom>
      <diagonal/>
    </border>
  </borders>
  <cellStyleXfs count="6">
    <xf numFmtId="0" fontId="0" fillId="0" borderId="0">
      <alignment vertical="top"/>
    </xf>
    <xf numFmtId="0" fontId="4" fillId="0" borderId="0">
      <alignment horizontal="center"/>
    </xf>
    <xf numFmtId="37" fontId="5" fillId="2" borderId="0"/>
    <xf numFmtId="43" fontId="1" fillId="0" borderId="0" applyFont="0" applyFill="0" applyBorder="0" applyAlignment="0" applyProtection="0"/>
    <xf numFmtId="9" fontId="11" fillId="0" borderId="0" applyFont="0" applyFill="0" applyBorder="0" applyAlignment="0" applyProtection="0"/>
    <xf numFmtId="44" fontId="19" fillId="0" borderId="0" applyFont="0" applyFill="0" applyBorder="0" applyAlignment="0" applyProtection="0"/>
  </cellStyleXfs>
  <cellXfs count="791">
    <xf numFmtId="0" fontId="0" fillId="0" borderId="0" xfId="0">
      <alignment vertical="top"/>
    </xf>
    <xf numFmtId="0" fontId="2" fillId="0" borderId="0" xfId="0" applyFont="1" applyFill="1" applyAlignment="1">
      <alignment vertical="center"/>
    </xf>
    <xf numFmtId="164" fontId="2" fillId="0" borderId="0" xfId="3" applyNumberFormat="1" applyFont="1" applyFill="1" applyAlignment="1">
      <alignment vertical="center"/>
    </xf>
    <xf numFmtId="164" fontId="2" fillId="0" borderId="0" xfId="3" applyNumberFormat="1" applyFont="1" applyFill="1" applyBorder="1" applyAlignment="1">
      <alignment vertical="center"/>
    </xf>
    <xf numFmtId="164" fontId="3" fillId="0" borderId="0" xfId="3" applyNumberFormat="1" applyFont="1" applyFill="1" applyBorder="1" applyAlignment="1">
      <alignment vertical="center"/>
    </xf>
    <xf numFmtId="0" fontId="2" fillId="0" borderId="0" xfId="0" applyFont="1" applyFill="1" applyAlignment="1">
      <alignment horizontal="left" vertical="center"/>
    </xf>
    <xf numFmtId="41" fontId="2" fillId="0" borderId="0" xfId="0" applyNumberFormat="1" applyFont="1" applyFill="1" applyAlignment="1">
      <alignment vertical="center"/>
    </xf>
    <xf numFmtId="0" fontId="3" fillId="0" borderId="0" xfId="0" applyFont="1" applyFill="1" applyAlignment="1">
      <alignment vertical="center"/>
    </xf>
    <xf numFmtId="164" fontId="16" fillId="0" borderId="0" xfId="3" applyNumberFormat="1" applyFont="1" applyFill="1" applyBorder="1" applyAlignment="1">
      <alignment vertical="center"/>
    </xf>
    <xf numFmtId="0" fontId="18" fillId="0" borderId="0" xfId="0" applyFont="1" applyFill="1" applyAlignment="1">
      <alignment vertical="center"/>
    </xf>
    <xf numFmtId="0" fontId="2" fillId="0" borderId="0" xfId="0" applyFont="1" applyFill="1" applyAlignment="1"/>
    <xf numFmtId="0" fontId="2" fillId="0" borderId="0" xfId="0" applyFont="1" applyFill="1" applyAlignment="1">
      <alignment horizontal="center"/>
    </xf>
    <xf numFmtId="0" fontId="2" fillId="0" borderId="0" xfId="0" applyFont="1" applyFill="1" applyAlignment="1" applyProtection="1">
      <alignment horizontal="center"/>
    </xf>
    <xf numFmtId="0" fontId="2" fillId="0" borderId="0" xfId="0" applyFont="1" applyFill="1" applyBorder="1" applyAlignment="1"/>
    <xf numFmtId="0" fontId="2" fillId="0" borderId="0" xfId="0" applyFont="1" applyFill="1" applyAlignment="1" applyProtection="1">
      <alignment horizontal="left" indent="1"/>
    </xf>
    <xf numFmtId="0" fontId="2" fillId="0" borderId="0" xfId="0" applyFont="1" applyFill="1" applyBorder="1" applyAlignment="1" applyProtection="1">
      <alignment horizontal="left" indent="1"/>
    </xf>
    <xf numFmtId="0" fontId="3" fillId="0" borderId="0" xfId="0" applyFont="1" applyFill="1" applyBorder="1" applyAlignment="1" applyProtection="1">
      <alignment horizontal="left" indent="1"/>
    </xf>
    <xf numFmtId="0" fontId="3" fillId="0" borderId="0" xfId="1" applyFont="1" applyFill="1" applyBorder="1" applyAlignment="1"/>
    <xf numFmtId="0" fontId="2" fillId="0" borderId="0" xfId="0" applyFont="1" applyFill="1" applyBorder="1" applyAlignment="1" applyProtection="1">
      <alignment horizontal="left"/>
    </xf>
    <xf numFmtId="164" fontId="2" fillId="0" borderId="0" xfId="3" applyNumberFormat="1" applyFont="1" applyFill="1" applyAlignment="1"/>
    <xf numFmtId="164" fontId="2" fillId="0" borderId="0" xfId="3" applyNumberFormat="1" applyFont="1" applyFill="1" applyBorder="1" applyAlignment="1"/>
    <xf numFmtId="0" fontId="2" fillId="0" borderId="0" xfId="0" applyFont="1" applyFill="1" applyBorder="1" applyAlignment="1" applyProtection="1">
      <alignment horizontal="center"/>
    </xf>
    <xf numFmtId="164" fontId="2" fillId="0" borderId="0" xfId="3" applyNumberFormat="1" applyFont="1" applyFill="1" applyAlignment="1">
      <alignment vertical="center" wrapText="1"/>
    </xf>
    <xf numFmtId="164" fontId="2" fillId="0" borderId="0" xfId="3" applyNumberFormat="1" applyFont="1" applyFill="1" applyBorder="1" applyAlignment="1" applyProtection="1">
      <alignment horizontal="center"/>
    </xf>
    <xf numFmtId="164" fontId="0" fillId="0" borderId="0" xfId="3" applyNumberFormat="1" applyFont="1" applyFill="1" applyAlignment="1">
      <alignment vertical="top"/>
    </xf>
    <xf numFmtId="164" fontId="0" fillId="0" borderId="0" xfId="3" applyNumberFormat="1" applyFont="1" applyAlignment="1">
      <alignment vertical="top"/>
    </xf>
    <xf numFmtId="0" fontId="0" fillId="0" borderId="0" xfId="0" applyBorder="1">
      <alignment vertical="top"/>
    </xf>
    <xf numFmtId="0" fontId="2" fillId="0" borderId="0" xfId="0" applyFont="1" applyFill="1" applyBorder="1" applyAlignment="1">
      <alignment horizontal="center"/>
    </xf>
    <xf numFmtId="0" fontId="2" fillId="0" borderId="0" xfId="0" applyFont="1" applyFill="1" applyBorder="1" applyAlignment="1">
      <alignment vertical="center" wrapText="1"/>
    </xf>
    <xf numFmtId="164" fontId="2" fillId="0" borderId="0" xfId="3" applyNumberFormat="1" applyFont="1" applyFill="1" applyBorder="1" applyAlignment="1">
      <alignment vertical="center" wrapText="1"/>
    </xf>
    <xf numFmtId="0" fontId="2" fillId="0" borderId="0" xfId="0" applyFont="1" applyFill="1" applyBorder="1" applyAlignment="1">
      <alignment horizontal="left" vertical="center"/>
    </xf>
    <xf numFmtId="164" fontId="2" fillId="0" borderId="0" xfId="3" applyNumberFormat="1" applyFont="1" applyFill="1" applyBorder="1" applyAlignment="1">
      <alignment horizontal="center"/>
    </xf>
    <xf numFmtId="164" fontId="2" fillId="3" borderId="0" xfId="3" applyNumberFormat="1" applyFont="1" applyFill="1" applyBorder="1" applyAlignment="1" applyProtection="1">
      <alignment horizontal="center"/>
    </xf>
    <xf numFmtId="0" fontId="3" fillId="0" borderId="0" xfId="0" applyFont="1" applyFill="1" applyBorder="1" applyAlignment="1" applyProtection="1">
      <alignment horizontal="left"/>
    </xf>
    <xf numFmtId="0" fontId="2" fillId="0" borderId="0" xfId="1" applyFont="1" applyFill="1" applyBorder="1" applyAlignment="1">
      <alignment horizontal="left" indent="1"/>
    </xf>
    <xf numFmtId="0" fontId="2" fillId="0" borderId="0" xfId="0" applyFont="1" applyFill="1" applyBorder="1" applyAlignment="1">
      <alignment horizontal="left" indent="1"/>
    </xf>
    <xf numFmtId="164" fontId="0" fillId="0" borderId="0" xfId="3" applyNumberFormat="1" applyFont="1" applyFill="1" applyBorder="1" applyAlignment="1">
      <alignment vertical="top"/>
    </xf>
    <xf numFmtId="164" fontId="0" fillId="0" borderId="0" xfId="3" applyNumberFormat="1" applyFont="1" applyBorder="1" applyAlignment="1">
      <alignment vertical="top"/>
    </xf>
    <xf numFmtId="0" fontId="20" fillId="0" borderId="0" xfId="0" applyFont="1" applyAlignment="1">
      <alignment horizontal="center" wrapText="1"/>
    </xf>
    <xf numFmtId="0" fontId="2" fillId="0" borderId="0" xfId="0" applyFont="1" applyAlignment="1"/>
    <xf numFmtId="0" fontId="2" fillId="0" borderId="0" xfId="0" applyFont="1" applyAlignment="1">
      <alignment horizontal="left" vertical="center" wrapText="1" indent="2"/>
    </xf>
    <xf numFmtId="0" fontId="2" fillId="0" borderId="4" xfId="0" applyFont="1" applyFill="1" applyBorder="1" applyAlignment="1">
      <alignment horizontal="center"/>
    </xf>
    <xf numFmtId="0" fontId="3" fillId="0" borderId="0" xfId="0" applyFont="1" applyFill="1" applyAlignment="1">
      <alignment horizontal="left"/>
    </xf>
    <xf numFmtId="0" fontId="2" fillId="0" borderId="3" xfId="0" applyFont="1" applyFill="1" applyBorder="1" applyAlignment="1" applyProtection="1">
      <alignment horizontal="left" indent="1"/>
    </xf>
    <xf numFmtId="0" fontId="2" fillId="0" borderId="0" xfId="0" applyFont="1" applyAlignment="1">
      <alignment horizontal="left" vertical="center" wrapText="1"/>
    </xf>
    <xf numFmtId="164" fontId="2" fillId="0" borderId="0" xfId="3" applyNumberFormat="1" applyFont="1" applyFill="1"/>
    <xf numFmtId="0" fontId="0" fillId="0" borderId="0" xfId="0" applyAlignment="1">
      <alignment horizontal="left"/>
    </xf>
    <xf numFmtId="0" fontId="2" fillId="0" borderId="0" xfId="0" applyFont="1" applyAlignment="1">
      <alignment horizontal="left" vertical="center" indent="2"/>
    </xf>
    <xf numFmtId="0" fontId="2" fillId="0" borderId="0" xfId="0" applyFont="1" applyFill="1" applyAlignment="1">
      <alignment vertical="top"/>
    </xf>
    <xf numFmtId="0" fontId="2" fillId="0" borderId="0" xfId="0" applyFont="1" applyAlignment="1">
      <alignment horizontal="center"/>
    </xf>
    <xf numFmtId="0" fontId="0" fillId="0" borderId="0" xfId="0" applyAlignment="1">
      <alignment wrapText="1"/>
    </xf>
    <xf numFmtId="0" fontId="24" fillId="0" borderId="0" xfId="0" applyFont="1" applyAlignment="1">
      <alignment vertical="center"/>
    </xf>
    <xf numFmtId="164" fontId="20" fillId="0" borderId="0" xfId="3" applyNumberFormat="1" applyFont="1" applyAlignment="1">
      <alignment horizontal="center" wrapText="1"/>
    </xf>
    <xf numFmtId="164" fontId="21" fillId="0" borderId="0" xfId="3" applyNumberFormat="1" applyFont="1" applyAlignment="1">
      <alignment horizontal="center" wrapText="1"/>
    </xf>
    <xf numFmtId="164" fontId="2" fillId="0" borderId="0" xfId="3" applyNumberFormat="1" applyFont="1" applyAlignment="1"/>
    <xf numFmtId="164" fontId="2" fillId="0" borderId="0" xfId="3" applyNumberFormat="1" applyFont="1" applyAlignment="1">
      <alignment horizontal="left" vertical="center" wrapText="1" indent="2"/>
    </xf>
    <xf numFmtId="164" fontId="2" fillId="0" borderId="0" xfId="3" applyNumberFormat="1" applyFont="1" applyFill="1" applyBorder="1"/>
    <xf numFmtId="164" fontId="2" fillId="0" borderId="0" xfId="3" applyNumberFormat="1" applyFont="1" applyAlignment="1">
      <alignment horizontal="left" vertical="center" wrapText="1"/>
    </xf>
    <xf numFmtId="164" fontId="0" fillId="0" borderId="0" xfId="3" applyNumberFormat="1" applyFont="1" applyAlignment="1">
      <alignment horizontal="left"/>
    </xf>
    <xf numFmtId="164" fontId="2" fillId="0" borderId="0" xfId="3" applyNumberFormat="1" applyFont="1" applyAlignment="1">
      <alignment horizontal="left" vertical="center" indent="2"/>
    </xf>
    <xf numFmtId="164" fontId="23" fillId="0" borderId="0" xfId="3" applyNumberFormat="1" applyFont="1" applyAlignment="1">
      <alignment horizontal="left" vertical="center" indent="2"/>
    </xf>
    <xf numFmtId="164" fontId="2" fillId="0" borderId="0" xfId="3" applyNumberFormat="1" applyFont="1" applyFill="1" applyAlignment="1">
      <alignment vertical="top"/>
    </xf>
    <xf numFmtId="164" fontId="0" fillId="0" borderId="0" xfId="3" applyNumberFormat="1" applyFont="1" applyAlignment="1">
      <alignment wrapText="1"/>
    </xf>
    <xf numFmtId="0" fontId="21" fillId="0" borderId="0" xfId="0" applyFont="1" applyFill="1" applyAlignment="1">
      <alignment vertical="center"/>
    </xf>
    <xf numFmtId="0" fontId="2" fillId="0" borderId="0" xfId="0" applyFont="1" applyFill="1" applyBorder="1" applyAlignment="1">
      <alignment vertical="center"/>
    </xf>
    <xf numFmtId="0" fontId="2" fillId="0" borderId="0" xfId="0" applyFont="1" applyFill="1" applyAlignment="1">
      <alignment horizontal="center" vertical="center"/>
    </xf>
    <xf numFmtId="0" fontId="2" fillId="0" borderId="0" xfId="0" applyFont="1" applyFill="1" applyAlignment="1" applyProtection="1">
      <alignment horizontal="center" vertical="center"/>
    </xf>
    <xf numFmtId="0" fontId="2" fillId="0" borderId="4" xfId="0" applyFont="1" applyFill="1" applyBorder="1" applyAlignment="1" applyProtection="1">
      <alignment vertical="center"/>
    </xf>
    <xf numFmtId="0" fontId="2" fillId="0" borderId="4" xfId="0" applyFont="1" applyFill="1" applyBorder="1" applyAlignment="1" applyProtection="1">
      <alignment horizontal="center"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horizontal="center" vertical="center"/>
    </xf>
    <xf numFmtId="0" fontId="26" fillId="0" borderId="0" xfId="0" applyFont="1" applyFill="1" applyAlignment="1" applyProtection="1">
      <alignment vertical="center"/>
    </xf>
    <xf numFmtId="0" fontId="2" fillId="0" borderId="0" xfId="0" applyFont="1" applyAlignment="1">
      <alignment vertical="center"/>
    </xf>
    <xf numFmtId="164" fontId="2" fillId="0" borderId="0" xfId="3" applyNumberFormat="1" applyFont="1" applyFill="1" applyBorder="1" applyAlignment="1" applyProtection="1">
      <alignment vertical="center"/>
    </xf>
    <xf numFmtId="0" fontId="2" fillId="0" borderId="0" xfId="0" applyFont="1" applyBorder="1" applyAlignment="1">
      <alignment vertical="center"/>
    </xf>
    <xf numFmtId="0" fontId="3" fillId="0" borderId="6" xfId="0" applyFont="1" applyFill="1" applyBorder="1" applyAlignment="1" applyProtection="1">
      <alignment vertical="center"/>
    </xf>
    <xf numFmtId="164" fontId="3" fillId="0" borderId="6" xfId="3" applyNumberFormat="1" applyFont="1" applyFill="1" applyBorder="1" applyAlignment="1" applyProtection="1">
      <alignment vertical="center"/>
    </xf>
    <xf numFmtId="37" fontId="2" fillId="0" borderId="0" xfId="0" applyNumberFormat="1" applyFont="1" applyFill="1" applyAlignment="1" applyProtection="1">
      <alignment vertical="center"/>
    </xf>
    <xf numFmtId="37" fontId="2" fillId="0" borderId="4" xfId="2" applyFont="1" applyFill="1" applyBorder="1" applyAlignment="1">
      <alignment horizontal="center" vertical="center"/>
    </xf>
    <xf numFmtId="37" fontId="2" fillId="0" borderId="0" xfId="2" applyFont="1" applyFill="1" applyBorder="1" applyAlignment="1">
      <alignment horizontal="center" vertical="center"/>
    </xf>
    <xf numFmtId="164" fontId="2" fillId="0" borderId="0" xfId="3" applyNumberFormat="1" applyFont="1" applyFill="1" applyAlignment="1">
      <alignment horizontal="center" vertical="center"/>
    </xf>
    <xf numFmtId="164" fontId="3" fillId="0" borderId="6" xfId="3" applyNumberFormat="1" applyFont="1" applyFill="1" applyBorder="1" applyAlignment="1">
      <alignment vertical="center"/>
    </xf>
    <xf numFmtId="10" fontId="2" fillId="0" borderId="0" xfId="4" applyNumberFormat="1" applyFont="1" applyFill="1" applyAlignment="1">
      <alignment vertical="center"/>
    </xf>
    <xf numFmtId="41" fontId="2" fillId="0" borderId="0" xfId="0" applyNumberFormat="1" applyFont="1" applyFill="1" applyBorder="1" applyAlignment="1">
      <alignment vertical="center"/>
    </xf>
    <xf numFmtId="0" fontId="2" fillId="0" borderId="0" xfId="0" applyFont="1" applyAlignment="1">
      <alignment horizontal="center" vertical="center"/>
    </xf>
    <xf numFmtId="14" fontId="2" fillId="0" borderId="0" xfId="0" applyNumberFormat="1" applyFont="1" applyFill="1" applyAlignment="1">
      <alignment horizontal="center"/>
    </xf>
    <xf numFmtId="0" fontId="2" fillId="0" borderId="4" xfId="0" applyFont="1" applyFill="1" applyBorder="1" applyAlignment="1" applyProtection="1">
      <alignment horizontal="center"/>
    </xf>
    <xf numFmtId="37" fontId="2" fillId="0" borderId="4" xfId="2" applyFont="1" applyFill="1" applyBorder="1" applyAlignment="1">
      <alignment horizontal="center"/>
    </xf>
    <xf numFmtId="37" fontId="2" fillId="0" borderId="0" xfId="2" applyFont="1" applyFill="1" applyBorder="1" applyAlignment="1">
      <alignment horizontal="center"/>
    </xf>
    <xf numFmtId="164" fontId="2" fillId="0" borderId="0" xfId="3" applyNumberFormat="1" applyFont="1" applyFill="1" applyAlignment="1" applyProtection="1">
      <alignment vertical="center"/>
    </xf>
    <xf numFmtId="164" fontId="2" fillId="0" borderId="0" xfId="3" applyNumberFormat="1" applyFont="1" applyAlignment="1">
      <alignment vertical="center"/>
    </xf>
    <xf numFmtId="164" fontId="2" fillId="0" borderId="0" xfId="3" applyNumberFormat="1" applyFont="1" applyAlignment="1">
      <alignment horizontal="center" vertical="center"/>
    </xf>
    <xf numFmtId="41" fontId="2" fillId="0" borderId="0" xfId="0" applyNumberFormat="1" applyFont="1" applyFill="1" applyBorder="1" applyAlignment="1" applyProtection="1">
      <alignment vertical="center"/>
    </xf>
    <xf numFmtId="164" fontId="16" fillId="0" borderId="0" xfId="3" applyNumberFormat="1" applyFont="1" applyFill="1" applyBorder="1" applyAlignment="1" applyProtection="1">
      <alignment vertical="center"/>
    </xf>
    <xf numFmtId="164" fontId="18" fillId="0" borderId="0" xfId="3" applyNumberFormat="1" applyFont="1" applyFill="1" applyBorder="1" applyAlignment="1" applyProtection="1">
      <alignment vertical="center"/>
    </xf>
    <xf numFmtId="164" fontId="18" fillId="0" borderId="0" xfId="3" applyNumberFormat="1" applyFont="1" applyFill="1" applyBorder="1" applyAlignment="1">
      <alignment vertical="center"/>
    </xf>
    <xf numFmtId="0" fontId="3" fillId="4" borderId="6" xfId="0" applyFont="1" applyFill="1" applyBorder="1" applyAlignment="1" applyProtection="1">
      <alignment vertical="center"/>
    </xf>
    <xf numFmtId="41" fontId="3" fillId="4" borderId="6" xfId="0" applyNumberFormat="1" applyFont="1" applyFill="1" applyBorder="1" applyAlignment="1" applyProtection="1">
      <alignment vertical="center"/>
    </xf>
    <xf numFmtId="164" fontId="3" fillId="4" borderId="6" xfId="3" applyNumberFormat="1" applyFont="1" applyFill="1" applyBorder="1" applyAlignment="1" applyProtection="1">
      <alignment vertical="center"/>
    </xf>
    <xf numFmtId="37" fontId="2" fillId="0" borderId="0" xfId="0" applyNumberFormat="1" applyFont="1" applyFill="1" applyAlignment="1" applyProtection="1"/>
    <xf numFmtId="0" fontId="27" fillId="0" borderId="0" xfId="0" applyFont="1" applyAlignment="1"/>
    <xf numFmtId="0" fontId="28" fillId="0" borderId="0" xfId="0" applyFont="1" applyFill="1" applyAlignment="1"/>
    <xf numFmtId="0" fontId="27" fillId="0" borderId="0" xfId="0" applyFont="1" applyFill="1" applyAlignment="1"/>
    <xf numFmtId="0" fontId="20" fillId="0" borderId="0" xfId="0" applyFont="1" applyFill="1" applyAlignment="1">
      <alignment horizontal="center"/>
    </xf>
    <xf numFmtId="0" fontId="26" fillId="0" borderId="0" xfId="0" applyFont="1" applyFill="1" applyAlignment="1" applyProtection="1">
      <alignment horizontal="left"/>
    </xf>
    <xf numFmtId="164" fontId="2" fillId="0" borderId="0" xfId="3" applyNumberFormat="1" applyFont="1"/>
    <xf numFmtId="164" fontId="2" fillId="0" borderId="0" xfId="3" applyNumberFormat="1" applyFont="1" applyBorder="1" applyAlignment="1">
      <alignment vertical="center"/>
    </xf>
    <xf numFmtId="0" fontId="27" fillId="0" borderId="0" xfId="0" applyFont="1" applyBorder="1" applyAlignment="1"/>
    <xf numFmtId="164" fontId="2" fillId="0" borderId="3" xfId="3" applyNumberFormat="1" applyFont="1" applyFill="1" applyBorder="1" applyAlignment="1">
      <alignment vertical="center"/>
    </xf>
    <xf numFmtId="164" fontId="2" fillId="0" borderId="3" xfId="3" applyNumberFormat="1" applyFont="1" applyBorder="1" applyAlignment="1">
      <alignment vertical="center"/>
    </xf>
    <xf numFmtId="0" fontId="29" fillId="0" borderId="0" xfId="0" applyFont="1" applyAlignment="1">
      <alignment horizontal="center"/>
    </xf>
    <xf numFmtId="0" fontId="29" fillId="0" borderId="0" xfId="0" applyFont="1" applyFill="1" applyAlignment="1">
      <alignment vertical="center"/>
    </xf>
    <xf numFmtId="0" fontId="3" fillId="0" borderId="0" xfId="0" applyFont="1" applyFill="1" applyBorder="1" applyAlignment="1"/>
    <xf numFmtId="0" fontId="3" fillId="0" borderId="7" xfId="0" applyFont="1" applyFill="1" applyBorder="1" applyAlignment="1" applyProtection="1">
      <alignment horizontal="left" indent="1"/>
    </xf>
    <xf numFmtId="0" fontId="14" fillId="0" borderId="0" xfId="0" applyFont="1" applyBorder="1">
      <alignment vertical="top"/>
    </xf>
    <xf numFmtId="0" fontId="3" fillId="0" borderId="6" xfId="0" applyFont="1" applyFill="1" applyBorder="1" applyAlignment="1" applyProtection="1">
      <alignment horizontal="left" indent="1"/>
    </xf>
    <xf numFmtId="0" fontId="3" fillId="0" borderId="6" xfId="0" applyFont="1" applyFill="1" applyBorder="1" applyAlignment="1" applyProtection="1">
      <alignment horizontal="left" indent="1" shrinkToFit="1"/>
    </xf>
    <xf numFmtId="0" fontId="41" fillId="0" borderId="0" xfId="0" applyFont="1" applyAlignment="1"/>
    <xf numFmtId="0" fontId="41" fillId="0" borderId="0" xfId="0" applyFont="1" applyAlignment="1">
      <alignment horizontal="center"/>
    </xf>
    <xf numFmtId="37" fontId="18" fillId="0" borderId="0" xfId="0" applyNumberFormat="1" applyFont="1" applyFill="1" applyAlignment="1" applyProtection="1">
      <alignment vertical="center"/>
    </xf>
    <xf numFmtId="0" fontId="18" fillId="0" borderId="0" xfId="0" applyFont="1" applyAlignment="1">
      <alignment vertical="center"/>
    </xf>
    <xf numFmtId="0" fontId="18" fillId="0" borderId="0" xfId="0" applyFont="1" applyAlignment="1">
      <alignment horizontal="center" vertical="center"/>
    </xf>
    <xf numFmtId="0" fontId="0" fillId="0" borderId="0" xfId="0" applyAlignment="1">
      <alignment vertical="top"/>
    </xf>
    <xf numFmtId="164" fontId="3" fillId="0" borderId="0" xfId="3" applyNumberFormat="1" applyFont="1" applyFill="1" applyBorder="1"/>
    <xf numFmtId="164" fontId="3" fillId="0" borderId="5" xfId="3" applyNumberFormat="1" applyFont="1" applyFill="1" applyBorder="1" applyAlignment="1">
      <alignment vertical="center"/>
    </xf>
    <xf numFmtId="0" fontId="0" fillId="0" borderId="0" xfId="0" applyAlignment="1">
      <alignment vertical="center"/>
    </xf>
    <xf numFmtId="0" fontId="3" fillId="0" borderId="6" xfId="0" applyFont="1" applyFill="1" applyBorder="1" applyAlignment="1" applyProtection="1">
      <alignment horizontal="left" vertical="center"/>
    </xf>
    <xf numFmtId="0" fontId="3" fillId="0" borderId="5" xfId="0" applyFont="1" applyFill="1" applyBorder="1" applyAlignment="1" applyProtection="1">
      <alignment horizontal="left" vertical="center"/>
    </xf>
    <xf numFmtId="0" fontId="3" fillId="0" borderId="0" xfId="0" applyFont="1" applyFill="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Border="1" applyAlignment="1" applyProtection="1">
      <alignment horizontal="left" vertical="center"/>
    </xf>
    <xf numFmtId="0" fontId="3" fillId="0" borderId="0" xfId="1" applyFont="1" applyFill="1" applyBorder="1" applyAlignment="1">
      <alignment vertical="center"/>
    </xf>
    <xf numFmtId="0" fontId="2" fillId="0" borderId="0" xfId="0" applyFont="1" applyFill="1" applyBorder="1" applyAlignment="1" applyProtection="1">
      <alignment horizontal="left" vertical="center"/>
    </xf>
    <xf numFmtId="10" fontId="18" fillId="0" borderId="0" xfId="4" applyNumberFormat="1" applyFont="1" applyFill="1" applyBorder="1" applyAlignment="1">
      <alignment vertical="center"/>
    </xf>
    <xf numFmtId="164" fontId="0" fillId="0" borderId="0" xfId="3" applyNumberFormat="1" applyFont="1" applyFill="1" applyAlignment="1">
      <alignment vertical="center"/>
    </xf>
    <xf numFmtId="164" fontId="0" fillId="0" borderId="0" xfId="3" applyNumberFormat="1" applyFont="1" applyAlignment="1">
      <alignment vertical="center"/>
    </xf>
    <xf numFmtId="0" fontId="2" fillId="0" borderId="4" xfId="0" applyFont="1" applyFill="1" applyBorder="1" applyAlignment="1">
      <alignment vertical="center"/>
    </xf>
    <xf numFmtId="164" fontId="2" fillId="0" borderId="0" xfId="3" applyNumberFormat="1" applyFont="1" applyFill="1" applyBorder="1" applyAlignment="1" applyProtection="1">
      <alignment horizontal="center" vertical="center"/>
    </xf>
    <xf numFmtId="10" fontId="2" fillId="0" borderId="0" xfId="4" applyNumberFormat="1" applyFont="1" applyFill="1" applyBorder="1" applyAlignment="1">
      <alignment vertical="center"/>
    </xf>
    <xf numFmtId="0" fontId="2" fillId="0" borderId="3" xfId="1" applyFont="1" applyFill="1" applyBorder="1" applyAlignment="1">
      <alignment vertical="center"/>
    </xf>
    <xf numFmtId="0" fontId="18" fillId="0" borderId="0" xfId="1" applyFont="1" applyFill="1" applyBorder="1" applyAlignment="1">
      <alignment vertical="center"/>
    </xf>
    <xf numFmtId="164" fontId="18" fillId="0" borderId="5" xfId="3" applyNumberFormat="1" applyFont="1" applyFill="1" applyBorder="1" applyAlignment="1">
      <alignment vertical="center"/>
    </xf>
    <xf numFmtId="166" fontId="2" fillId="0" borderId="0" xfId="4" applyNumberFormat="1" applyFont="1" applyFill="1" applyBorder="1" applyAlignment="1">
      <alignment vertical="center"/>
    </xf>
    <xf numFmtId="0" fontId="6" fillId="6" borderId="0" xfId="0" applyFont="1" applyFill="1" applyAlignment="1" applyProtection="1">
      <alignment vertical="center"/>
      <protection locked="0"/>
    </xf>
    <xf numFmtId="0" fontId="6" fillId="5" borderId="0" xfId="0" applyFont="1" applyFill="1" applyAlignment="1" applyProtection="1">
      <alignment vertical="center"/>
      <protection locked="0"/>
    </xf>
    <xf numFmtId="0" fontId="7" fillId="0" borderId="0" xfId="0" applyFont="1" applyFill="1" applyAlignment="1" applyProtection="1">
      <alignment horizontal="center" vertical="center" wrapText="1"/>
      <protection locked="0"/>
    </xf>
    <xf numFmtId="0" fontId="7" fillId="6" borderId="0" xfId="0" applyFont="1" applyFill="1" applyAlignment="1" applyProtection="1">
      <alignment horizontal="center" vertical="center" wrapText="1"/>
      <protection locked="0"/>
    </xf>
    <xf numFmtId="41" fontId="2" fillId="0" borderId="0" xfId="3" applyNumberFormat="1" applyFont="1" applyFill="1" applyAlignment="1" applyProtection="1">
      <alignment vertical="center"/>
      <protection locked="0"/>
    </xf>
    <xf numFmtId="41" fontId="2" fillId="6" borderId="0" xfId="3" applyNumberFormat="1" applyFont="1" applyFill="1" applyAlignment="1" applyProtection="1">
      <alignment vertical="center"/>
      <protection locked="0"/>
    </xf>
    <xf numFmtId="0" fontId="10" fillId="0" borderId="0" xfId="0" applyFont="1" applyFill="1" applyAlignment="1" applyProtection="1">
      <alignment vertical="center"/>
      <protection locked="0"/>
    </xf>
    <xf numFmtId="41" fontId="2" fillId="0" borderId="1" xfId="3" applyNumberFormat="1" applyFont="1" applyFill="1" applyBorder="1" applyAlignment="1" applyProtection="1">
      <alignment vertical="center"/>
      <protection locked="0"/>
    </xf>
    <xf numFmtId="41" fontId="2" fillId="6" borderId="1" xfId="3" applyNumberFormat="1" applyFont="1" applyFill="1" applyBorder="1" applyAlignment="1" applyProtection="1">
      <alignment vertical="center"/>
      <protection locked="0"/>
    </xf>
    <xf numFmtId="0" fontId="18" fillId="0" borderId="0" xfId="0" applyFont="1" applyFill="1" applyAlignment="1" applyProtection="1">
      <alignment vertical="center"/>
      <protection locked="0"/>
    </xf>
    <xf numFmtId="0" fontId="18" fillId="0" borderId="0" xfId="0" applyFont="1" applyFill="1" applyAlignment="1" applyProtection="1">
      <alignment horizontal="left" vertical="center"/>
      <protection locked="0"/>
    </xf>
    <xf numFmtId="41" fontId="2" fillId="0" borderId="0" xfId="3" applyNumberFormat="1" applyFont="1" applyFill="1" applyBorder="1" applyAlignment="1" applyProtection="1">
      <alignment vertical="center"/>
      <protection locked="0"/>
    </xf>
    <xf numFmtId="41" fontId="2" fillId="0" borderId="2" xfId="3" applyNumberFormat="1" applyFont="1" applyFill="1" applyBorder="1" applyAlignment="1" applyProtection="1">
      <alignment vertical="center"/>
      <protection locked="0"/>
    </xf>
    <xf numFmtId="41" fontId="2" fillId="6" borderId="2" xfId="3" applyNumberFormat="1" applyFont="1" applyFill="1" applyBorder="1" applyAlignment="1" applyProtection="1">
      <alignment vertical="center"/>
      <protection locked="0"/>
    </xf>
    <xf numFmtId="41" fontId="2" fillId="6" borderId="0" xfId="3" applyNumberFormat="1" applyFont="1" applyFill="1" applyBorder="1" applyAlignment="1" applyProtection="1">
      <alignment vertical="center"/>
      <protection locked="0"/>
    </xf>
    <xf numFmtId="41" fontId="2" fillId="0" borderId="0" xfId="0" applyNumberFormat="1" applyFont="1" applyFill="1" applyAlignment="1" applyProtection="1">
      <alignment vertical="center"/>
      <protection locked="0"/>
    </xf>
    <xf numFmtId="41" fontId="2" fillId="6" borderId="0" xfId="0" applyNumberFormat="1" applyFont="1" applyFill="1" applyAlignment="1" applyProtection="1">
      <alignment vertical="center"/>
      <protection locked="0"/>
    </xf>
    <xf numFmtId="0" fontId="30" fillId="0" borderId="0" xfId="0" applyFont="1" applyFill="1" applyAlignment="1" applyProtection="1">
      <alignment vertical="center"/>
      <protection locked="0"/>
    </xf>
    <xf numFmtId="0" fontId="10" fillId="0" borderId="0" xfId="0" applyFont="1" applyFill="1" applyAlignment="1" applyProtection="1">
      <alignment horizontal="left" vertical="center"/>
      <protection locked="0"/>
    </xf>
    <xf numFmtId="41" fontId="16" fillId="0" borderId="0" xfId="3" applyNumberFormat="1" applyFont="1" applyFill="1" applyAlignment="1" applyProtection="1">
      <alignment vertical="center"/>
      <protection locked="0"/>
    </xf>
    <xf numFmtId="41" fontId="16" fillId="0" borderId="0" xfId="3" applyNumberFormat="1" applyFont="1" applyFill="1" applyBorder="1" applyAlignment="1" applyProtection="1">
      <alignment vertical="center"/>
      <protection locked="0"/>
    </xf>
    <xf numFmtId="41" fontId="16" fillId="6" borderId="0" xfId="3" applyNumberFormat="1" applyFont="1" applyFill="1" applyBorder="1" applyAlignment="1" applyProtection="1">
      <alignment vertical="center"/>
      <protection locked="0"/>
    </xf>
    <xf numFmtId="41" fontId="6" fillId="0" borderId="0" xfId="0" applyNumberFormat="1" applyFont="1" applyFill="1" applyAlignment="1" applyProtection="1">
      <alignment vertical="center"/>
      <protection locked="0"/>
    </xf>
    <xf numFmtId="41" fontId="6" fillId="6" borderId="0" xfId="0" applyNumberFormat="1" applyFont="1" applyFill="1" applyAlignment="1" applyProtection="1">
      <alignment vertical="center"/>
      <protection locked="0"/>
    </xf>
    <xf numFmtId="0" fontId="7" fillId="0" borderId="0" xfId="0" applyFont="1" applyFill="1" applyAlignment="1" applyProtection="1">
      <alignment vertical="center"/>
      <protection locked="0"/>
    </xf>
    <xf numFmtId="41" fontId="7" fillId="0" borderId="0" xfId="0" applyNumberFormat="1" applyFont="1" applyFill="1" applyAlignment="1" applyProtection="1">
      <alignment vertical="center"/>
      <protection locked="0"/>
    </xf>
    <xf numFmtId="41" fontId="7" fillId="6" borderId="0" xfId="0" applyNumberFormat="1" applyFont="1" applyFill="1" applyAlignment="1" applyProtection="1">
      <alignment vertical="center"/>
      <protection locked="0"/>
    </xf>
    <xf numFmtId="0" fontId="9" fillId="0" borderId="0" xfId="0" applyFont="1" applyFill="1" applyAlignment="1" applyProtection="1">
      <alignment vertical="center"/>
      <protection locked="0"/>
    </xf>
    <xf numFmtId="41" fontId="2" fillId="0" borderId="0" xfId="3" applyNumberFormat="1" applyFont="1" applyFill="1" applyAlignment="1" applyProtection="1">
      <alignment horizontal="right" vertical="center"/>
      <protection locked="0"/>
    </xf>
    <xf numFmtId="41" fontId="2" fillId="6" borderId="0" xfId="3" applyNumberFormat="1" applyFont="1" applyFill="1" applyAlignment="1" applyProtection="1">
      <alignment horizontal="right" vertical="center"/>
      <protection locked="0"/>
    </xf>
    <xf numFmtId="164" fontId="2" fillId="0" borderId="0" xfId="3" applyNumberFormat="1" applyFont="1" applyFill="1" applyAlignment="1" applyProtection="1">
      <alignment vertical="center"/>
      <protection locked="0"/>
    </xf>
    <xf numFmtId="41" fontId="16" fillId="6" borderId="0" xfId="3" applyNumberFormat="1" applyFont="1" applyFill="1" applyAlignment="1" applyProtection="1">
      <alignment vertical="center"/>
      <protection locked="0"/>
    </xf>
    <xf numFmtId="41" fontId="16" fillId="0" borderId="1" xfId="3" applyNumberFormat="1" applyFont="1" applyFill="1" applyBorder="1" applyAlignment="1" applyProtection="1">
      <alignment vertical="center"/>
      <protection locked="0"/>
    </xf>
    <xf numFmtId="41" fontId="16" fillId="6" borderId="1" xfId="3" applyNumberFormat="1" applyFont="1" applyFill="1" applyBorder="1" applyAlignment="1" applyProtection="1">
      <alignment vertical="center"/>
      <protection locked="0"/>
    </xf>
    <xf numFmtId="41" fontId="3" fillId="6" borderId="0" xfId="3" applyNumberFormat="1" applyFont="1" applyFill="1" applyBorder="1" applyAlignment="1" applyProtection="1">
      <alignment horizontal="right" vertical="center"/>
      <protection locked="0"/>
    </xf>
    <xf numFmtId="41" fontId="3" fillId="0" borderId="0" xfId="3" applyNumberFormat="1" applyFont="1" applyFill="1" applyBorder="1" applyAlignment="1" applyProtection="1">
      <alignment horizontal="right" vertical="center"/>
      <protection locked="0"/>
    </xf>
    <xf numFmtId="41" fontId="6" fillId="0" borderId="0" xfId="3" applyNumberFormat="1" applyFont="1" applyFill="1" applyAlignment="1" applyProtection="1">
      <alignment horizontal="right" vertical="center"/>
      <protection locked="0"/>
    </xf>
    <xf numFmtId="41" fontId="16" fillId="0" borderId="2" xfId="3" applyNumberFormat="1" applyFont="1" applyFill="1" applyBorder="1" applyAlignment="1" applyProtection="1">
      <alignment vertical="center"/>
      <protection locked="0"/>
    </xf>
    <xf numFmtId="41" fontId="16" fillId="6" borderId="2" xfId="3" applyNumberFormat="1" applyFont="1" applyFill="1" applyBorder="1" applyAlignment="1" applyProtection="1">
      <alignment vertical="center"/>
      <protection locked="0"/>
    </xf>
    <xf numFmtId="0" fontId="31" fillId="0" borderId="0" xfId="0" applyFont="1" applyFill="1" applyAlignment="1" applyProtection="1">
      <alignment vertical="center"/>
      <protection locked="0"/>
    </xf>
    <xf numFmtId="0" fontId="35" fillId="0" borderId="0" xfId="0" applyFont="1" applyFill="1" applyAlignment="1" applyProtection="1">
      <alignment vertical="center"/>
      <protection locked="0"/>
    </xf>
    <xf numFmtId="164" fontId="6" fillId="0" borderId="0" xfId="3" applyNumberFormat="1" applyFont="1" applyFill="1" applyAlignment="1" applyProtection="1">
      <alignment vertical="center"/>
      <protection locked="0"/>
    </xf>
    <xf numFmtId="41" fontId="6" fillId="0" borderId="0" xfId="3" applyNumberFormat="1" applyFont="1" applyFill="1" applyAlignment="1" applyProtection="1">
      <alignment vertical="center"/>
      <protection locked="0"/>
    </xf>
    <xf numFmtId="41" fontId="6" fillId="6" borderId="0" xfId="3" applyNumberFormat="1" applyFont="1" applyFill="1" applyAlignment="1" applyProtection="1">
      <alignment vertical="center"/>
      <protection locked="0"/>
    </xf>
    <xf numFmtId="41" fontId="6" fillId="6" borderId="0" xfId="3" applyNumberFormat="1" applyFont="1" applyFill="1" applyAlignment="1" applyProtection="1">
      <alignment horizontal="right" vertical="center"/>
      <protection locked="0"/>
    </xf>
    <xf numFmtId="0" fontId="18" fillId="0" borderId="0" xfId="0" applyFont="1" applyFill="1" applyAlignment="1" applyProtection="1">
      <alignment vertical="center" readingOrder="1"/>
      <protection locked="0"/>
    </xf>
    <xf numFmtId="164" fontId="2" fillId="0" borderId="0" xfId="3" applyNumberFormat="1" applyFont="1" applyFill="1" applyBorder="1" applyAlignment="1" applyProtection="1">
      <alignment vertical="center"/>
      <protection locked="0"/>
    </xf>
    <xf numFmtId="41" fontId="7" fillId="0" borderId="0" xfId="3" applyNumberFormat="1" applyFont="1" applyFill="1" applyAlignment="1" applyProtection="1">
      <alignment vertical="center"/>
      <protection locked="0"/>
    </xf>
    <xf numFmtId="41" fontId="7" fillId="6" borderId="0" xfId="3" applyNumberFormat="1" applyFont="1" applyFill="1" applyAlignment="1" applyProtection="1">
      <alignment vertical="center"/>
      <protection locked="0"/>
    </xf>
    <xf numFmtId="43" fontId="32" fillId="0" borderId="0" xfId="3" applyFont="1" applyFill="1" applyAlignment="1" applyProtection="1">
      <alignment vertical="center"/>
      <protection locked="0"/>
    </xf>
    <xf numFmtId="43" fontId="6" fillId="0" borderId="0" xfId="3" applyFont="1" applyFill="1" applyAlignment="1" applyProtection="1">
      <alignment vertical="center"/>
      <protection locked="0"/>
    </xf>
    <xf numFmtId="41" fontId="17" fillId="6" borderId="0" xfId="3" applyNumberFormat="1" applyFont="1" applyFill="1" applyAlignment="1" applyProtection="1">
      <alignment horizontal="right" vertical="center"/>
      <protection locked="0"/>
    </xf>
    <xf numFmtId="164" fontId="17" fillId="0" borderId="0" xfId="3" applyNumberFormat="1" applyFont="1" applyFill="1" applyAlignment="1" applyProtection="1">
      <alignment vertical="center"/>
      <protection locked="0"/>
    </xf>
    <xf numFmtId="164" fontId="18" fillId="0" borderId="0" xfId="3" applyNumberFormat="1" applyFont="1" applyFill="1" applyAlignment="1" applyProtection="1">
      <alignment vertical="center"/>
      <protection locked="0"/>
    </xf>
    <xf numFmtId="41" fontId="26" fillId="0" borderId="0" xfId="3" applyNumberFormat="1" applyFont="1" applyFill="1" applyBorder="1" applyAlignment="1" applyProtection="1">
      <alignment vertical="center"/>
      <protection locked="0"/>
    </xf>
    <xf numFmtId="41" fontId="26" fillId="6" borderId="0" xfId="3" applyNumberFormat="1" applyFont="1" applyFill="1" applyBorder="1" applyAlignment="1" applyProtection="1">
      <alignment vertical="center"/>
      <protection locked="0"/>
    </xf>
    <xf numFmtId="41" fontId="16" fillId="6" borderId="0" xfId="3" applyNumberFormat="1" applyFont="1" applyFill="1" applyAlignment="1" applyProtection="1">
      <alignment horizontal="right" vertical="center"/>
      <protection locked="0"/>
    </xf>
    <xf numFmtId="164" fontId="10" fillId="0" borderId="0" xfId="3" applyNumberFormat="1" applyFont="1" applyFill="1" applyAlignment="1" applyProtection="1">
      <alignment vertical="center"/>
      <protection locked="0"/>
    </xf>
    <xf numFmtId="43" fontId="6" fillId="0" borderId="0" xfId="0" applyNumberFormat="1" applyFont="1" applyFill="1" applyAlignment="1" applyProtection="1">
      <alignment vertical="center"/>
      <protection locked="0"/>
    </xf>
    <xf numFmtId="164" fontId="2" fillId="0" borderId="2" xfId="3" applyNumberFormat="1" applyFont="1" applyFill="1" applyBorder="1" applyAlignment="1" applyProtection="1">
      <alignment vertical="center"/>
      <protection locked="0"/>
    </xf>
    <xf numFmtId="164" fontId="18" fillId="0" borderId="2" xfId="3" applyNumberFormat="1" applyFont="1" applyFill="1" applyBorder="1" applyAlignment="1" applyProtection="1">
      <alignment vertical="center"/>
      <protection locked="0"/>
    </xf>
    <xf numFmtId="41" fontId="17" fillId="0" borderId="0" xfId="3" applyNumberFormat="1" applyFont="1" applyFill="1" applyAlignment="1" applyProtection="1">
      <alignment vertical="center"/>
      <protection locked="0"/>
    </xf>
    <xf numFmtId="41" fontId="17" fillId="6" borderId="0" xfId="3" applyNumberFormat="1" applyFont="1" applyFill="1" applyAlignment="1" applyProtection="1">
      <alignment vertical="center"/>
      <protection locked="0"/>
    </xf>
    <xf numFmtId="0" fontId="7" fillId="0" borderId="0" xfId="0" applyFont="1" applyFill="1" applyAlignment="1" applyProtection="1">
      <alignment wrapText="1"/>
      <protection locked="0"/>
    </xf>
    <xf numFmtId="41" fontId="10" fillId="0" borderId="0" xfId="0" applyNumberFormat="1" applyFont="1" applyFill="1" applyAlignment="1" applyProtection="1">
      <alignment vertical="center"/>
      <protection locked="0"/>
    </xf>
    <xf numFmtId="0" fontId="38" fillId="0" borderId="0" xfId="0" applyFont="1" applyFill="1" applyAlignment="1" applyProtection="1">
      <alignment vertical="center"/>
      <protection locked="0"/>
    </xf>
    <xf numFmtId="0" fontId="13"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wrapText="1"/>
      <protection locked="0"/>
    </xf>
    <xf numFmtId="0" fontId="6" fillId="0" borderId="0" xfId="0" applyFont="1" applyFill="1" applyAlignment="1" applyProtection="1">
      <alignment horizontal="center" vertical="center"/>
      <protection locked="0"/>
    </xf>
    <xf numFmtId="0" fontId="6" fillId="0" borderId="0" xfId="0" applyFont="1" applyFill="1" applyAlignment="1" applyProtection="1">
      <alignment horizontal="left" vertical="center"/>
      <protection locked="0"/>
    </xf>
    <xf numFmtId="0" fontId="6" fillId="0" borderId="0" xfId="0" applyFont="1" applyFill="1" applyAlignment="1" applyProtection="1">
      <alignment vertical="center"/>
      <protection locked="0"/>
    </xf>
    <xf numFmtId="0" fontId="7" fillId="0" borderId="0" xfId="0" applyFont="1" applyFill="1" applyAlignment="1" applyProtection="1">
      <alignment horizontal="left" vertical="center" wrapText="1"/>
      <protection locked="0"/>
    </xf>
    <xf numFmtId="0" fontId="6" fillId="0" borderId="0" xfId="0" applyFont="1" applyFill="1" applyAlignment="1" applyProtection="1">
      <alignment vertical="center"/>
    </xf>
    <xf numFmtId="1" fontId="7" fillId="0" borderId="0" xfId="0" applyNumberFormat="1" applyFont="1" applyFill="1" applyBorder="1" applyAlignment="1" applyProtection="1">
      <alignment horizontal="center" vertical="center"/>
    </xf>
    <xf numFmtId="1" fontId="7" fillId="6" borderId="0" xfId="0" applyNumberFormat="1" applyFont="1" applyFill="1" applyBorder="1" applyAlignment="1" applyProtection="1">
      <alignment horizontal="center" vertical="center"/>
    </xf>
    <xf numFmtId="0" fontId="7" fillId="0" borderId="0" xfId="0" applyFont="1" applyFill="1" applyAlignment="1" applyProtection="1">
      <alignment horizontal="left" vertical="center" wrapText="1"/>
    </xf>
    <xf numFmtId="0" fontId="7" fillId="0" borderId="0" xfId="0" applyFont="1" applyFill="1" applyAlignment="1" applyProtection="1">
      <alignment horizontal="center" vertical="center" wrapText="1"/>
    </xf>
    <xf numFmtId="0" fontId="7" fillId="6" borderId="0" xfId="0" applyFont="1" applyFill="1" applyAlignment="1" applyProtection="1">
      <alignment horizontal="center" vertical="center" wrapText="1"/>
    </xf>
    <xf numFmtId="0" fontId="40" fillId="0" borderId="0" xfId="0" applyFont="1" applyFill="1" applyAlignment="1" applyProtection="1">
      <alignment vertical="center"/>
    </xf>
    <xf numFmtId="41" fontId="2" fillId="0" borderId="0" xfId="3" applyNumberFormat="1" applyFont="1" applyFill="1" applyAlignment="1" applyProtection="1">
      <alignment vertical="center"/>
    </xf>
    <xf numFmtId="41" fontId="2" fillId="6" borderId="0" xfId="3" applyNumberFormat="1" applyFont="1" applyFill="1" applyAlignment="1" applyProtection="1">
      <alignment vertical="center"/>
    </xf>
    <xf numFmtId="41" fontId="2" fillId="0" borderId="1" xfId="3" applyNumberFormat="1" applyFont="1" applyFill="1" applyBorder="1" applyAlignment="1" applyProtection="1">
      <alignment vertical="center"/>
    </xf>
    <xf numFmtId="41" fontId="2" fillId="0" borderId="0" xfId="3" applyNumberFormat="1" applyFont="1" applyFill="1" applyBorder="1" applyAlignment="1" applyProtection="1">
      <alignment vertical="center"/>
    </xf>
    <xf numFmtId="41" fontId="2" fillId="0" borderId="2" xfId="3" applyNumberFormat="1" applyFont="1" applyFill="1" applyBorder="1" applyAlignment="1" applyProtection="1">
      <alignment vertical="center"/>
    </xf>
    <xf numFmtId="41" fontId="2" fillId="6" borderId="0" xfId="3" applyNumberFormat="1" applyFont="1" applyFill="1" applyBorder="1" applyAlignment="1" applyProtection="1">
      <alignment vertical="center"/>
    </xf>
    <xf numFmtId="41" fontId="2" fillId="0" borderId="0" xfId="0" applyNumberFormat="1" applyFont="1" applyFill="1" applyAlignment="1" applyProtection="1">
      <alignment vertical="center"/>
    </xf>
    <xf numFmtId="41" fontId="16" fillId="0" borderId="0" xfId="3" applyNumberFormat="1" applyFont="1" applyFill="1" applyAlignment="1" applyProtection="1">
      <alignment vertical="center"/>
    </xf>
    <xf numFmtId="41" fontId="16" fillId="0" borderId="0" xfId="3" applyNumberFormat="1" applyFont="1" applyFill="1" applyBorder="1" applyAlignment="1" applyProtection="1">
      <alignment vertical="center"/>
    </xf>
    <xf numFmtId="41" fontId="6" fillId="0" borderId="0" xfId="0" applyNumberFormat="1" applyFont="1" applyFill="1" applyAlignment="1" applyProtection="1">
      <alignment vertical="center"/>
    </xf>
    <xf numFmtId="41" fontId="6" fillId="6" borderId="0" xfId="0" applyNumberFormat="1" applyFont="1" applyFill="1" applyAlignment="1" applyProtection="1">
      <alignment vertical="center"/>
    </xf>
    <xf numFmtId="41" fontId="7" fillId="0" borderId="0" xfId="0" applyNumberFormat="1" applyFont="1" applyFill="1" applyAlignment="1" applyProtection="1">
      <alignment vertical="center"/>
    </xf>
    <xf numFmtId="41" fontId="7" fillId="6" borderId="0" xfId="0" applyNumberFormat="1" applyFont="1" applyFill="1" applyAlignment="1" applyProtection="1">
      <alignment vertical="center"/>
    </xf>
    <xf numFmtId="41" fontId="3" fillId="0" borderId="2" xfId="3" applyNumberFormat="1" applyFont="1" applyFill="1" applyBorder="1" applyAlignment="1" applyProtection="1">
      <alignment vertical="center"/>
    </xf>
    <xf numFmtId="41" fontId="3" fillId="6" borderId="0" xfId="0" applyNumberFormat="1" applyFont="1" applyFill="1" applyAlignment="1" applyProtection="1">
      <alignment vertical="center"/>
    </xf>
    <xf numFmtId="41" fontId="2" fillId="0" borderId="0" xfId="3" applyNumberFormat="1" applyFont="1" applyFill="1" applyAlignment="1" applyProtection="1">
      <alignment horizontal="right" vertical="center"/>
    </xf>
    <xf numFmtId="41" fontId="3" fillId="6" borderId="0" xfId="3" applyNumberFormat="1" applyFont="1" applyFill="1" applyAlignment="1" applyProtection="1">
      <alignment vertical="center"/>
    </xf>
    <xf numFmtId="41" fontId="16" fillId="0" borderId="1" xfId="3" applyNumberFormat="1" applyFont="1" applyFill="1" applyBorder="1" applyAlignment="1" applyProtection="1">
      <alignment vertical="center"/>
    </xf>
    <xf numFmtId="41" fontId="3" fillId="6" borderId="0" xfId="3" applyNumberFormat="1" applyFont="1" applyFill="1" applyBorder="1" applyAlignment="1" applyProtection="1">
      <alignment horizontal="right" vertical="center"/>
    </xf>
    <xf numFmtId="41" fontId="6" fillId="0" borderId="0" xfId="3" applyNumberFormat="1" applyFont="1" applyFill="1" applyAlignment="1" applyProtection="1">
      <alignment horizontal="right" vertical="center"/>
    </xf>
    <xf numFmtId="41" fontId="16" fillId="0" borderId="2" xfId="3" applyNumberFormat="1" applyFont="1" applyFill="1" applyBorder="1" applyAlignment="1" applyProtection="1">
      <alignment vertical="center"/>
    </xf>
    <xf numFmtId="41" fontId="3" fillId="6" borderId="0" xfId="3" applyNumberFormat="1" applyFont="1" applyFill="1" applyAlignment="1" applyProtection="1">
      <alignment horizontal="right" vertical="center"/>
    </xf>
    <xf numFmtId="41" fontId="3" fillId="0" borderId="0" xfId="3" applyNumberFormat="1" applyFont="1" applyFill="1" applyAlignment="1" applyProtection="1">
      <alignment horizontal="right" vertical="center"/>
    </xf>
    <xf numFmtId="41" fontId="6" fillId="0" borderId="0" xfId="3" applyNumberFormat="1" applyFont="1" applyFill="1" applyAlignment="1" applyProtection="1">
      <alignment vertical="center"/>
    </xf>
    <xf numFmtId="41" fontId="6" fillId="6" borderId="0" xfId="3" applyNumberFormat="1" applyFont="1" applyFill="1" applyAlignment="1" applyProtection="1">
      <alignment vertical="center"/>
    </xf>
    <xf numFmtId="41" fontId="3" fillId="0" borderId="0" xfId="3" applyNumberFormat="1" applyFont="1" applyFill="1" applyAlignment="1" applyProtection="1">
      <alignment vertical="center"/>
    </xf>
    <xf numFmtId="41" fontId="3" fillId="0" borderId="0" xfId="3" applyNumberFormat="1" applyFont="1" applyFill="1" applyBorder="1" applyAlignment="1" applyProtection="1">
      <alignment horizontal="right" vertical="center"/>
    </xf>
    <xf numFmtId="41" fontId="3" fillId="0" borderId="0" xfId="3" applyNumberFormat="1" applyFont="1" applyFill="1" applyBorder="1" applyAlignment="1" applyProtection="1">
      <alignment vertical="center"/>
    </xf>
    <xf numFmtId="41" fontId="7" fillId="0" borderId="0" xfId="3" applyNumberFormat="1" applyFont="1" applyFill="1" applyAlignment="1" applyProtection="1">
      <alignment vertical="center"/>
    </xf>
    <xf numFmtId="41" fontId="7" fillId="6" borderId="0" xfId="3" applyNumberFormat="1" applyFont="1" applyFill="1" applyAlignment="1" applyProtection="1">
      <alignment vertical="center"/>
    </xf>
    <xf numFmtId="10" fontId="10" fillId="0" borderId="0" xfId="4" applyNumberFormat="1" applyFont="1" applyFill="1" applyAlignment="1" applyProtection="1">
      <alignment vertical="center"/>
    </xf>
    <xf numFmtId="10" fontId="10" fillId="6" borderId="0" xfId="4" applyNumberFormat="1" applyFont="1" applyFill="1" applyAlignment="1" applyProtection="1">
      <alignment vertical="center"/>
    </xf>
    <xf numFmtId="41" fontId="17" fillId="0" borderId="0" xfId="3" applyNumberFormat="1" applyFont="1" applyFill="1" applyAlignment="1" applyProtection="1">
      <alignment horizontal="right" vertical="center"/>
    </xf>
    <xf numFmtId="41" fontId="26" fillId="0" borderId="0" xfId="3" applyNumberFormat="1" applyFont="1" applyFill="1" applyBorder="1" applyAlignment="1" applyProtection="1">
      <alignment vertical="center"/>
    </xf>
    <xf numFmtId="41" fontId="16" fillId="0" borderId="0" xfId="3" applyNumberFormat="1" applyFont="1" applyFill="1" applyAlignment="1" applyProtection="1">
      <alignment horizontal="right" vertical="center"/>
    </xf>
    <xf numFmtId="41" fontId="33" fillId="0" borderId="0" xfId="3" applyNumberFormat="1" applyFont="1" applyFill="1" applyAlignment="1" applyProtection="1">
      <alignment vertical="center"/>
    </xf>
    <xf numFmtId="41" fontId="33" fillId="6" borderId="0" xfId="3" applyNumberFormat="1" applyFont="1" applyFill="1" applyAlignment="1" applyProtection="1">
      <alignment vertical="center"/>
    </xf>
    <xf numFmtId="41" fontId="9" fillId="0" borderId="0" xfId="3" applyNumberFormat="1" applyFont="1" applyFill="1" applyAlignment="1" applyProtection="1">
      <alignment vertical="center"/>
    </xf>
    <xf numFmtId="41" fontId="7" fillId="0" borderId="7" xfId="3" applyNumberFormat="1" applyFont="1" applyFill="1" applyBorder="1" applyAlignment="1" applyProtection="1">
      <alignment vertical="center"/>
    </xf>
    <xf numFmtId="41" fontId="7" fillId="6" borderId="7" xfId="3" applyNumberFormat="1" applyFont="1" applyFill="1" applyBorder="1" applyAlignment="1" applyProtection="1">
      <alignment vertical="center"/>
    </xf>
    <xf numFmtId="41" fontId="10" fillId="6" borderId="0" xfId="4" applyNumberFormat="1" applyFont="1" applyFill="1" applyAlignment="1" applyProtection="1">
      <alignment vertical="center"/>
    </xf>
    <xf numFmtId="41" fontId="10" fillId="0" borderId="0" xfId="4" applyNumberFormat="1" applyFont="1" applyFill="1" applyAlignment="1" applyProtection="1">
      <alignment vertical="center"/>
    </xf>
    <xf numFmtId="41" fontId="17" fillId="0" borderId="0" xfId="3" applyNumberFormat="1" applyFont="1" applyFill="1" applyAlignment="1" applyProtection="1">
      <alignment vertical="center"/>
    </xf>
    <xf numFmtId="41" fontId="17" fillId="6" borderId="0" xfId="3" applyNumberFormat="1" applyFont="1" applyFill="1" applyAlignment="1" applyProtection="1">
      <alignment vertical="center"/>
    </xf>
    <xf numFmtId="41" fontId="3" fillId="6" borderId="0" xfId="3" applyNumberFormat="1" applyFont="1" applyFill="1" applyBorder="1" applyAlignment="1" applyProtection="1">
      <alignment vertical="center"/>
    </xf>
    <xf numFmtId="41" fontId="17" fillId="6" borderId="0" xfId="0" applyNumberFormat="1" applyFont="1" applyFill="1" applyAlignment="1" applyProtection="1">
      <alignment vertical="center"/>
    </xf>
    <xf numFmtId="41" fontId="17" fillId="0" borderId="0" xfId="0" applyNumberFormat="1" applyFont="1" applyFill="1" applyAlignment="1" applyProtection="1">
      <alignment vertical="center"/>
    </xf>
    <xf numFmtId="41" fontId="7" fillId="0" borderId="0" xfId="3" applyNumberFormat="1" applyFont="1" applyFill="1" applyAlignment="1" applyProtection="1">
      <alignment horizontal="center" vertical="center"/>
    </xf>
    <xf numFmtId="41" fontId="7" fillId="6" borderId="0" xfId="3" applyNumberFormat="1" applyFont="1" applyFill="1" applyAlignment="1" applyProtection="1">
      <alignment horizontal="center" vertical="center"/>
    </xf>
    <xf numFmtId="41" fontId="10" fillId="6" borderId="0" xfId="0" applyNumberFormat="1" applyFont="1" applyFill="1" applyAlignment="1" applyProtection="1">
      <alignment vertical="center"/>
    </xf>
    <xf numFmtId="41" fontId="10" fillId="0" borderId="0" xfId="4" applyNumberFormat="1" applyFont="1" applyFill="1" applyAlignment="1" applyProtection="1">
      <alignment horizontal="center" vertical="center"/>
    </xf>
    <xf numFmtId="41" fontId="10" fillId="0" borderId="0" xfId="3" applyNumberFormat="1" applyFont="1" applyFill="1" applyAlignment="1" applyProtection="1">
      <alignment vertical="center"/>
    </xf>
    <xf numFmtId="41" fontId="10" fillId="6" borderId="0" xfId="3" applyNumberFormat="1" applyFont="1" applyFill="1" applyAlignment="1" applyProtection="1">
      <alignment vertical="center"/>
    </xf>
    <xf numFmtId="41" fontId="15" fillId="0" borderId="0" xfId="0" applyNumberFormat="1" applyFont="1" applyFill="1" applyAlignment="1" applyProtection="1">
      <alignment vertical="center"/>
    </xf>
    <xf numFmtId="41" fontId="15" fillId="6" borderId="0" xfId="0" applyNumberFormat="1" applyFont="1" applyFill="1" applyAlignment="1" applyProtection="1">
      <alignment vertical="center"/>
    </xf>
    <xf numFmtId="41" fontId="32" fillId="0" borderId="0" xfId="3" applyNumberFormat="1" applyFont="1" applyFill="1" applyAlignment="1" applyProtection="1">
      <alignment vertical="center"/>
    </xf>
    <xf numFmtId="41" fontId="32" fillId="6" borderId="0" xfId="3" applyNumberFormat="1" applyFont="1" applyFill="1" applyAlignment="1" applyProtection="1">
      <alignment vertical="center"/>
    </xf>
    <xf numFmtId="168" fontId="6" fillId="0" borderId="0" xfId="0" applyNumberFormat="1" applyFont="1" applyFill="1" applyAlignment="1" applyProtection="1">
      <alignment vertical="center"/>
    </xf>
    <xf numFmtId="0" fontId="12"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readingOrder="1"/>
    </xf>
    <xf numFmtId="0" fontId="7" fillId="0" borderId="0" xfId="0" applyFont="1" applyFill="1" applyAlignment="1" applyProtection="1">
      <alignment horizontal="left" vertical="center"/>
    </xf>
    <xf numFmtId="0" fontId="7" fillId="0" borderId="0" xfId="0" applyFont="1" applyFill="1" applyAlignment="1" applyProtection="1">
      <alignment vertical="center"/>
    </xf>
    <xf numFmtId="0" fontId="7" fillId="0" borderId="0" xfId="0" applyFont="1" applyFill="1" applyAlignment="1" applyProtection="1">
      <alignment horizontal="center" vertical="center"/>
    </xf>
    <xf numFmtId="0" fontId="3" fillId="0" borderId="0" xfId="0" applyFont="1" applyFill="1" applyAlignment="1" applyProtection="1">
      <alignment vertical="center"/>
    </xf>
    <xf numFmtId="8" fontId="7" fillId="0" borderId="0" xfId="0" applyNumberFormat="1" applyFont="1" applyFill="1" applyAlignment="1" applyProtection="1">
      <alignment vertical="center"/>
    </xf>
    <xf numFmtId="165" fontId="7" fillId="0" borderId="0" xfId="0" applyNumberFormat="1" applyFont="1" applyFill="1" applyAlignment="1" applyProtection="1">
      <alignment vertical="center"/>
    </xf>
    <xf numFmtId="164" fontId="7" fillId="0" borderId="0" xfId="3" applyNumberFormat="1" applyFont="1" applyFill="1" applyAlignment="1" applyProtection="1">
      <alignment vertical="center"/>
    </xf>
    <xf numFmtId="10" fontId="7" fillId="0" borderId="0" xfId="4" applyNumberFormat="1" applyFont="1" applyFill="1" applyAlignment="1" applyProtection="1">
      <alignment vertical="center"/>
    </xf>
    <xf numFmtId="0" fontId="12" fillId="0" borderId="0" xfId="0" applyFont="1" applyFill="1" applyAlignment="1" applyProtection="1">
      <alignment vertical="center"/>
    </xf>
    <xf numFmtId="0" fontId="15" fillId="0" borderId="0" xfId="0" applyFont="1" applyFill="1" applyAlignment="1" applyProtection="1">
      <alignment horizontal="left" vertical="center"/>
    </xf>
    <xf numFmtId="10" fontId="6" fillId="0" borderId="0" xfId="4" applyNumberFormat="1" applyFont="1" applyFill="1" applyAlignment="1" applyProtection="1">
      <alignment vertical="center"/>
    </xf>
    <xf numFmtId="0" fontId="13" fillId="0" borderId="0" xfId="0" applyFont="1" applyFill="1" applyAlignment="1" applyProtection="1">
      <alignment vertical="center"/>
    </xf>
    <xf numFmtId="0" fontId="9" fillId="0" borderId="0" xfId="0" applyFont="1" applyFill="1" applyAlignment="1" applyProtection="1">
      <alignment horizontal="left" vertical="center"/>
    </xf>
    <xf numFmtId="0" fontId="9" fillId="0" borderId="0" xfId="0" applyFont="1" applyFill="1" applyAlignment="1" applyProtection="1">
      <alignment vertical="center"/>
    </xf>
    <xf numFmtId="0" fontId="8" fillId="0" borderId="0" xfId="0" applyFont="1" applyFill="1" applyAlignment="1" applyProtection="1">
      <alignment horizontal="left" vertical="center" wrapText="1"/>
    </xf>
    <xf numFmtId="0" fontId="10" fillId="0" borderId="0" xfId="0" applyFont="1" applyFill="1" applyAlignment="1" applyProtection="1">
      <alignment horizontal="left" vertical="center"/>
    </xf>
    <xf numFmtId="164" fontId="7" fillId="0" borderId="0" xfId="3" applyNumberFormat="1" applyFont="1" applyFill="1" applyAlignment="1" applyProtection="1">
      <alignment horizontal="left" vertical="center"/>
    </xf>
    <xf numFmtId="0" fontId="2" fillId="0" borderId="0" xfId="0" applyFont="1" applyFill="1" applyAlignment="1" applyProtection="1">
      <alignment horizontal="left" vertical="center" readingOrder="1"/>
    </xf>
    <xf numFmtId="0" fontId="10" fillId="0" borderId="0" xfId="0" applyFont="1" applyFill="1" applyAlignment="1" applyProtection="1">
      <alignment vertical="center"/>
    </xf>
    <xf numFmtId="0" fontId="6" fillId="7" borderId="0" xfId="0" applyFont="1" applyFill="1" applyAlignment="1" applyProtection="1">
      <alignment vertical="center"/>
    </xf>
    <xf numFmtId="0" fontId="10" fillId="0" borderId="0" xfId="0" applyFont="1" applyFill="1" applyAlignment="1" applyProtection="1">
      <alignment horizontal="center" vertical="center"/>
    </xf>
    <xf numFmtId="0" fontId="6" fillId="0" borderId="0" xfId="0" applyFont="1" applyFill="1" applyAlignment="1" applyProtection="1">
      <alignment horizontal="center" vertical="center"/>
    </xf>
    <xf numFmtId="0" fontId="39" fillId="0" borderId="0" xfId="0" applyFont="1" applyFill="1" applyAlignment="1" applyProtection="1">
      <alignment vertical="center"/>
    </xf>
    <xf numFmtId="41" fontId="3" fillId="0" borderId="0" xfId="0" applyNumberFormat="1" applyFont="1" applyFill="1" applyAlignment="1" applyProtection="1">
      <alignment vertical="center"/>
    </xf>
    <xf numFmtId="164" fontId="6" fillId="0" borderId="0" xfId="3" applyNumberFormat="1" applyFont="1" applyFill="1" applyAlignment="1" applyProtection="1">
      <alignment vertical="center"/>
    </xf>
    <xf numFmtId="164" fontId="7" fillId="0" borderId="0" xfId="0" applyNumberFormat="1" applyFont="1" applyFill="1" applyAlignment="1" applyProtection="1">
      <alignment vertical="center"/>
    </xf>
    <xf numFmtId="164" fontId="10" fillId="0" borderId="0" xfId="3" applyNumberFormat="1" applyFont="1" applyFill="1" applyAlignment="1" applyProtection="1">
      <alignment vertical="center"/>
    </xf>
    <xf numFmtId="43" fontId="18" fillId="0" borderId="0" xfId="3" applyFont="1" applyFill="1" applyBorder="1" applyAlignment="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10" fillId="0" borderId="0" xfId="0" applyFont="1" applyFill="1" applyAlignment="1" applyProtection="1">
      <alignment horizontal="center" vertical="center"/>
    </xf>
    <xf numFmtId="0" fontId="42" fillId="7" borderId="0" xfId="0" applyFont="1" applyFill="1" applyAlignment="1" applyProtection="1">
      <alignment vertical="center"/>
    </xf>
    <xf numFmtId="0" fontId="43" fillId="7" borderId="0" xfId="0" applyFont="1" applyFill="1" applyAlignment="1" applyProtection="1">
      <alignment vertical="center"/>
    </xf>
    <xf numFmtId="41" fontId="43" fillId="7" borderId="0" xfId="0" applyNumberFormat="1" applyFont="1" applyFill="1" applyAlignment="1" applyProtection="1">
      <alignment vertical="center"/>
    </xf>
    <xf numFmtId="41" fontId="43" fillId="7" borderId="0" xfId="3" applyNumberFormat="1" applyFont="1" applyFill="1" applyAlignment="1" applyProtection="1">
      <alignment vertical="center"/>
    </xf>
    <xf numFmtId="41" fontId="43" fillId="7" borderId="0" xfId="4" applyNumberFormat="1" applyFont="1" applyFill="1" applyAlignment="1" applyProtection="1">
      <alignment vertical="center"/>
    </xf>
    <xf numFmtId="0" fontId="43" fillId="0" borderId="0" xfId="0" applyFont="1" applyFill="1" applyAlignment="1" applyProtection="1">
      <alignment vertical="center"/>
    </xf>
    <xf numFmtId="0" fontId="44" fillId="0" borderId="0" xfId="0" applyFont="1" applyFill="1" applyAlignment="1" applyProtection="1">
      <alignment vertical="center"/>
    </xf>
    <xf numFmtId="0" fontId="44" fillId="0" borderId="0" xfId="0" applyFont="1" applyFill="1" applyAlignment="1" applyProtection="1">
      <alignment horizontal="right" vertical="center"/>
    </xf>
    <xf numFmtId="41" fontId="44" fillId="0" borderId="0" xfId="0" applyNumberFormat="1"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7" fillId="0" borderId="0" xfId="0" applyFont="1" applyFill="1" applyAlignment="1" applyProtection="1">
      <alignment horizontal="center"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41" fontId="2" fillId="0" borderId="1" xfId="3" applyNumberFormat="1" applyFont="1" applyFill="1" applyBorder="1" applyAlignment="1" applyProtection="1">
      <alignment horizontal="center" vertical="center"/>
      <protection locked="0"/>
    </xf>
    <xf numFmtId="164" fontId="2" fillId="0" borderId="0" xfId="3" applyNumberFormat="1" applyFont="1" applyFill="1" applyAlignment="1" applyProtection="1">
      <alignment horizontal="center" vertical="center"/>
      <protection locked="0"/>
    </xf>
    <xf numFmtId="164" fontId="3" fillId="0" borderId="0" xfId="3" applyNumberFormat="1" applyFont="1" applyFill="1" applyBorder="1" applyAlignment="1" applyProtection="1">
      <alignment horizontal="center" vertical="center"/>
    </xf>
    <xf numFmtId="164" fontId="2" fillId="0" borderId="1" xfId="3" applyNumberFormat="1" applyFont="1" applyFill="1" applyBorder="1" applyAlignment="1" applyProtection="1">
      <alignment horizontal="center" vertical="center"/>
      <protection locked="0"/>
    </xf>
    <xf numFmtId="164" fontId="2" fillId="0" borderId="0" xfId="3" applyNumberFormat="1" applyFont="1" applyFill="1" applyBorder="1" applyAlignment="1" applyProtection="1">
      <alignment horizontal="center" vertical="center"/>
      <protection locked="0"/>
    </xf>
    <xf numFmtId="164" fontId="6" fillId="0" borderId="0" xfId="3" applyNumberFormat="1" applyFont="1" applyFill="1" applyAlignment="1" applyProtection="1">
      <alignment horizontal="center" vertical="center"/>
    </xf>
    <xf numFmtId="10" fontId="6" fillId="0" borderId="0" xfId="4" applyNumberFormat="1" applyFont="1" applyFill="1" applyAlignment="1" applyProtection="1">
      <alignment horizontal="center" vertical="center"/>
    </xf>
    <xf numFmtId="41" fontId="7" fillId="0" borderId="0" xfId="0" applyNumberFormat="1" applyFont="1" applyFill="1" applyAlignment="1" applyProtection="1">
      <alignment horizontal="center" vertical="center"/>
    </xf>
    <xf numFmtId="41" fontId="2" fillId="0" borderId="0" xfId="3" applyNumberFormat="1" applyFont="1" applyFill="1" applyBorder="1" applyAlignment="1" applyProtection="1">
      <alignment horizontal="center" vertical="center"/>
      <protection locked="0"/>
    </xf>
    <xf numFmtId="164" fontId="2" fillId="0" borderId="2" xfId="3" applyNumberFormat="1" applyFont="1" applyFill="1" applyBorder="1" applyAlignment="1" applyProtection="1">
      <alignment horizontal="center" vertical="center"/>
      <protection locked="0"/>
    </xf>
    <xf numFmtId="164" fontId="2" fillId="0" borderId="0" xfId="3" applyNumberFormat="1" applyFont="1" applyFill="1" applyAlignment="1" applyProtection="1">
      <alignment horizontal="center" vertical="center"/>
    </xf>
    <xf numFmtId="41" fontId="2" fillId="0" borderId="0" xfId="3" applyNumberFormat="1" applyFont="1" applyFill="1" applyBorder="1" applyAlignment="1" applyProtection="1">
      <alignment horizontal="center" vertical="center"/>
    </xf>
    <xf numFmtId="41" fontId="6" fillId="0" borderId="0" xfId="0" applyNumberFormat="1" applyFont="1" applyFill="1" applyAlignment="1" applyProtection="1">
      <alignment horizontal="center" vertical="center"/>
    </xf>
    <xf numFmtId="41" fontId="16" fillId="0" borderId="0" xfId="3" applyNumberFormat="1" applyFont="1" applyFill="1" applyBorder="1" applyAlignment="1" applyProtection="1">
      <alignment horizontal="center" vertical="center"/>
      <protection locked="0"/>
    </xf>
    <xf numFmtId="164" fontId="10" fillId="0" borderId="0" xfId="0" applyNumberFormat="1" applyFont="1" applyFill="1" applyAlignment="1" applyProtection="1">
      <alignment horizontal="center" vertical="center"/>
      <protection locked="0"/>
    </xf>
    <xf numFmtId="164" fontId="10" fillId="0" borderId="0" xfId="3" applyNumberFormat="1" applyFont="1" applyFill="1" applyAlignment="1" applyProtection="1">
      <alignment horizontal="center" vertical="center"/>
    </xf>
    <xf numFmtId="9" fontId="10" fillId="0" borderId="0" xfId="4" applyFont="1" applyFill="1" applyAlignment="1" applyProtection="1">
      <alignment horizontal="center" vertical="center"/>
    </xf>
    <xf numFmtId="41" fontId="43" fillId="0" borderId="0" xfId="0" applyNumberFormat="1" applyFont="1" applyFill="1" applyAlignment="1" applyProtection="1">
      <alignment horizontal="center"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41" fontId="18" fillId="0" borderId="0" xfId="0" applyNumberFormat="1" applyFont="1" applyFill="1" applyAlignment="1" applyProtection="1">
      <alignment vertical="center"/>
      <protection locked="0"/>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horizontal="left" vertical="center"/>
    </xf>
    <xf numFmtId="0" fontId="34"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horizontal="left" vertical="center"/>
    </xf>
    <xf numFmtId="168" fontId="7" fillId="0" borderId="0" xfId="0" applyNumberFormat="1" applyFont="1" applyFill="1" applyAlignment="1" applyProtection="1">
      <alignment vertical="center"/>
    </xf>
    <xf numFmtId="0" fontId="49" fillId="0" borderId="0" xfId="0" applyFont="1" applyFill="1" applyAlignment="1" applyProtection="1">
      <alignment vertical="center"/>
    </xf>
    <xf numFmtId="0" fontId="50" fillId="0" borderId="0" xfId="0" applyFont="1" applyFill="1" applyAlignment="1" applyProtection="1">
      <alignment vertical="center"/>
    </xf>
    <xf numFmtId="41" fontId="49" fillId="0" borderId="0" xfId="0" applyNumberFormat="1" applyFont="1" applyFill="1" applyAlignment="1" applyProtection="1">
      <alignment vertical="center"/>
    </xf>
    <xf numFmtId="41" fontId="49" fillId="6" borderId="0" xfId="0" applyNumberFormat="1" applyFont="1" applyFill="1" applyAlignment="1" applyProtection="1">
      <alignment vertical="center"/>
    </xf>
    <xf numFmtId="0" fontId="49" fillId="0" borderId="0" xfId="0" applyFont="1" applyFill="1" applyAlignment="1" applyProtection="1">
      <alignment horizontal="center" vertical="center"/>
    </xf>
    <xf numFmtId="0" fontId="51" fillId="0" borderId="0" xfId="0" applyFont="1" applyFill="1" applyAlignment="1" applyProtection="1">
      <alignment vertical="center"/>
    </xf>
    <xf numFmtId="0" fontId="52" fillId="0" borderId="0" xfId="0" applyFont="1" applyFill="1" applyAlignment="1" applyProtection="1">
      <alignment vertical="center"/>
    </xf>
    <xf numFmtId="41" fontId="51" fillId="0" borderId="0" xfId="0" applyNumberFormat="1" applyFont="1" applyFill="1" applyAlignment="1" applyProtection="1">
      <alignment vertical="center"/>
    </xf>
    <xf numFmtId="41" fontId="51" fillId="6" borderId="0" xfId="0" applyNumberFormat="1" applyFont="1" applyFill="1" applyAlignment="1" applyProtection="1">
      <alignment vertical="center"/>
    </xf>
    <xf numFmtId="0" fontId="51" fillId="0" borderId="0" xfId="0" applyFont="1" applyFill="1" applyAlignment="1" applyProtection="1">
      <alignment horizontal="center"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2" fillId="0" borderId="0" xfId="0" applyFont="1" applyFill="1" applyAlignment="1" applyProtection="1">
      <alignment vertical="center"/>
      <protection locked="0"/>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168" fontId="6" fillId="6" borderId="0" xfId="0" applyNumberFormat="1" applyFont="1" applyFill="1" applyAlignment="1" applyProtection="1">
      <alignment vertical="center"/>
      <protection locked="0"/>
    </xf>
    <xf numFmtId="168" fontId="6" fillId="0" borderId="0" xfId="0" applyNumberFormat="1" applyFont="1" applyFill="1" applyAlignment="1" applyProtection="1">
      <alignment vertical="center"/>
      <protection locked="0"/>
    </xf>
    <xf numFmtId="168" fontId="7" fillId="0" borderId="0" xfId="3" applyNumberFormat="1" applyFont="1" applyFill="1" applyAlignment="1" applyProtection="1">
      <alignment vertical="center"/>
    </xf>
    <xf numFmtId="168" fontId="10" fillId="0" borderId="0" xfId="4" applyNumberFormat="1" applyFont="1" applyFill="1" applyAlignment="1" applyProtection="1">
      <alignment vertical="center"/>
    </xf>
    <xf numFmtId="168" fontId="7" fillId="6" borderId="0" xfId="0" applyNumberFormat="1" applyFont="1" applyFill="1" applyAlignment="1" applyProtection="1">
      <alignment vertical="center"/>
      <protection locked="0"/>
    </xf>
    <xf numFmtId="168" fontId="7" fillId="0" borderId="0" xfId="0" applyNumberFormat="1" applyFont="1" applyFill="1" applyAlignment="1" applyProtection="1">
      <alignment vertical="center"/>
      <protection locked="0"/>
    </xf>
    <xf numFmtId="168" fontId="7" fillId="6" borderId="0" xfId="3" applyNumberFormat="1" applyFont="1" applyFill="1" applyAlignment="1" applyProtection="1">
      <alignment vertical="center"/>
      <protection locked="0"/>
    </xf>
    <xf numFmtId="168" fontId="7" fillId="0" borderId="0" xfId="3" applyNumberFormat="1" applyFont="1" applyFill="1" applyAlignment="1" applyProtection="1">
      <alignment vertical="center"/>
      <protection locked="0"/>
    </xf>
    <xf numFmtId="168" fontId="10" fillId="6" borderId="0" xfId="4" applyNumberFormat="1" applyFont="1" applyFill="1" applyAlignment="1" applyProtection="1">
      <alignment vertical="center"/>
      <protection locked="0"/>
    </xf>
    <xf numFmtId="168" fontId="10" fillId="0" borderId="0" xfId="4" applyNumberFormat="1" applyFont="1" applyFill="1" applyAlignment="1" applyProtection="1">
      <alignment vertical="center"/>
      <protection locked="0"/>
    </xf>
    <xf numFmtId="168" fontId="6" fillId="6" borderId="0" xfId="4" applyNumberFormat="1" applyFont="1" applyFill="1" applyAlignment="1" applyProtection="1">
      <alignment vertical="center"/>
      <protection locked="0"/>
    </xf>
    <xf numFmtId="168" fontId="6" fillId="0" borderId="0" xfId="4" applyNumberFormat="1" applyFont="1" applyFill="1" applyAlignment="1" applyProtection="1">
      <alignment vertical="center"/>
      <protection locked="0"/>
    </xf>
    <xf numFmtId="0" fontId="6" fillId="7" borderId="0" xfId="0" applyFont="1" applyFill="1" applyAlignment="1" applyProtection="1">
      <alignment vertical="center"/>
      <protection locked="0"/>
    </xf>
    <xf numFmtId="0" fontId="6" fillId="0" borderId="0" xfId="0" applyFont="1" applyFill="1" applyAlignment="1" applyProtection="1">
      <alignment vertical="center"/>
    </xf>
    <xf numFmtId="0" fontId="36" fillId="0" borderId="0" xfId="0" applyFont="1" applyFill="1" applyAlignment="1" applyProtection="1">
      <alignment horizontal="left" vertical="center" indent="1"/>
    </xf>
    <xf numFmtId="41" fontId="36" fillId="0" borderId="0" xfId="3" applyNumberFormat="1"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2" fillId="0" borderId="0" xfId="0" applyFont="1" applyFill="1" applyAlignment="1">
      <alignment vertical="center" wrapText="1"/>
    </xf>
    <xf numFmtId="0" fontId="45" fillId="0" borderId="0" xfId="0" applyFont="1" applyFill="1" applyAlignment="1" applyProtection="1">
      <alignment vertical="center"/>
      <protection locked="0"/>
    </xf>
    <xf numFmtId="0" fontId="43" fillId="0" borderId="0" xfId="0" applyFont="1" applyFill="1" applyAlignment="1" applyProtection="1">
      <alignment vertical="center"/>
      <protection locked="0"/>
    </xf>
    <xf numFmtId="0" fontId="3" fillId="0" borderId="0" xfId="0" applyFont="1" applyFill="1" applyAlignment="1" applyProtection="1">
      <alignment horizontal="right" vertical="center"/>
    </xf>
    <xf numFmtId="41" fontId="2" fillId="0" borderId="0" xfId="0" applyNumberFormat="1" applyFont="1" applyFill="1" applyAlignment="1" applyProtection="1">
      <alignment horizontal="center" vertical="center"/>
    </xf>
    <xf numFmtId="0" fontId="6" fillId="0" borderId="0" xfId="0" applyFont="1" applyFill="1" applyAlignment="1" applyProtection="1">
      <alignment horizontal="left" vertical="center"/>
    </xf>
    <xf numFmtId="0" fontId="39" fillId="0" borderId="0" xfId="0" applyFont="1" applyFill="1" applyAlignment="1" applyProtection="1">
      <alignment horizontal="center" vertical="center"/>
    </xf>
    <xf numFmtId="0" fontId="6" fillId="0" borderId="0" xfId="0" applyFont="1" applyFill="1" applyAlignment="1" applyProtection="1">
      <alignment vertical="center"/>
    </xf>
    <xf numFmtId="41" fontId="36" fillId="0" borderId="0" xfId="0" applyNumberFormat="1" applyFont="1" applyFill="1" applyAlignment="1" applyProtection="1">
      <alignment vertical="center"/>
    </xf>
    <xf numFmtId="0" fontId="26" fillId="0" borderId="0" xfId="0" applyFont="1" applyFill="1" applyAlignment="1" applyProtection="1">
      <alignment horizontal="left" vertical="center"/>
    </xf>
    <xf numFmtId="0" fontId="6" fillId="0" borderId="0" xfId="0" applyFont="1" applyFill="1" applyAlignment="1" applyProtection="1">
      <alignment vertical="center"/>
    </xf>
    <xf numFmtId="41" fontId="36" fillId="6" borderId="0" xfId="3" applyNumberFormat="1" applyFont="1" applyFill="1" applyAlignment="1" applyProtection="1">
      <alignment vertical="center"/>
    </xf>
    <xf numFmtId="41" fontId="44" fillId="6" borderId="0" xfId="0" applyNumberFormat="1" applyFont="1" applyFill="1" applyAlignment="1" applyProtection="1">
      <alignment vertical="center"/>
    </xf>
    <xf numFmtId="41" fontId="9" fillId="6" borderId="0" xfId="3" applyNumberFormat="1" applyFont="1" applyFill="1" applyAlignment="1" applyProtection="1">
      <alignment vertical="center"/>
    </xf>
    <xf numFmtId="0" fontId="6" fillId="7" borderId="0" xfId="0" applyFont="1" applyFill="1" applyAlignment="1" applyProtection="1">
      <alignment horizontal="center" vertical="center"/>
      <protection locked="0"/>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20" fillId="0" borderId="0" xfId="0" applyFont="1" applyFill="1" applyAlignment="1">
      <alignment vertical="center"/>
    </xf>
    <xf numFmtId="0" fontId="25" fillId="0" borderId="0" xfId="0" applyFont="1" applyFill="1" applyAlignment="1">
      <alignment vertical="center"/>
    </xf>
    <xf numFmtId="0" fontId="6" fillId="0" borderId="0" xfId="0" applyFont="1" applyFill="1" applyAlignment="1" applyProtection="1">
      <alignment horizontal="left" vertical="center"/>
    </xf>
    <xf numFmtId="0" fontId="2" fillId="0" borderId="0" xfId="1" applyFont="1" applyFill="1" applyAlignment="1">
      <alignment horizontal="left" vertical="center" indent="1"/>
    </xf>
    <xf numFmtId="0" fontId="2" fillId="0" borderId="0" xfId="0" applyFont="1" applyFill="1" applyAlignment="1">
      <alignment horizontal="left" vertical="center" indent="1"/>
    </xf>
    <xf numFmtId="0" fontId="2" fillId="0" borderId="0" xfId="0" applyFont="1" applyFill="1" applyAlignment="1" applyProtection="1">
      <alignment horizontal="left" vertical="center" indent="1"/>
    </xf>
    <xf numFmtId="0" fontId="2" fillId="0" borderId="0" xfId="0" applyFont="1" applyFill="1" applyBorder="1" applyAlignment="1" applyProtection="1">
      <alignment horizontal="left" vertical="center" indent="1"/>
    </xf>
    <xf numFmtId="0" fontId="2" fillId="0" borderId="0" xfId="1" applyFont="1" applyFill="1" applyBorder="1" applyAlignment="1">
      <alignment horizontal="left" vertical="center" indent="1"/>
    </xf>
    <xf numFmtId="0" fontId="6"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164" fontId="43" fillId="0" borderId="0" xfId="3" applyNumberFormat="1" applyFont="1" applyFill="1" applyAlignment="1" applyProtection="1">
      <alignment vertical="center"/>
    </xf>
    <xf numFmtId="0" fontId="43" fillId="0" borderId="0" xfId="0" applyFont="1" applyFill="1" applyAlignment="1" applyProtection="1">
      <alignment horizontal="center" vertical="center"/>
    </xf>
    <xf numFmtId="0" fontId="56" fillId="0" borderId="0" xfId="0" applyFont="1" applyFill="1" applyAlignment="1" applyProtection="1">
      <alignment vertical="center" textRotation="180"/>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13" fillId="0" borderId="0" xfId="0" applyFont="1" applyFill="1" applyAlignment="1" applyProtection="1">
      <alignment horizontal="center" vertical="center"/>
      <protection locked="0"/>
    </xf>
    <xf numFmtId="0" fontId="6" fillId="0" borderId="0" xfId="0" applyFont="1" applyFill="1" applyAlignment="1" applyProtection="1">
      <alignment vertical="center"/>
    </xf>
    <xf numFmtId="43" fontId="10" fillId="6" borderId="0" xfId="3" applyFont="1" applyFill="1" applyAlignment="1" applyProtection="1">
      <alignment vertical="center"/>
    </xf>
    <xf numFmtId="43" fontId="10" fillId="0" borderId="0" xfId="3" applyFont="1" applyFill="1" applyAlignment="1" applyProtection="1">
      <alignment vertical="center"/>
    </xf>
    <xf numFmtId="0" fontId="42" fillId="0" borderId="0" xfId="0" applyFont="1" applyFill="1" applyAlignment="1" applyProtection="1">
      <alignment vertical="center"/>
      <protection locked="0"/>
    </xf>
    <xf numFmtId="0" fontId="42" fillId="0" borderId="0" xfId="0" applyFont="1" applyFill="1" applyAlignment="1" applyProtection="1">
      <alignment horizontal="center" vertical="center"/>
      <protection locked="0"/>
    </xf>
    <xf numFmtId="164" fontId="45" fillId="0" borderId="0" xfId="3" applyNumberFormat="1" applyFont="1" applyFill="1" applyAlignment="1" applyProtection="1">
      <alignment vertical="center"/>
      <protection locked="0"/>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7" fillId="0" borderId="0" xfId="0" applyFont="1" applyFill="1" applyAlignment="1" applyProtection="1">
      <alignment horizontal="center" vertical="center"/>
    </xf>
    <xf numFmtId="0" fontId="48" fillId="0" borderId="0" xfId="0" applyFont="1" applyFill="1" applyAlignment="1" applyProtection="1">
      <alignment vertical="center"/>
      <protection locked="0"/>
    </xf>
    <xf numFmtId="41" fontId="24" fillId="0" borderId="0" xfId="0" applyNumberFormat="1" applyFont="1" applyFill="1" applyAlignment="1" applyProtection="1">
      <alignment vertical="center"/>
    </xf>
    <xf numFmtId="41" fontId="24" fillId="6" borderId="0" xfId="0" applyNumberFormat="1" applyFont="1" applyFill="1" applyAlignment="1" applyProtection="1">
      <alignment vertical="center"/>
    </xf>
    <xf numFmtId="41" fontId="2" fillId="6" borderId="0" xfId="0" applyNumberFormat="1"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Alignment="1" applyProtection="1">
      <alignment horizontal="center" vertical="center"/>
    </xf>
    <xf numFmtId="0" fontId="43" fillId="7" borderId="0" xfId="0" applyFont="1" applyFill="1" applyAlignment="1" applyProtection="1">
      <alignment horizontal="center" vertical="center"/>
    </xf>
    <xf numFmtId="0" fontId="6" fillId="0" borderId="0" xfId="0" applyFont="1" applyFill="1" applyAlignment="1" applyProtection="1">
      <alignment horizontal="center" vertical="center"/>
    </xf>
    <xf numFmtId="41" fontId="6" fillId="0" borderId="0" xfId="0" applyNumberFormat="1" applyFont="1" applyFill="1" applyAlignment="1" applyProtection="1">
      <alignment horizontal="center" vertical="center"/>
      <protection locked="0"/>
    </xf>
    <xf numFmtId="10" fontId="18" fillId="0" borderId="0" xfId="4" applyNumberFormat="1" applyFont="1" applyFill="1" applyAlignment="1" applyProtection="1">
      <alignment vertical="center"/>
      <protection locked="0"/>
    </xf>
    <xf numFmtId="43" fontId="18" fillId="0" borderId="0" xfId="3" applyFont="1" applyFill="1" applyAlignment="1" applyProtection="1">
      <alignment vertical="center"/>
      <protection locked="0"/>
    </xf>
    <xf numFmtId="0" fontId="6" fillId="0" borderId="0" xfId="0" applyFont="1" applyFill="1" applyAlignment="1" applyProtection="1">
      <alignment horizontal="lef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lignment vertical="center" wrapText="1"/>
    </xf>
    <xf numFmtId="0" fontId="6" fillId="0" borderId="0" xfId="0" applyFont="1" applyAlignment="1">
      <alignment vertical="center" wrapText="1"/>
    </xf>
    <xf numFmtId="0" fontId="6" fillId="0" borderId="0" xfId="0" applyFont="1" applyFill="1" applyAlignment="1" applyProtection="1">
      <alignment vertical="center"/>
    </xf>
    <xf numFmtId="0" fontId="6" fillId="0" borderId="0" xfId="0" applyFont="1" applyAlignment="1">
      <alignment vertical="center"/>
    </xf>
    <xf numFmtId="164" fontId="6" fillId="0" borderId="0" xfId="0" applyNumberFormat="1" applyFont="1" applyAlignment="1">
      <alignment vertical="center"/>
    </xf>
    <xf numFmtId="0" fontId="6" fillId="5" borderId="0" xfId="0" applyFont="1" applyFill="1" applyAlignment="1">
      <alignment vertical="center"/>
    </xf>
    <xf numFmtId="0" fontId="6" fillId="0" borderId="0" xfId="0" applyFont="1" applyFill="1" applyAlignment="1">
      <alignment vertical="center"/>
    </xf>
    <xf numFmtId="164" fontId="6" fillId="0" borderId="0" xfId="3" applyNumberFormat="1" applyFont="1" applyFill="1" applyAlignment="1">
      <alignment vertical="center" wrapText="1"/>
    </xf>
    <xf numFmtId="164" fontId="6" fillId="0" borderId="0" xfId="3" applyNumberFormat="1" applyFont="1" applyAlignment="1">
      <alignment vertical="center" wrapText="1"/>
    </xf>
    <xf numFmtId="0" fontId="6" fillId="0" borderId="0" xfId="0" applyFont="1" applyAlignment="1">
      <alignment horizontal="left" vertical="center" wrapText="1"/>
    </xf>
    <xf numFmtId="164" fontId="6" fillId="0" borderId="0" xfId="3" applyNumberFormat="1" applyFont="1" applyFill="1" applyAlignment="1">
      <alignment vertical="center"/>
    </xf>
    <xf numFmtId="164" fontId="6" fillId="0" borderId="0" xfId="3" applyNumberFormat="1" applyFont="1" applyAlignment="1">
      <alignmen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42" fillId="0" borderId="0" xfId="0" applyFont="1" applyFill="1" applyBorder="1" applyAlignment="1" applyProtection="1">
      <alignment horizontal="center" vertical="center"/>
      <protection locked="0"/>
    </xf>
    <xf numFmtId="0" fontId="44" fillId="0" borderId="0" xfId="0" applyFont="1" applyFill="1" applyAlignment="1" applyProtection="1">
      <alignment vertical="center"/>
      <protection locked="0"/>
    </xf>
    <xf numFmtId="164" fontId="43" fillId="0" borderId="0" xfId="3" applyNumberFormat="1" applyFont="1" applyFill="1" applyAlignment="1" applyProtection="1">
      <alignment vertical="center"/>
      <protection locked="0"/>
    </xf>
    <xf numFmtId="43" fontId="57" fillId="0" borderId="0" xfId="3" applyFont="1" applyFill="1" applyAlignment="1" applyProtection="1">
      <alignment vertical="center"/>
      <protection locked="0"/>
    </xf>
    <xf numFmtId="164" fontId="44" fillId="0" borderId="0" xfId="0" applyNumberFormat="1" applyFont="1" applyFill="1" applyAlignment="1" applyProtection="1">
      <alignment vertical="center"/>
    </xf>
    <xf numFmtId="43" fontId="43" fillId="0" borderId="0" xfId="3" applyFont="1" applyFill="1" applyAlignment="1" applyProtection="1">
      <alignment vertical="center"/>
      <protection locked="0"/>
    </xf>
    <xf numFmtId="164" fontId="47" fillId="0" borderId="0" xfId="3" applyNumberFormat="1" applyFont="1" applyFill="1" applyAlignment="1" applyProtection="1">
      <alignment vertical="center"/>
      <protection locked="0"/>
    </xf>
    <xf numFmtId="164" fontId="44" fillId="0" borderId="0" xfId="3" applyNumberFormat="1" applyFont="1" applyFill="1" applyAlignment="1" applyProtection="1">
      <alignment vertical="center"/>
    </xf>
    <xf numFmtId="10" fontId="45" fillId="0" borderId="0" xfId="4" applyNumberFormat="1"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41" fontId="16" fillId="0" borderId="0" xfId="0" applyNumberFormat="1" applyFont="1" applyFill="1" applyAlignment="1" applyProtection="1">
      <alignment vertical="center"/>
    </xf>
    <xf numFmtId="41" fontId="16" fillId="6" borderId="0" xfId="0" applyNumberFormat="1" applyFont="1" applyFill="1" applyAlignment="1" applyProtection="1">
      <alignment vertical="center"/>
      <protection locked="0"/>
    </xf>
    <xf numFmtId="41" fontId="16" fillId="0" borderId="0" xfId="0" applyNumberFormat="1" applyFont="1" applyFill="1" applyAlignment="1" applyProtection="1">
      <alignment vertical="center"/>
      <protection locked="0"/>
    </xf>
    <xf numFmtId="0" fontId="7" fillId="0" borderId="0" xfId="0" applyFont="1" applyFill="1" applyAlignment="1" applyProtection="1">
      <alignment horizontal="center" vertical="center"/>
    </xf>
    <xf numFmtId="0" fontId="43" fillId="7" borderId="0" xfId="0" applyFont="1" applyFill="1" applyAlignment="1" applyProtection="1">
      <alignment horizontal="center" vertical="center"/>
    </xf>
    <xf numFmtId="0" fontId="6" fillId="0" borderId="0" xfId="0" applyFont="1" applyFill="1" applyAlignment="1" applyProtection="1">
      <alignment vertical="center"/>
    </xf>
    <xf numFmtId="0" fontId="3" fillId="0" borderId="0" xfId="0" applyFont="1" applyFill="1" applyAlignment="1" applyProtection="1">
      <alignment horizontal="center" vertical="center"/>
    </xf>
    <xf numFmtId="41" fontId="43" fillId="0" borderId="0" xfId="0" applyNumberFormat="1" applyFont="1" applyFill="1" applyAlignment="1" applyProtection="1">
      <alignment vertical="center"/>
    </xf>
    <xf numFmtId="0" fontId="55"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168" fontId="44" fillId="0" borderId="0" xfId="3" applyNumberFormat="1" applyFont="1" applyFill="1" applyAlignment="1" applyProtection="1">
      <alignment vertical="center"/>
    </xf>
    <xf numFmtId="41" fontId="43" fillId="0" borderId="0" xfId="3" applyNumberFormat="1" applyFont="1" applyFill="1" applyAlignment="1" applyProtection="1">
      <alignment vertical="center"/>
      <protection locked="0"/>
    </xf>
    <xf numFmtId="0" fontId="43" fillId="0" borderId="0" xfId="0" applyFont="1" applyFill="1" applyAlignment="1" applyProtection="1">
      <alignment horizontal="center" vertical="center"/>
      <protection locked="0"/>
    </xf>
    <xf numFmtId="0" fontId="55" fillId="0" borderId="0" xfId="0" applyFont="1" applyFill="1" applyAlignment="1" applyProtection="1">
      <alignment vertical="center"/>
      <protection locked="0"/>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center"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horizontal="lef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41" fontId="2" fillId="6" borderId="1" xfId="3" applyNumberFormat="1" applyFont="1" applyFill="1" applyBorder="1" applyAlignment="1" applyProtection="1">
      <alignment vertical="center"/>
    </xf>
    <xf numFmtId="168" fontId="44" fillId="6" borderId="0" xfId="3" applyNumberFormat="1" applyFont="1" applyFill="1" applyAlignment="1" applyProtection="1">
      <alignment vertical="center"/>
    </xf>
    <xf numFmtId="0" fontId="6" fillId="0" borderId="0" xfId="0" applyFont="1" applyFill="1" applyAlignment="1" applyProtection="1">
      <alignment horizontal="left" vertical="center"/>
    </xf>
    <xf numFmtId="0" fontId="18" fillId="0" borderId="0" xfId="0" applyFont="1" applyFill="1" applyAlignment="1" applyProtection="1">
      <alignment horizontal="center" vertical="center"/>
      <protection locked="0"/>
    </xf>
    <xf numFmtId="0" fontId="24" fillId="0" borderId="0" xfId="0" applyFont="1" applyFill="1" applyAlignment="1" applyProtection="1">
      <alignment vertical="center"/>
      <protection locked="0"/>
    </xf>
    <xf numFmtId="0" fontId="2" fillId="0" borderId="0" xfId="0" applyFont="1" applyFill="1" applyAlignment="1" applyProtection="1">
      <alignment horizontal="center" vertical="center"/>
      <protection locked="0"/>
    </xf>
    <xf numFmtId="10" fontId="18" fillId="0" borderId="0" xfId="4" applyNumberFormat="1" applyFont="1" applyFill="1" applyAlignment="1" applyProtection="1">
      <alignment horizontal="center" vertical="center"/>
      <protection locked="0"/>
    </xf>
    <xf numFmtId="0" fontId="39" fillId="0" borderId="0" xfId="0" applyFont="1" applyFill="1" applyAlignment="1" applyProtection="1">
      <alignment horizontal="center" vertical="center"/>
    </xf>
    <xf numFmtId="0" fontId="6" fillId="0" borderId="0" xfId="0" applyFont="1" applyFill="1" applyAlignment="1" applyProtection="1">
      <alignment horizontal="center"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42" fillId="7" borderId="0" xfId="0" applyFont="1" applyFill="1" applyAlignment="1" applyProtection="1">
      <alignment horizontal="center" vertical="center"/>
    </xf>
    <xf numFmtId="0" fontId="6" fillId="0" borderId="0" xfId="0" applyFont="1" applyFill="1" applyAlignment="1" applyProtection="1">
      <alignment vertical="center"/>
    </xf>
    <xf numFmtId="0" fontId="39" fillId="0" borderId="0" xfId="0" applyFont="1" applyFill="1" applyAlignment="1" applyProtection="1">
      <alignment horizontal="center" vertical="center"/>
    </xf>
    <xf numFmtId="0" fontId="6" fillId="0" borderId="0" xfId="0" applyFont="1" applyFill="1" applyAlignment="1" applyProtection="1">
      <alignment horizontal="center" vertical="center"/>
    </xf>
    <xf numFmtId="41" fontId="32" fillId="0" borderId="0" xfId="0" applyNumberFormat="1" applyFont="1" applyFill="1" applyAlignment="1" applyProtection="1">
      <alignment vertical="center"/>
    </xf>
    <xf numFmtId="0" fontId="36" fillId="0" borderId="0" xfId="0" applyFont="1" applyFill="1" applyAlignment="1" applyProtection="1">
      <alignment horizontal="center" vertical="center"/>
    </xf>
    <xf numFmtId="0" fontId="6"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7" fillId="0" borderId="0" xfId="0" applyFont="1" applyFill="1" applyAlignment="1" applyProtection="1">
      <alignment horizontal="center" vertical="center"/>
    </xf>
    <xf numFmtId="0" fontId="6" fillId="0" borderId="0" xfId="0" applyFont="1" applyFill="1" applyAlignment="1" applyProtection="1">
      <alignment horizontal="right" vertical="center"/>
    </xf>
    <xf numFmtId="0" fontId="6" fillId="0" borderId="0" xfId="0" applyFont="1" applyFill="1" applyAlignment="1" applyProtection="1">
      <alignment horizontal="center" vertical="center"/>
    </xf>
    <xf numFmtId="0" fontId="6" fillId="0" borderId="0" xfId="0" applyFont="1" applyFill="1" applyAlignment="1" applyProtection="1">
      <alignment vertical="center"/>
    </xf>
    <xf numFmtId="0" fontId="9" fillId="0" borderId="0" xfId="0" applyFont="1" applyFill="1" applyAlignment="1" applyProtection="1">
      <alignment horizontal="right" vertical="center"/>
    </xf>
    <xf numFmtId="164" fontId="9" fillId="0" borderId="0" xfId="3" applyNumberFormat="1" applyFont="1" applyFill="1" applyAlignment="1" applyProtection="1">
      <alignment vertical="center"/>
    </xf>
    <xf numFmtId="164" fontId="9" fillId="6" borderId="0" xfId="3" applyNumberFormat="1" applyFont="1" applyFill="1" applyAlignment="1" applyProtection="1">
      <alignment vertical="center"/>
    </xf>
    <xf numFmtId="0" fontId="6" fillId="0" borderId="0" xfId="0" applyFont="1" applyFill="1" applyAlignment="1" applyProtection="1">
      <alignment vertical="center"/>
    </xf>
    <xf numFmtId="0" fontId="26" fillId="0" borderId="0" xfId="0" applyFont="1" applyFill="1" applyBorder="1" applyAlignment="1" applyProtection="1">
      <alignment horizontal="center" vertical="center"/>
    </xf>
    <xf numFmtId="164" fontId="6" fillId="0" borderId="0" xfId="0" applyNumberFormat="1" applyFont="1" applyFill="1" applyAlignment="1" applyProtection="1">
      <alignment vertical="center"/>
      <protection locked="0"/>
    </xf>
    <xf numFmtId="0" fontId="6" fillId="0" borderId="0" xfId="0" applyFont="1" applyFill="1" applyAlignment="1" applyProtection="1">
      <alignment vertical="center"/>
    </xf>
    <xf numFmtId="0" fontId="39" fillId="0" borderId="0" xfId="0" applyFont="1" applyFill="1" applyAlignment="1" applyProtection="1">
      <alignment horizontal="center" vertical="center"/>
    </xf>
    <xf numFmtId="0" fontId="6" fillId="0" borderId="0" xfId="0" applyFont="1" applyFill="1" applyAlignment="1" applyProtection="1">
      <alignment vertical="center"/>
    </xf>
    <xf numFmtId="0" fontId="6" fillId="0" borderId="0" xfId="0" applyFont="1" applyFill="1" applyAlignment="1" applyProtection="1">
      <alignment horizontal="center" vertical="center"/>
    </xf>
    <xf numFmtId="41" fontId="43" fillId="6" borderId="0" xfId="0" applyNumberFormat="1" applyFont="1" applyFill="1" applyAlignment="1" applyProtection="1">
      <alignment vertical="center"/>
    </xf>
    <xf numFmtId="41" fontId="16" fillId="6" borderId="0" xfId="0" applyNumberFormat="1"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center" vertical="center"/>
    </xf>
    <xf numFmtId="0" fontId="60" fillId="0" borderId="0" xfId="0" applyFont="1" applyFill="1" applyAlignment="1" applyProtection="1">
      <alignment horizontal="center" vertical="center"/>
      <protection locked="0"/>
    </xf>
    <xf numFmtId="0" fontId="6" fillId="0" borderId="0" xfId="0" applyFont="1" applyFill="1" applyAlignment="1" applyProtection="1">
      <alignment horizontal="left" vertical="center"/>
    </xf>
    <xf numFmtId="0" fontId="6" fillId="0" borderId="0" xfId="0" applyFont="1" applyFill="1" applyAlignment="1" applyProtection="1">
      <alignment horizontal="left" vertical="center"/>
    </xf>
    <xf numFmtId="10" fontId="6" fillId="0" borderId="0" xfId="4" applyNumberFormat="1" applyFont="1" applyFill="1" applyAlignment="1" applyProtection="1">
      <alignment vertical="center"/>
      <protection locked="0"/>
    </xf>
    <xf numFmtId="0" fontId="6" fillId="0" borderId="0" xfId="0" applyFont="1" applyFill="1" applyAlignment="1" applyProtection="1">
      <alignment horizontal="left" vertical="center"/>
    </xf>
    <xf numFmtId="0" fontId="6" fillId="0" borderId="0" xfId="0" applyFont="1" applyFill="1" applyAlignment="1" applyProtection="1">
      <alignment horizontal="lef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13" fillId="0" borderId="0" xfId="0" applyFont="1" applyFill="1" applyAlignment="1" applyProtection="1">
      <alignment horizontal="center" vertical="center"/>
      <protection locked="0"/>
    </xf>
    <xf numFmtId="0" fontId="6" fillId="0" borderId="0" xfId="0" applyFont="1" applyFill="1" applyAlignment="1" applyProtection="1">
      <alignment vertical="center"/>
    </xf>
    <xf numFmtId="164" fontId="6" fillId="6" borderId="0" xfId="3" applyNumberFormat="1" applyFont="1" applyFill="1" applyAlignment="1" applyProtection="1">
      <alignment vertical="center"/>
      <protection locked="0"/>
    </xf>
    <xf numFmtId="43" fontId="45" fillId="0" borderId="0" xfId="3" applyFont="1" applyFill="1" applyAlignment="1" applyProtection="1">
      <alignment vertical="center"/>
      <protection locked="0"/>
    </xf>
    <xf numFmtId="41" fontId="45" fillId="0" borderId="1" xfId="3" applyNumberFormat="1" applyFont="1" applyFill="1" applyBorder="1" applyAlignment="1" applyProtection="1">
      <alignment vertical="center"/>
      <protection locked="0"/>
    </xf>
    <xf numFmtId="0" fontId="6"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10" fontId="2" fillId="0" borderId="0" xfId="4" applyNumberFormat="1" applyFont="1" applyFill="1" applyAlignment="1" applyProtection="1">
      <alignment vertical="center"/>
      <protection locked="0"/>
    </xf>
    <xf numFmtId="0" fontId="6" fillId="0" borderId="0" xfId="0" applyFont="1" applyFill="1" applyAlignment="1" applyProtection="1">
      <alignment vertical="center"/>
    </xf>
    <xf numFmtId="0" fontId="6" fillId="0" borderId="0" xfId="0" applyFont="1" applyFill="1" applyAlignment="1" applyProtection="1">
      <alignment horizontal="right" vertical="center"/>
    </xf>
    <xf numFmtId="164" fontId="17" fillId="0" borderId="0" xfId="3" applyNumberFormat="1" applyFont="1" applyFill="1" applyAlignment="1" applyProtection="1">
      <alignment vertical="center"/>
    </xf>
    <xf numFmtId="164" fontId="17" fillId="6" borderId="0" xfId="3" applyNumberFormat="1" applyFont="1" applyFill="1" applyAlignment="1" applyProtection="1">
      <alignment vertical="center"/>
    </xf>
    <xf numFmtId="164" fontId="6" fillId="6" borderId="0" xfId="3" applyNumberFormat="1" applyFont="1" applyFill="1" applyAlignment="1" applyProtection="1">
      <alignment vertical="center"/>
    </xf>
    <xf numFmtId="164" fontId="7" fillId="6" borderId="0" xfId="3" applyNumberFormat="1" applyFont="1" applyFill="1" applyAlignment="1" applyProtection="1">
      <alignment vertical="center"/>
    </xf>
    <xf numFmtId="10" fontId="6" fillId="6" borderId="0" xfId="4" applyNumberFormat="1" applyFont="1" applyFill="1" applyAlignment="1" applyProtection="1">
      <alignment vertical="center"/>
    </xf>
    <xf numFmtId="43" fontId="6" fillId="0" borderId="0" xfId="3" applyFont="1" applyFill="1" applyAlignment="1" applyProtection="1">
      <alignment vertical="center"/>
    </xf>
    <xf numFmtId="10" fontId="7" fillId="6" borderId="0" xfId="4" applyNumberFormat="1"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13" fillId="0" borderId="0" xfId="0" applyFont="1" applyFill="1" applyAlignment="1" applyProtection="1">
      <alignment horizontal="center" vertical="center"/>
      <protection locked="0"/>
    </xf>
    <xf numFmtId="0" fontId="6" fillId="0" borderId="0" xfId="0" applyFont="1" applyFill="1" applyAlignment="1" applyProtection="1">
      <alignment horizontal="left" vertical="center"/>
    </xf>
    <xf numFmtId="0" fontId="2"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2" fillId="0" borderId="0" xfId="0" applyFont="1" applyFill="1" applyAlignment="1" applyProtection="1">
      <alignment horizontal="lef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14" fontId="6" fillId="0" borderId="0" xfId="0" applyNumberFormat="1" applyFont="1" applyFill="1" applyAlignment="1" applyProtection="1">
      <alignment vertical="center"/>
      <protection locked="0"/>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horizontal="left" vertical="center"/>
    </xf>
    <xf numFmtId="41" fontId="17" fillId="0" borderId="0" xfId="3" applyNumberFormat="1" applyFont="1" applyFill="1" applyAlignment="1" applyProtection="1">
      <alignment horizontal="right" vertical="center"/>
      <protection locked="0"/>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41" fontId="44" fillId="0" borderId="0" xfId="3" applyNumberFormat="1"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167" fontId="10" fillId="0" borderId="0" xfId="5" applyNumberFormat="1" applyFont="1" applyFill="1" applyAlignment="1" applyProtection="1">
      <alignment vertical="center"/>
      <protection locked="0"/>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2" fillId="0" borderId="0" xfId="0" applyFont="1" applyFill="1" applyAlignment="1" applyProtection="1">
      <alignment horizontal="left" vertical="center"/>
    </xf>
    <xf numFmtId="0" fontId="6" fillId="0" borderId="0" xfId="0" applyFont="1" applyFill="1" applyAlignment="1" applyProtection="1">
      <alignment horizontal="left" vertical="center"/>
    </xf>
    <xf numFmtId="0" fontId="2" fillId="0" borderId="0" xfId="0" applyFont="1" applyFill="1" applyAlignment="1" applyProtection="1">
      <alignment horizontal="lef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39" fillId="0" borderId="0" xfId="0" applyFont="1" applyFill="1" applyAlignment="1" applyProtection="1">
      <alignment horizontal="center"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41" fontId="44" fillId="6" borderId="0" xfId="3" applyNumberFormat="1"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164" fontId="17" fillId="0" borderId="0" xfId="0" applyNumberFormat="1" applyFont="1" applyAlignment="1">
      <alignment vertical="center"/>
    </xf>
    <xf numFmtId="10" fontId="6" fillId="0" borderId="0" xfId="4" applyNumberFormat="1" applyFont="1" applyAlignment="1">
      <alignment vertical="center"/>
    </xf>
    <xf numFmtId="10" fontId="6" fillId="0" borderId="0" xfId="0" applyNumberFormat="1" applyFont="1" applyAlignment="1">
      <alignment vertical="center"/>
    </xf>
    <xf numFmtId="10" fontId="15" fillId="0" borderId="0" xfId="4" applyNumberFormat="1" applyFont="1" applyAlignment="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41" fontId="16" fillId="0" borderId="0" xfId="3" applyNumberFormat="1" applyFont="1" applyFill="1" applyAlignment="1" applyProtection="1">
      <alignment horizontal="right" vertical="center"/>
      <protection locked="0"/>
    </xf>
    <xf numFmtId="10" fontId="9" fillId="0" borderId="0" xfId="4" applyNumberFormat="1" applyFont="1" applyFill="1" applyAlignment="1" applyProtection="1">
      <alignment vertical="center"/>
    </xf>
    <xf numFmtId="10" fontId="9" fillId="6" borderId="0" xfId="4" applyNumberFormat="1"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9" fontId="10" fillId="0" borderId="0" xfId="4" applyFont="1" applyFill="1" applyAlignment="1" applyProtection="1">
      <alignment vertical="center"/>
      <protection locked="0"/>
    </xf>
    <xf numFmtId="0" fontId="29" fillId="0" borderId="0" xfId="0" applyFont="1" applyFill="1" applyBorder="1" applyAlignment="1" applyProtection="1">
      <alignment horizontal="left" vertical="center" indent="1"/>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3" fillId="0" borderId="4" xfId="0" applyFont="1" applyFill="1" applyBorder="1" applyAlignment="1" applyProtection="1">
      <alignment horizontal="center"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13" fillId="0" borderId="0" xfId="0" applyFont="1" applyFill="1" applyAlignment="1" applyProtection="1">
      <alignment horizontal="center" vertical="center"/>
      <protection locked="0"/>
    </xf>
    <xf numFmtId="0" fontId="6"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Border="1" applyAlignment="1">
      <alignment vertical="center"/>
    </xf>
    <xf numFmtId="0" fontId="29" fillId="0" borderId="0" xfId="1" applyFont="1" applyFill="1" applyBorder="1" applyAlignment="1">
      <alignment horizontal="left" vertical="center" indent="1"/>
    </xf>
    <xf numFmtId="0" fontId="7" fillId="0" borderId="0" xfId="0" applyFont="1" applyBorder="1" applyAlignment="1">
      <alignment vertical="center"/>
    </xf>
    <xf numFmtId="164" fontId="6" fillId="0" borderId="0" xfId="0" applyNumberFormat="1" applyFont="1" applyBorder="1" applyAlignment="1">
      <alignment vertical="center"/>
    </xf>
    <xf numFmtId="10" fontId="10" fillId="0" borderId="0" xfId="4" applyNumberFormat="1" applyFont="1" applyBorder="1" applyAlignment="1">
      <alignment vertical="center"/>
    </xf>
    <xf numFmtId="0" fontId="29" fillId="0" borderId="0" xfId="0" applyFont="1" applyFill="1" applyBorder="1" applyAlignment="1">
      <alignment horizontal="left" vertical="center" indent="1"/>
    </xf>
    <xf numFmtId="164" fontId="17" fillId="0" borderId="0" xfId="0" applyNumberFormat="1" applyFont="1" applyBorder="1" applyAlignment="1">
      <alignment vertical="center"/>
    </xf>
    <xf numFmtId="0" fontId="2" fillId="0" borderId="0" xfId="0" applyFont="1" applyFill="1" applyBorder="1" applyAlignment="1">
      <alignment horizontal="left" vertical="center" indent="1"/>
    </xf>
    <xf numFmtId="10" fontId="6" fillId="0" borderId="0" xfId="4" applyNumberFormat="1" applyFont="1" applyBorder="1" applyAlignment="1">
      <alignment vertical="center"/>
    </xf>
    <xf numFmtId="10" fontId="15" fillId="0" borderId="0" xfId="4" applyNumberFormat="1" applyFont="1" applyBorder="1" applyAlignment="1">
      <alignment vertical="center"/>
    </xf>
    <xf numFmtId="10" fontId="6" fillId="0" borderId="0" xfId="0" applyNumberFormat="1" applyFont="1" applyBorder="1" applyAlignment="1">
      <alignment vertical="center"/>
    </xf>
    <xf numFmtId="0" fontId="48" fillId="0" borderId="0" xfId="0" applyFont="1" applyFill="1" applyAlignment="1" applyProtection="1">
      <alignment vertical="center"/>
    </xf>
    <xf numFmtId="41" fontId="43" fillId="0" borderId="0" xfId="0" applyNumberFormat="1" applyFont="1" applyFill="1" applyAlignment="1" applyProtection="1">
      <alignment vertical="center"/>
      <protection locked="0"/>
    </xf>
    <xf numFmtId="0" fontId="13" fillId="0" borderId="0" xfId="0" applyFont="1" applyFill="1" applyAlignment="1" applyProtection="1">
      <alignment vertical="center"/>
      <protection locked="0"/>
    </xf>
    <xf numFmtId="43" fontId="44" fillId="0" borderId="0" xfId="3" applyFont="1" applyFill="1" applyAlignment="1" applyProtection="1">
      <alignment vertical="center"/>
      <protection locked="0"/>
    </xf>
    <xf numFmtId="1" fontId="48" fillId="0" borderId="0" xfId="0" applyNumberFormat="1" applyFont="1" applyFill="1" applyBorder="1" applyAlignment="1" applyProtection="1">
      <alignment horizontal="center" vertical="center"/>
    </xf>
    <xf numFmtId="0" fontId="53" fillId="0" borderId="0" xfId="0" applyFont="1" applyFill="1" applyAlignment="1" applyProtection="1">
      <alignment vertical="center"/>
      <protection locked="0"/>
    </xf>
    <xf numFmtId="43" fontId="47" fillId="0" borderId="0" xfId="3" applyFont="1" applyFill="1" applyAlignment="1" applyProtection="1">
      <alignment vertical="center"/>
      <protection locked="0"/>
    </xf>
    <xf numFmtId="43" fontId="43" fillId="0" borderId="0" xfId="0" applyNumberFormat="1" applyFont="1" applyFill="1" applyAlignment="1" applyProtection="1">
      <alignment vertical="center"/>
      <protection locked="0"/>
    </xf>
    <xf numFmtId="43" fontId="54" fillId="0" borderId="0" xfId="0" applyNumberFormat="1" applyFont="1" applyFill="1" applyAlignment="1" applyProtection="1">
      <alignment vertical="center"/>
      <protection locked="0"/>
    </xf>
    <xf numFmtId="0" fontId="55" fillId="0" borderId="0" xfId="0" applyFont="1" applyFill="1" applyAlignment="1" applyProtection="1">
      <alignment horizontal="center" vertical="center"/>
      <protection locked="0"/>
    </xf>
    <xf numFmtId="164" fontId="45" fillId="0" borderId="0" xfId="3" applyNumberFormat="1" applyFont="1" applyFill="1" applyAlignment="1" applyProtection="1">
      <alignment horizontal="center" vertical="center"/>
      <protection locked="0"/>
    </xf>
    <xf numFmtId="0" fontId="45" fillId="0" borderId="0" xfId="0" applyFont="1" applyFill="1" applyAlignment="1" applyProtection="1">
      <alignment horizontal="center" vertical="center"/>
      <protection locked="0"/>
    </xf>
    <xf numFmtId="164" fontId="55" fillId="0" borderId="0" xfId="0" applyNumberFormat="1"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14" fontId="45" fillId="0" borderId="0" xfId="0" applyNumberFormat="1" applyFont="1" applyFill="1" applyAlignment="1" applyProtection="1">
      <alignment horizontal="center" vertical="center"/>
      <protection locked="0"/>
    </xf>
    <xf numFmtId="10" fontId="43" fillId="0" borderId="0" xfId="4" applyNumberFormat="1" applyFont="1" applyFill="1" applyAlignment="1" applyProtection="1">
      <alignment vertical="center"/>
      <protection locked="0"/>
    </xf>
    <xf numFmtId="0" fontId="42" fillId="0" borderId="0" xfId="0" applyFont="1" applyFill="1" applyAlignment="1" applyProtection="1">
      <alignment vertical="center"/>
    </xf>
    <xf numFmtId="0" fontId="42" fillId="0" borderId="0" xfId="0" applyFont="1" applyFill="1" applyAlignment="1" applyProtection="1">
      <alignment horizontal="center" vertical="center"/>
    </xf>
    <xf numFmtId="0" fontId="59" fillId="0" borderId="0" xfId="0" applyFont="1" applyFill="1" applyAlignment="1" applyProtection="1">
      <alignment vertical="center"/>
    </xf>
    <xf numFmtId="164" fontId="43" fillId="0" borderId="0" xfId="0" applyNumberFormat="1" applyFont="1" applyFill="1" applyAlignment="1" applyProtection="1">
      <alignment vertical="center"/>
    </xf>
    <xf numFmtId="164" fontId="59" fillId="0" borderId="0" xfId="0" applyNumberFormat="1" applyFont="1" applyFill="1" applyAlignment="1" applyProtection="1">
      <alignment vertical="center"/>
    </xf>
    <xf numFmtId="10" fontId="6" fillId="0" borderId="0" xfId="0" applyNumberFormat="1" applyFont="1" applyFill="1" applyAlignment="1" applyProtection="1">
      <alignment vertical="center"/>
    </xf>
    <xf numFmtId="43" fontId="47" fillId="0" borderId="0" xfId="3" applyFont="1" applyFill="1" applyBorder="1" applyAlignment="1" applyProtection="1">
      <alignment vertical="center"/>
      <protection locked="0"/>
    </xf>
    <xf numFmtId="169" fontId="45" fillId="0" borderId="0" xfId="4" applyNumberFormat="1" applyFont="1" applyFill="1" applyAlignment="1" applyProtection="1">
      <alignment horizontal="center" vertical="center"/>
      <protection locked="0"/>
    </xf>
    <xf numFmtId="10" fontId="45" fillId="0" borderId="0" xfId="4" applyNumberFormat="1" applyFont="1" applyFill="1" applyAlignment="1" applyProtection="1">
      <alignment horizontal="center" vertical="center"/>
      <protection locked="0"/>
    </xf>
    <xf numFmtId="10" fontId="45" fillId="0" borderId="0" xfId="4" applyNumberFormat="1" applyFont="1" applyFill="1" applyAlignment="1" applyProtection="1">
      <alignment vertical="center"/>
      <protection locked="0"/>
    </xf>
    <xf numFmtId="0" fontId="20" fillId="0" borderId="0" xfId="0" applyFont="1" applyFill="1" applyAlignment="1">
      <alignment horizontal="center" vertical="center"/>
    </xf>
    <xf numFmtId="0" fontId="25" fillId="0" borderId="0" xfId="0" applyFont="1" applyFill="1" applyAlignment="1">
      <alignment horizontal="center" vertical="center"/>
    </xf>
    <xf numFmtId="0" fontId="2" fillId="0" borderId="0" xfId="0" applyFont="1" applyFill="1" applyBorder="1" applyAlignment="1">
      <alignment vertical="center" wrapText="1"/>
    </xf>
    <xf numFmtId="0" fontId="20" fillId="0" borderId="0" xfId="0" applyFont="1" applyFill="1" applyBorder="1" applyAlignment="1">
      <alignment horizontal="center" vertical="center" wrapText="1"/>
    </xf>
    <xf numFmtId="0" fontId="20" fillId="0" borderId="0" xfId="0" applyFont="1" applyFill="1" applyAlignment="1">
      <alignment horizontal="center" vertical="center" wrapText="1"/>
    </xf>
    <xf numFmtId="0" fontId="22" fillId="0" borderId="0" xfId="0" applyFont="1" applyAlignment="1">
      <alignment vertical="center" wrapText="1"/>
    </xf>
    <xf numFmtId="0" fontId="6" fillId="0" borderId="0" xfId="0" applyFont="1" applyBorder="1" applyAlignment="1">
      <alignment vertical="top" wrapText="1"/>
    </xf>
    <xf numFmtId="0" fontId="20" fillId="0" borderId="0" xfId="0" applyFont="1" applyAlignment="1">
      <alignment horizontal="center" vertical="center" wrapText="1"/>
    </xf>
    <xf numFmtId="0" fontId="2" fillId="0" borderId="0" xfId="0" applyFont="1" applyFill="1" applyAlignment="1">
      <alignment vertical="top" wrapText="1"/>
    </xf>
    <xf numFmtId="0" fontId="2" fillId="0" borderId="0" xfId="0" applyFont="1" applyFill="1" applyAlignment="1">
      <alignment vertical="center" wrapText="1"/>
    </xf>
    <xf numFmtId="0" fontId="20" fillId="0" borderId="0" xfId="0" applyFont="1" applyAlignment="1">
      <alignment horizontal="center" vertical="center"/>
    </xf>
    <xf numFmtId="0" fontId="2" fillId="0" borderId="0" xfId="0" applyFont="1" applyAlignment="1">
      <alignment vertical="top" wrapText="1"/>
    </xf>
    <xf numFmtId="0" fontId="3" fillId="0" borderId="0" xfId="0" applyFont="1" applyFill="1" applyAlignment="1">
      <alignment horizontal="center" vertical="center" wrapText="1"/>
    </xf>
    <xf numFmtId="0" fontId="34" fillId="0" borderId="0" xfId="0" applyFont="1" applyFill="1" applyAlignment="1">
      <alignment vertical="center" wrapText="1"/>
    </xf>
    <xf numFmtId="0" fontId="6" fillId="0" borderId="0" xfId="0" applyFont="1" applyAlignment="1">
      <alignment vertical="center" wrapText="1"/>
    </xf>
    <xf numFmtId="0" fontId="55" fillId="0" borderId="0" xfId="0" applyFont="1" applyFill="1" applyAlignment="1" applyProtection="1">
      <alignment horizontal="center" vertical="center"/>
      <protection locked="0"/>
    </xf>
    <xf numFmtId="0" fontId="42" fillId="7" borderId="0" xfId="0" applyFont="1" applyFill="1" applyAlignment="1" applyProtection="1">
      <alignment horizontal="center" vertical="center"/>
    </xf>
    <xf numFmtId="0" fontId="9" fillId="0" borderId="0" xfId="0" applyFont="1" applyFill="1" applyAlignment="1" applyProtection="1">
      <alignment horizontal="center" vertical="center"/>
    </xf>
    <xf numFmtId="0" fontId="6" fillId="0" borderId="0" xfId="0" applyFont="1" applyFill="1" applyAlignment="1" applyProtection="1">
      <alignment horizontal="left" vertical="center"/>
    </xf>
    <xf numFmtId="0" fontId="39" fillId="0" borderId="0" xfId="0" applyFont="1" applyFill="1" applyAlignment="1" applyProtection="1">
      <alignment horizontal="center" vertical="center"/>
    </xf>
    <xf numFmtId="0" fontId="2" fillId="0" borderId="0" xfId="0" applyFont="1" applyFill="1" applyAlignment="1" applyProtection="1">
      <alignment vertical="center"/>
    </xf>
    <xf numFmtId="0" fontId="7" fillId="0" borderId="0" xfId="0" applyFont="1" applyFill="1" applyAlignment="1" applyProtection="1">
      <alignment horizontal="center" vertical="center"/>
    </xf>
    <xf numFmtId="0" fontId="13" fillId="0" borderId="0" xfId="0" applyFont="1" applyFill="1" applyAlignment="1" applyProtection="1">
      <alignment horizontal="center" vertical="center"/>
      <protection locked="0"/>
    </xf>
    <xf numFmtId="0" fontId="6" fillId="0" borderId="0" xfId="0" applyFont="1" applyFill="1" applyAlignment="1" applyProtection="1">
      <alignment vertical="center"/>
    </xf>
    <xf numFmtId="0" fontId="2" fillId="0" borderId="0" xfId="0" applyFont="1" applyFill="1" applyAlignment="1" applyProtection="1">
      <alignment vertical="center" shrinkToFit="1"/>
    </xf>
    <xf numFmtId="0" fontId="2" fillId="0" borderId="0" xfId="0" applyFont="1" applyFill="1" applyAlignment="1" applyProtection="1">
      <alignment horizontal="left" vertical="center" shrinkToFit="1"/>
    </xf>
    <xf numFmtId="0" fontId="12" fillId="0" borderId="0" xfId="0" applyFont="1" applyFill="1" applyAlignment="1" applyProtection="1">
      <alignment horizontal="left" vertical="center"/>
    </xf>
    <xf numFmtId="0" fontId="7" fillId="0" borderId="0" xfId="0" applyFont="1" applyFill="1" applyAlignment="1" applyProtection="1">
      <alignment horizontal="left" vertical="center" wrapText="1"/>
    </xf>
    <xf numFmtId="0" fontId="29" fillId="0" borderId="0" xfId="0" applyFont="1" applyFill="1" applyAlignment="1" applyProtection="1">
      <alignment horizontal="left" vertical="center"/>
    </xf>
    <xf numFmtId="0" fontId="7" fillId="0" borderId="0" xfId="0" applyFont="1" applyFill="1" applyAlignment="1" applyProtection="1">
      <alignment horizontal="center" vertical="center" textRotation="180"/>
    </xf>
    <xf numFmtId="0" fontId="2" fillId="0" borderId="0" xfId="0" applyFont="1" applyFill="1" applyAlignment="1" applyProtection="1">
      <alignment horizontal="left" vertical="center"/>
    </xf>
    <xf numFmtId="0" fontId="24" fillId="0" borderId="0" xfId="0" applyFont="1" applyFill="1" applyAlignment="1" applyProtection="1">
      <alignment horizontal="center" vertical="center"/>
    </xf>
    <xf numFmtId="0" fontId="3" fillId="0" borderId="0" xfId="0" applyFont="1" applyFill="1" applyAlignment="1" applyProtection="1">
      <alignment horizontal="center" vertical="center"/>
    </xf>
    <xf numFmtId="0" fontId="13" fillId="0" borderId="0" xfId="0" applyFont="1" applyFill="1" applyAlignment="1" applyProtection="1">
      <alignment horizontal="center" vertical="center"/>
    </xf>
    <xf numFmtId="0" fontId="2" fillId="0" borderId="0" xfId="0" applyFont="1" applyFill="1" applyAlignment="1">
      <alignment vertical="center" shrinkToFit="1"/>
    </xf>
    <xf numFmtId="0" fontId="46" fillId="7" borderId="0" xfId="0" applyFont="1" applyFill="1" applyAlignment="1" applyProtection="1">
      <alignment horizontal="center" vertical="center"/>
      <protection locked="0"/>
    </xf>
    <xf numFmtId="0" fontId="40" fillId="0" borderId="0" xfId="0" applyFont="1" applyFill="1" applyAlignment="1" applyProtection="1">
      <alignment horizontal="center" vertical="center"/>
    </xf>
    <xf numFmtId="0" fontId="58" fillId="0" borderId="0" xfId="0" applyFont="1" applyFill="1" applyAlignment="1" applyProtection="1">
      <alignment horizontal="center" vertical="center"/>
    </xf>
    <xf numFmtId="0" fontId="6" fillId="0" borderId="0" xfId="0" applyFont="1" applyFill="1" applyAlignment="1" applyProtection="1">
      <alignment horizontal="right" vertical="center"/>
    </xf>
  </cellXfs>
  <cellStyles count="6">
    <cellStyle name="Activity Heading" xfId="1"/>
    <cellStyle name="Comma" xfId="3" builtinId="3"/>
    <cellStyle name="Currency" xfId="5" builtinId="4"/>
    <cellStyle name="Normal" xfId="0" builtinId="0"/>
    <cellStyle name="Percent" xfId="4" builtinId="5"/>
    <cellStyle name="Shading for Budget"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mruColors>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2100523184550044"/>
          <c:y val="0.11658398950131239"/>
          <c:w val="0.77880157594904464"/>
          <c:h val="0.76270085272722365"/>
        </c:manualLayout>
      </c:layout>
      <c:lineChart>
        <c:grouping val="standard"/>
        <c:ser>
          <c:idx val="0"/>
          <c:order val="0"/>
          <c:val>
            <c:numRef>
              <c:f>'Gen Fd Cover Sheets'!$C$16:$K$16</c:f>
              <c:numCache>
                <c:formatCode>_(* #,##0_);_(* \(#,##0\);_(* "-"??_);_(@_)</c:formatCode>
                <c:ptCount val="9"/>
                <c:pt idx="0">
                  <c:v>728145</c:v>
                </c:pt>
                <c:pt idx="1">
                  <c:v>741471</c:v>
                </c:pt>
                <c:pt idx="2">
                  <c:v>749942</c:v>
                </c:pt>
                <c:pt idx="3">
                  <c:v>740734</c:v>
                </c:pt>
                <c:pt idx="4">
                  <c:v>785943</c:v>
                </c:pt>
                <c:pt idx="5">
                  <c:v>815790</c:v>
                </c:pt>
                <c:pt idx="6">
                  <c:v>829902</c:v>
                </c:pt>
                <c:pt idx="7">
                  <c:v>855310</c:v>
                </c:pt>
                <c:pt idx="8">
                  <c:v>882054</c:v>
                </c:pt>
              </c:numCache>
            </c:numRef>
          </c:val>
        </c:ser>
        <c:marker val="1"/>
        <c:axId val="72473984"/>
        <c:axId val="90752512"/>
      </c:lineChart>
      <c:catAx>
        <c:axId val="72473984"/>
        <c:scaling>
          <c:orientation val="minMax"/>
        </c:scaling>
        <c:axPos val="b"/>
        <c:tickLblPos val="none"/>
        <c:crossAx val="90752512"/>
        <c:crosses val="autoZero"/>
        <c:auto val="1"/>
        <c:lblAlgn val="ctr"/>
        <c:lblOffset val="100"/>
        <c:tickMarkSkip val="1"/>
      </c:catAx>
      <c:valAx>
        <c:axId val="90752512"/>
        <c:scaling>
          <c:orientation val="minMax"/>
        </c:scaling>
        <c:axPos val="l"/>
        <c:numFmt formatCode="\$#,##0_);\(\$#,##0\)" sourceLinked="0"/>
        <c:tickLblPos val="nextTo"/>
        <c:txPr>
          <a:bodyPr rot="0" vert="horz"/>
          <a:lstStyle/>
          <a:p>
            <a:pPr>
              <a:defRPr/>
            </a:pPr>
            <a:endParaRPr lang="en-US"/>
          </a:p>
        </c:txPr>
        <c:crossAx val="72473984"/>
        <c:crosses val="autoZero"/>
        <c:crossBetween val="between"/>
        <c:dispUnits>
          <c:builtInUnit val="thousands"/>
          <c:dispUnitsLbl>
            <c:layout>
              <c:manualLayout>
                <c:xMode val="edge"/>
                <c:yMode val="edge"/>
                <c:x val="0.14416406675580648"/>
                <c:y val="0.15547287839020121"/>
              </c:manualLayout>
            </c:layout>
            <c:txPr>
              <a:bodyPr rot="-5400000" vert="horz"/>
              <a:lstStyle/>
              <a:p>
                <a:pPr>
                  <a:defRPr/>
                </a:pPr>
                <a:endParaRPr lang="en-US"/>
              </a:p>
            </c:txPr>
          </c:dispUnitsLbl>
        </c:dispUnits>
      </c:valAx>
    </c:plotArea>
    <c:plotVisOnly val="1"/>
    <c:dispBlanksAs val="gap"/>
  </c:chart>
  <c:printSettings>
    <c:headerFooter alignWithMargins="0"/>
    <c:pageMargins b="1" l="0.75000000000001465" r="0.7500000000000146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1913566926583156"/>
          <c:y val="0.18616969361245544"/>
          <c:w val="0.78086433073416839"/>
          <c:h val="0.53840924541128476"/>
        </c:manualLayout>
      </c:layout>
      <c:lineChart>
        <c:grouping val="standard"/>
        <c:ser>
          <c:idx val="0"/>
          <c:order val="0"/>
          <c:dLbls>
            <c:delete val="1"/>
          </c:dLbls>
          <c:val>
            <c:numRef>
              <c:f>'Fund Cover Sheets'!$C$67:$K$67</c:f>
              <c:numCache>
                <c:formatCode>_(* #,##0_);_(* \(#,##0\);_(* "-"??_);_(@_)</c:formatCode>
                <c:ptCount val="9"/>
                <c:pt idx="0">
                  <c:v>11134</c:v>
                </c:pt>
                <c:pt idx="1">
                  <c:v>15462</c:v>
                </c:pt>
                <c:pt idx="2">
                  <c:v>-7693</c:v>
                </c:pt>
                <c:pt idx="3">
                  <c:v>-12140</c:v>
                </c:pt>
                <c:pt idx="4">
                  <c:v>-9900</c:v>
                </c:pt>
                <c:pt idx="5">
                  <c:v>-8627</c:v>
                </c:pt>
                <c:pt idx="6">
                  <c:v>-7354</c:v>
                </c:pt>
                <c:pt idx="7">
                  <c:v>-6081</c:v>
                </c:pt>
                <c:pt idx="8">
                  <c:v>-4808</c:v>
                </c:pt>
              </c:numCache>
            </c:numRef>
          </c:val>
        </c:ser>
        <c:dLbls>
          <c:showVal val="1"/>
        </c:dLbls>
        <c:marker val="1"/>
        <c:axId val="86275968"/>
        <c:axId val="86277504"/>
      </c:lineChart>
      <c:catAx>
        <c:axId val="86275968"/>
        <c:scaling>
          <c:orientation val="minMax"/>
        </c:scaling>
        <c:axPos val="b"/>
        <c:tickLblPos val="none"/>
        <c:crossAx val="86277504"/>
        <c:crosses val="autoZero"/>
        <c:lblAlgn val="ctr"/>
        <c:lblOffset val="100"/>
        <c:tickMarkSkip val="1"/>
      </c:catAx>
      <c:valAx>
        <c:axId val="86277504"/>
        <c:scaling>
          <c:orientation val="minMax"/>
        </c:scaling>
        <c:axPos val="l"/>
        <c:numFmt formatCode="\$#,##0_);\(\$#,##0\)" sourceLinked="0"/>
        <c:tickLblPos val="nextTo"/>
        <c:txPr>
          <a:bodyPr rot="0" vert="horz"/>
          <a:lstStyle/>
          <a:p>
            <a:pPr>
              <a:defRPr/>
            </a:pPr>
            <a:endParaRPr lang="en-US"/>
          </a:p>
        </c:txPr>
        <c:crossAx val="86275968"/>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2700453907858967"/>
          <c:y val="0.1799050813150273"/>
          <c:w val="0.76827217160415562"/>
          <c:h val="0.53840924541128476"/>
        </c:manualLayout>
      </c:layout>
      <c:lineChart>
        <c:grouping val="standard"/>
        <c:ser>
          <c:idx val="0"/>
          <c:order val="0"/>
          <c:dLbls>
            <c:delete val="1"/>
          </c:dLbls>
          <c:val>
            <c:numRef>
              <c:f>'Fund Cover Sheets'!$C$103:$K$103</c:f>
              <c:numCache>
                <c:formatCode>_(* #,##0_);_(* \(#,##0\);_(* "-"??_);_(@_)</c:formatCode>
                <c:ptCount val="9"/>
                <c:pt idx="0">
                  <c:v>2574</c:v>
                </c:pt>
                <c:pt idx="1">
                  <c:v>-20108</c:v>
                </c:pt>
                <c:pt idx="2">
                  <c:v>-49980</c:v>
                </c:pt>
                <c:pt idx="3">
                  <c:v>-39357</c:v>
                </c:pt>
                <c:pt idx="4">
                  <c:v>-36499</c:v>
                </c:pt>
                <c:pt idx="5">
                  <c:v>-35948</c:v>
                </c:pt>
                <c:pt idx="6">
                  <c:v>-29397</c:v>
                </c:pt>
                <c:pt idx="7">
                  <c:v>-22846</c:v>
                </c:pt>
                <c:pt idx="8">
                  <c:v>-16295</c:v>
                </c:pt>
              </c:numCache>
            </c:numRef>
          </c:val>
        </c:ser>
        <c:dLbls>
          <c:showVal val="1"/>
        </c:dLbls>
        <c:marker val="1"/>
        <c:axId val="86297600"/>
        <c:axId val="86303488"/>
      </c:lineChart>
      <c:catAx>
        <c:axId val="86297600"/>
        <c:scaling>
          <c:orientation val="minMax"/>
        </c:scaling>
        <c:axPos val="b"/>
        <c:tickLblPos val="none"/>
        <c:crossAx val="86303488"/>
        <c:crosses val="autoZero"/>
        <c:lblAlgn val="ctr"/>
        <c:lblOffset val="100"/>
        <c:tickMarkSkip val="1"/>
      </c:catAx>
      <c:valAx>
        <c:axId val="86303488"/>
        <c:scaling>
          <c:orientation val="minMax"/>
        </c:scaling>
        <c:axPos val="l"/>
        <c:numFmt formatCode="\$#,##0_);\(\$#,##0\)" sourceLinked="0"/>
        <c:tickLblPos val="nextTo"/>
        <c:txPr>
          <a:bodyPr rot="0" vert="horz"/>
          <a:lstStyle/>
          <a:p>
            <a:pPr>
              <a:defRPr/>
            </a:pPr>
            <a:endParaRPr lang="en-US"/>
          </a:p>
        </c:txPr>
        <c:crossAx val="86297600"/>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2044891648817871"/>
          <c:y val="0.17946974847048686"/>
          <c:w val="0.77955108351184565"/>
          <c:h val="0.53840924541128476"/>
        </c:manualLayout>
      </c:layout>
      <c:lineChart>
        <c:grouping val="standard"/>
        <c:ser>
          <c:idx val="0"/>
          <c:order val="0"/>
          <c:dLbls>
            <c:delete val="1"/>
          </c:dLbls>
          <c:val>
            <c:numRef>
              <c:f>'Fund Cover Sheets'!$C$142:$K$142</c:f>
              <c:numCache>
                <c:formatCode>_(* #,##0_);_(* \(#,##0\);_(* "-"??_);_(@_)</c:formatCode>
                <c:ptCount val="9"/>
                <c:pt idx="0">
                  <c:v>1030456</c:v>
                </c:pt>
                <c:pt idx="1">
                  <c:v>920282</c:v>
                </c:pt>
                <c:pt idx="2">
                  <c:v>589656</c:v>
                </c:pt>
                <c:pt idx="3">
                  <c:v>712082</c:v>
                </c:pt>
                <c:pt idx="4">
                  <c:v>484079</c:v>
                </c:pt>
                <c:pt idx="5">
                  <c:v>260821</c:v>
                </c:pt>
                <c:pt idx="6">
                  <c:v>80167</c:v>
                </c:pt>
                <c:pt idx="7">
                  <c:v>-50000</c:v>
                </c:pt>
                <c:pt idx="8">
                  <c:v>-50000</c:v>
                </c:pt>
              </c:numCache>
            </c:numRef>
          </c:val>
        </c:ser>
        <c:dLbls>
          <c:showVal val="1"/>
        </c:dLbls>
        <c:marker val="1"/>
        <c:axId val="86389120"/>
        <c:axId val="86390656"/>
      </c:lineChart>
      <c:catAx>
        <c:axId val="86389120"/>
        <c:scaling>
          <c:orientation val="minMax"/>
        </c:scaling>
        <c:axPos val="b"/>
        <c:tickLblPos val="none"/>
        <c:crossAx val="86390656"/>
        <c:crosses val="autoZero"/>
        <c:lblAlgn val="ctr"/>
        <c:lblOffset val="100"/>
        <c:tickMarkSkip val="1"/>
      </c:catAx>
      <c:valAx>
        <c:axId val="86390656"/>
        <c:scaling>
          <c:orientation val="minMax"/>
        </c:scaling>
        <c:axPos val="l"/>
        <c:numFmt formatCode="\$#,##0_);\(\$#,##0\)" sourceLinked="0"/>
        <c:tickLblPos val="nextTo"/>
        <c:txPr>
          <a:bodyPr rot="0" vert="horz"/>
          <a:lstStyle/>
          <a:p>
            <a:pPr>
              <a:defRPr/>
            </a:pPr>
            <a:endParaRPr lang="en-US"/>
          </a:p>
        </c:txPr>
        <c:crossAx val="86389120"/>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800" b="1" i="0" u="none" strike="noStrike" baseline="0">
                <a:solidFill>
                  <a:srgbClr val="000000"/>
                </a:solidFill>
                <a:latin typeface="Arial"/>
                <a:ea typeface="Arial"/>
                <a:cs typeface="Arial"/>
              </a:defRPr>
            </a:pPr>
            <a:r>
              <a:rPr lang="en-US"/>
              <a:t>Fund Balance</a:t>
            </a:r>
          </a:p>
        </c:rich>
      </c:tx>
      <c:layout>
        <c:manualLayout>
          <c:xMode val="edge"/>
          <c:yMode val="edge"/>
          <c:x val="0.4373296079927031"/>
          <c:y val="4.9943330947267994E-2"/>
        </c:manualLayout>
      </c:layout>
      <c:spPr>
        <a:noFill/>
        <a:ln w="25400">
          <a:noFill/>
        </a:ln>
      </c:spPr>
    </c:title>
    <c:plotArea>
      <c:layout>
        <c:manualLayout>
          <c:layoutTarget val="inner"/>
          <c:xMode val="edge"/>
          <c:yMode val="edge"/>
          <c:x val="5.9299681139162924E-2"/>
          <c:y val="0.17946974847048663"/>
          <c:w val="0.92473125950363455"/>
          <c:h val="0.53840924541128476"/>
        </c:manualLayout>
      </c:layout>
      <c:lineChart>
        <c:grouping val="standard"/>
        <c:ser>
          <c:idx val="2"/>
          <c:order val="0"/>
          <c:tx>
            <c:v>Fund Balance</c:v>
          </c:tx>
          <c:spPr>
            <a:ln w="3175">
              <a:solidFill>
                <a:srgbClr val="000000"/>
              </a:solidFill>
              <a:prstDash val="solid"/>
            </a:ln>
          </c:spPr>
          <c:marker>
            <c:symbol val="triangle"/>
            <c:size val="7"/>
            <c:spPr>
              <a:solidFill>
                <a:srgbClr val="000000"/>
              </a:solidFill>
              <a:ln>
                <a:solidFill>
                  <a:srgbClr val="000000"/>
                </a:solidFill>
                <a:prstDash val="solid"/>
              </a:ln>
            </c:spPr>
          </c:marker>
          <c:dLbls>
            <c:spPr>
              <a:noFill/>
              <a:ln w="25400">
                <a:noFill/>
              </a:ln>
            </c:spPr>
            <c:txPr>
              <a:bodyPr/>
              <a:lstStyle/>
              <a:p>
                <a:pPr>
                  <a:defRPr sz="450" b="0" i="0" u="none" strike="noStrike" baseline="0">
                    <a:solidFill>
                      <a:srgbClr val="000000"/>
                    </a:solidFill>
                    <a:latin typeface="Arial"/>
                    <a:ea typeface="Arial"/>
                    <a:cs typeface="Arial"/>
                  </a:defRPr>
                </a:pPr>
                <a:endParaRPr lang="en-US"/>
              </a:p>
            </c:txPr>
            <c:showVal val="1"/>
          </c:dLbls>
          <c:val>
            <c:numLit>
              <c:formatCode>General</c:formatCode>
              <c:ptCount val="5"/>
              <c:pt idx="0">
                <c:v>-534828</c:v>
              </c:pt>
              <c:pt idx="1">
                <c:v>-2374704</c:v>
              </c:pt>
              <c:pt idx="2">
                <c:v>270222</c:v>
              </c:pt>
              <c:pt idx="3">
                <c:v>-1131924</c:v>
              </c:pt>
              <c:pt idx="4">
                <c:v>-1068555</c:v>
              </c:pt>
            </c:numLit>
          </c:val>
        </c:ser>
        <c:dLbls>
          <c:showVal val="1"/>
        </c:dLbls>
        <c:marker val="1"/>
        <c:axId val="86411136"/>
        <c:axId val="86412672"/>
      </c:lineChart>
      <c:catAx>
        <c:axId val="86411136"/>
        <c:scaling>
          <c:orientation val="minMax"/>
        </c:scaling>
        <c:axPos val="b"/>
        <c:numFmt formatCode="General" sourceLinked="1"/>
        <c:tickLblPos val="nextTo"/>
        <c:spPr>
          <a:ln w="3175">
            <a:solidFill>
              <a:srgbClr val="000000"/>
            </a:solidFill>
            <a:prstDash val="solid"/>
          </a:ln>
        </c:spPr>
        <c:txPr>
          <a:bodyPr rot="-3180000" vert="horz"/>
          <a:lstStyle/>
          <a:p>
            <a:pPr>
              <a:defRPr sz="450" b="0" i="0" u="none" strike="noStrike" baseline="0">
                <a:solidFill>
                  <a:srgbClr val="000000"/>
                </a:solidFill>
                <a:latin typeface="Arial"/>
                <a:ea typeface="Arial"/>
                <a:cs typeface="Arial"/>
              </a:defRPr>
            </a:pPr>
            <a:endParaRPr lang="en-US"/>
          </a:p>
        </c:txPr>
        <c:crossAx val="86412672"/>
        <c:crosses val="autoZero"/>
        <c:lblAlgn val="ctr"/>
        <c:lblOffset val="100"/>
        <c:tickLblSkip val="1"/>
        <c:tickMarkSkip val="1"/>
      </c:catAx>
      <c:valAx>
        <c:axId val="86412672"/>
        <c:scaling>
          <c:orientation val="minMax"/>
        </c:scaling>
        <c:axPos val="l"/>
        <c:numFmt formatCode="\$#,##0_);\(\$#,##0\)" sourceLinked="0"/>
        <c:tickLblPos val="nextTo"/>
        <c:spPr>
          <a:ln w="3175">
            <a:solidFill>
              <a:srgbClr val="000000"/>
            </a:solidFill>
            <a:prstDash val="solid"/>
          </a:ln>
        </c:spPr>
        <c:txPr>
          <a:bodyPr rot="0" vert="horz"/>
          <a:lstStyle/>
          <a:p>
            <a:pPr>
              <a:defRPr sz="450" b="0" i="0" u="none" strike="noStrike" baseline="0">
                <a:solidFill>
                  <a:srgbClr val="000000"/>
                </a:solidFill>
                <a:latin typeface="Arial"/>
                <a:ea typeface="Arial"/>
                <a:cs typeface="Arial"/>
              </a:defRPr>
            </a:pPr>
            <a:endParaRPr lang="en-US"/>
          </a:p>
        </c:txPr>
        <c:crossAx val="86411136"/>
        <c:crosses val="autoZero"/>
        <c:crossBetween val="between"/>
        <c:dispUnits>
          <c:builtInUnit val="thousands"/>
          <c:dispUnitsLbl>
            <c:layout>
              <c:manualLayout>
                <c:xMode val="edge"/>
                <c:yMode val="edge"/>
                <c:x val="2.5885558583107492E-2"/>
                <c:y val="0.28149829738943255"/>
              </c:manualLayout>
            </c:layout>
            <c:spPr>
              <a:noFill/>
              <a:ln w="25400">
                <a:noFill/>
              </a:ln>
            </c:spPr>
            <c:txPr>
              <a:bodyPr rot="-5400000" vert="horz"/>
              <a:lstStyle/>
              <a:p>
                <a:pPr algn="ctr">
                  <a:defRPr sz="525" b="1" i="0" u="none" strike="noStrike" baseline="0">
                    <a:solidFill>
                      <a:srgbClr val="000000"/>
                    </a:solidFill>
                    <a:latin typeface="Arial"/>
                    <a:ea typeface="Arial"/>
                    <a:cs typeface="Arial"/>
                  </a:defRPr>
                </a:pPr>
                <a:endParaRPr lang="en-US"/>
              </a:p>
            </c:txPr>
          </c:dispUnitsLbl>
        </c:dispUnits>
      </c:valAx>
      <c:spPr>
        <a:solidFill>
          <a:srgbClr val="FFFFFF"/>
        </a:solidFill>
        <a:ln w="12700">
          <a:solidFill>
            <a:srgbClr val="FFFFFF"/>
          </a:solidFill>
          <a:prstDash val="solid"/>
        </a:ln>
      </c:spPr>
    </c:plotArea>
    <c:plotVisOnly val="1"/>
    <c:dispBlanksAs val="gap"/>
  </c:chart>
  <c:spPr>
    <a:solidFill>
      <a:srgbClr val="FFFFFF"/>
    </a:solidFill>
    <a:ln w="9525">
      <a:noFill/>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5912989649878672"/>
          <c:y val="2.3142484073912777E-2"/>
        </c:manualLayout>
      </c:layout>
    </c:title>
    <c:plotArea>
      <c:layout>
        <c:manualLayout>
          <c:layoutTarget val="inner"/>
          <c:xMode val="edge"/>
          <c:yMode val="edge"/>
          <c:x val="0.22286824555490894"/>
          <c:y val="0.17946974847048663"/>
          <c:w val="0.7770240258429234"/>
          <c:h val="0.53840924541128476"/>
        </c:manualLayout>
      </c:layout>
      <c:lineChart>
        <c:grouping val="standard"/>
        <c:ser>
          <c:idx val="0"/>
          <c:order val="0"/>
          <c:dLbls>
            <c:delete val="1"/>
          </c:dLbls>
          <c:val>
            <c:numRef>
              <c:f>'Fund Cover Sheets'!$C$177:$K$177</c:f>
              <c:numCache>
                <c:formatCode>_(* #,##0_);_(* \(#,##0\);_(* "-"??_);_(@_)</c:formatCode>
                <c:ptCount val="9"/>
                <c:pt idx="0">
                  <c:v>0</c:v>
                </c:pt>
                <c:pt idx="1">
                  <c:v>0</c:v>
                </c:pt>
                <c:pt idx="2">
                  <c:v>0</c:v>
                </c:pt>
                <c:pt idx="3">
                  <c:v>0</c:v>
                </c:pt>
                <c:pt idx="4">
                  <c:v>0</c:v>
                </c:pt>
                <c:pt idx="5">
                  <c:v>0</c:v>
                </c:pt>
                <c:pt idx="6">
                  <c:v>0</c:v>
                </c:pt>
                <c:pt idx="7">
                  <c:v>0</c:v>
                </c:pt>
                <c:pt idx="8">
                  <c:v>0</c:v>
                </c:pt>
              </c:numCache>
            </c:numRef>
          </c:val>
        </c:ser>
        <c:dLbls>
          <c:showVal val="1"/>
        </c:dLbls>
        <c:marker val="1"/>
        <c:axId val="88742912"/>
        <c:axId val="88744704"/>
      </c:lineChart>
      <c:catAx>
        <c:axId val="88742912"/>
        <c:scaling>
          <c:orientation val="minMax"/>
        </c:scaling>
        <c:axPos val="b"/>
        <c:tickLblPos val="none"/>
        <c:crossAx val="88744704"/>
        <c:crosses val="autoZero"/>
        <c:lblAlgn val="ctr"/>
        <c:lblOffset val="100"/>
        <c:tickMarkSkip val="1"/>
      </c:catAx>
      <c:valAx>
        <c:axId val="88744704"/>
        <c:scaling>
          <c:orientation val="minMax"/>
        </c:scaling>
        <c:axPos val="l"/>
        <c:numFmt formatCode="\$#,##0_);\(\$#,##0\)" sourceLinked="0"/>
        <c:tickLblPos val="nextTo"/>
        <c:txPr>
          <a:bodyPr rot="0" vert="horz"/>
          <a:lstStyle/>
          <a:p>
            <a:pPr>
              <a:defRPr/>
            </a:pPr>
            <a:endParaRPr lang="en-US"/>
          </a:p>
        </c:txPr>
        <c:crossAx val="88742912"/>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 Equivalent</a:t>
            </a:r>
          </a:p>
        </c:rich>
      </c:tx>
      <c:layout>
        <c:manualLayout>
          <c:xMode val="edge"/>
          <c:yMode val="edge"/>
          <c:x val="0.44497893301558838"/>
          <c:y val="4.9943330947267994E-2"/>
        </c:manualLayout>
      </c:layout>
    </c:title>
    <c:plotArea>
      <c:layout>
        <c:manualLayout>
          <c:layoutTarget val="inner"/>
          <c:xMode val="edge"/>
          <c:yMode val="edge"/>
          <c:x val="0.22598610852350579"/>
          <c:y val="0.17946974847048783"/>
          <c:w val="0.77279173817051583"/>
          <c:h val="0.53840924541128476"/>
        </c:manualLayout>
      </c:layout>
      <c:lineChart>
        <c:grouping val="standard"/>
        <c:ser>
          <c:idx val="0"/>
          <c:order val="0"/>
          <c:dLbls>
            <c:delete val="1"/>
          </c:dLbls>
          <c:val>
            <c:numRef>
              <c:f>'Fund Cover Sheets'!$C$420:$K$420</c:f>
              <c:numCache>
                <c:formatCode>_(* #,##0_);_(* \(#,##0\);_(* "-"??_);_(@_)</c:formatCode>
                <c:ptCount val="9"/>
                <c:pt idx="0">
                  <c:v>2879170</c:v>
                </c:pt>
                <c:pt idx="1">
                  <c:v>1829603</c:v>
                </c:pt>
                <c:pt idx="2">
                  <c:v>1368893</c:v>
                </c:pt>
                <c:pt idx="3">
                  <c:v>1407327</c:v>
                </c:pt>
                <c:pt idx="4">
                  <c:v>977023</c:v>
                </c:pt>
                <c:pt idx="5">
                  <c:v>564102</c:v>
                </c:pt>
                <c:pt idx="6">
                  <c:v>145205</c:v>
                </c:pt>
                <c:pt idx="7">
                  <c:v>272372</c:v>
                </c:pt>
                <c:pt idx="8">
                  <c:v>487025</c:v>
                </c:pt>
              </c:numCache>
            </c:numRef>
          </c:val>
        </c:ser>
        <c:dLbls>
          <c:showVal val="1"/>
        </c:dLbls>
        <c:marker val="1"/>
        <c:axId val="88789376"/>
        <c:axId val="88790912"/>
      </c:lineChart>
      <c:catAx>
        <c:axId val="88789376"/>
        <c:scaling>
          <c:orientation val="minMax"/>
        </c:scaling>
        <c:axPos val="b"/>
        <c:tickLblPos val="none"/>
        <c:crossAx val="88790912"/>
        <c:crosses val="autoZero"/>
        <c:lblAlgn val="ctr"/>
        <c:lblOffset val="100"/>
        <c:tickMarkSkip val="1"/>
      </c:catAx>
      <c:valAx>
        <c:axId val="88790912"/>
        <c:scaling>
          <c:orientation val="minMax"/>
        </c:scaling>
        <c:axPos val="l"/>
        <c:numFmt formatCode="\$#,##0_);\(\$#,##0\)" sourceLinked="0"/>
        <c:tickLblPos val="nextTo"/>
        <c:txPr>
          <a:bodyPr rot="0" vert="horz"/>
          <a:lstStyle/>
          <a:p>
            <a:pPr>
              <a:defRPr/>
            </a:pPr>
            <a:endParaRPr lang="en-US"/>
          </a:p>
        </c:txPr>
        <c:crossAx val="88789376"/>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50481633698219996"/>
          <c:y val="9.7421490655376728E-3"/>
        </c:manualLayout>
      </c:layout>
    </c:title>
    <c:plotArea>
      <c:layout>
        <c:manualLayout>
          <c:layoutTarget val="inner"/>
          <c:xMode val="edge"/>
          <c:yMode val="edge"/>
          <c:x val="0.21811827667882991"/>
          <c:y val="0.2598715361584828"/>
          <c:w val="0.78100485244222562"/>
          <c:h val="0.53840924541128476"/>
        </c:manualLayout>
      </c:layout>
      <c:lineChart>
        <c:grouping val="standard"/>
        <c:ser>
          <c:idx val="0"/>
          <c:order val="0"/>
          <c:dLbls>
            <c:delete val="1"/>
          </c:dLbls>
          <c:val>
            <c:numRef>
              <c:f>'Fund Cover Sheets'!$C$464:$K$464</c:f>
              <c:numCache>
                <c:formatCode>_(* #,##0_);_(* \(#,##0\);_(* "-"??_);_(@_)</c:formatCode>
                <c:ptCount val="9"/>
                <c:pt idx="0">
                  <c:v>187984</c:v>
                </c:pt>
                <c:pt idx="1">
                  <c:v>117430</c:v>
                </c:pt>
                <c:pt idx="2">
                  <c:v>-185167</c:v>
                </c:pt>
                <c:pt idx="3">
                  <c:v>185175</c:v>
                </c:pt>
                <c:pt idx="4">
                  <c:v>220320</c:v>
                </c:pt>
                <c:pt idx="5">
                  <c:v>-73512</c:v>
                </c:pt>
                <c:pt idx="6">
                  <c:v>290754</c:v>
                </c:pt>
                <c:pt idx="7">
                  <c:v>325754</c:v>
                </c:pt>
                <c:pt idx="8">
                  <c:v>360754</c:v>
                </c:pt>
              </c:numCache>
            </c:numRef>
          </c:val>
        </c:ser>
        <c:dLbls>
          <c:showVal val="1"/>
        </c:dLbls>
        <c:marker val="1"/>
        <c:axId val="88872448"/>
        <c:axId val="88873984"/>
      </c:lineChart>
      <c:catAx>
        <c:axId val="88872448"/>
        <c:scaling>
          <c:orientation val="minMax"/>
        </c:scaling>
        <c:axPos val="b"/>
        <c:tickLblPos val="none"/>
        <c:crossAx val="88873984"/>
        <c:crosses val="autoZero"/>
        <c:lblAlgn val="ctr"/>
        <c:lblOffset val="100"/>
        <c:tickMarkSkip val="1"/>
      </c:catAx>
      <c:valAx>
        <c:axId val="88873984"/>
        <c:scaling>
          <c:orientation val="minMax"/>
        </c:scaling>
        <c:axPos val="l"/>
        <c:numFmt formatCode="\$#,##0_);\(\$#,##0\)" sourceLinked="0"/>
        <c:tickLblPos val="nextTo"/>
        <c:txPr>
          <a:bodyPr rot="0" vert="horz"/>
          <a:lstStyle/>
          <a:p>
            <a:pPr>
              <a:defRPr/>
            </a:pPr>
            <a:endParaRPr lang="en-US"/>
          </a:p>
        </c:txPr>
        <c:crossAx val="88872448"/>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6503331314354939"/>
          <c:y val="0.17946974847048927"/>
          <c:w val="0.7349666868564505"/>
          <c:h val="0.53840924541128476"/>
        </c:manualLayout>
      </c:layout>
      <c:lineChart>
        <c:grouping val="standard"/>
        <c:ser>
          <c:idx val="0"/>
          <c:order val="0"/>
          <c:dLbls>
            <c:delete val="1"/>
          </c:dLbls>
          <c:val>
            <c:numRef>
              <c:f>'Fund Cover Sheets'!$C$508:$K$508</c:f>
              <c:numCache>
                <c:formatCode>_(* #,##0_);_(* \(#,##0\);_(* "-"??_);_(@_)</c:formatCode>
                <c:ptCount val="9"/>
                <c:pt idx="0">
                  <c:v>546485</c:v>
                </c:pt>
                <c:pt idx="1">
                  <c:v>557536</c:v>
                </c:pt>
                <c:pt idx="2">
                  <c:v>269391</c:v>
                </c:pt>
                <c:pt idx="3">
                  <c:v>411262</c:v>
                </c:pt>
                <c:pt idx="4">
                  <c:v>269255</c:v>
                </c:pt>
                <c:pt idx="5">
                  <c:v>275713</c:v>
                </c:pt>
                <c:pt idx="6">
                  <c:v>283303</c:v>
                </c:pt>
                <c:pt idx="7">
                  <c:v>291329</c:v>
                </c:pt>
                <c:pt idx="8">
                  <c:v>299809</c:v>
                </c:pt>
              </c:numCache>
            </c:numRef>
          </c:val>
        </c:ser>
        <c:dLbls>
          <c:showVal val="1"/>
        </c:dLbls>
        <c:marker val="1"/>
        <c:axId val="88906368"/>
        <c:axId val="88916352"/>
      </c:lineChart>
      <c:catAx>
        <c:axId val="88906368"/>
        <c:scaling>
          <c:orientation val="minMax"/>
        </c:scaling>
        <c:axPos val="b"/>
        <c:tickLblPos val="none"/>
        <c:crossAx val="88916352"/>
        <c:crosses val="autoZero"/>
        <c:lblAlgn val="ctr"/>
        <c:lblOffset val="100"/>
        <c:tickMarkSkip val="1"/>
      </c:catAx>
      <c:valAx>
        <c:axId val="88916352"/>
        <c:scaling>
          <c:orientation val="minMax"/>
        </c:scaling>
        <c:axPos val="l"/>
        <c:numFmt formatCode="\$#,##0_);\(\$#,##0\)" sourceLinked="0"/>
        <c:tickLblPos val="nextTo"/>
        <c:txPr>
          <a:bodyPr rot="0" vert="horz"/>
          <a:lstStyle/>
          <a:p>
            <a:pPr>
              <a:defRPr/>
            </a:pPr>
            <a:endParaRPr lang="en-US"/>
          </a:p>
        </c:txPr>
        <c:crossAx val="88906368"/>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 Equivalent</a:t>
            </a:r>
          </a:p>
        </c:rich>
      </c:tx>
      <c:layout>
        <c:manualLayout>
          <c:xMode val="edge"/>
          <c:yMode val="edge"/>
          <c:x val="0.44497892308921388"/>
          <c:y val="1.6609973753280841E-2"/>
        </c:manualLayout>
      </c:layout>
    </c:title>
    <c:plotArea>
      <c:layout>
        <c:manualLayout>
          <c:layoutTarget val="inner"/>
          <c:xMode val="edge"/>
          <c:yMode val="edge"/>
          <c:x val="0.21810187216334029"/>
          <c:y val="0.25290341207349076"/>
          <c:w val="0.78189685193460412"/>
          <c:h val="0.53840924541128476"/>
        </c:manualLayout>
      </c:layout>
      <c:lineChart>
        <c:grouping val="standard"/>
        <c:ser>
          <c:idx val="0"/>
          <c:order val="0"/>
          <c:dLbls>
            <c:delete val="1"/>
          </c:dLbls>
          <c:val>
            <c:numRef>
              <c:f>'Fund Cover Sheets'!$C$550:$K$550</c:f>
              <c:numCache>
                <c:formatCode>_(* #,##0_);_(* \(#,##0\);_(* "-"??_);_(@_)</c:formatCode>
                <c:ptCount val="9"/>
                <c:pt idx="0">
                  <c:v>0</c:v>
                </c:pt>
                <c:pt idx="1">
                  <c:v>0</c:v>
                </c:pt>
                <c:pt idx="2">
                  <c:v>0</c:v>
                </c:pt>
                <c:pt idx="3">
                  <c:v>0</c:v>
                </c:pt>
                <c:pt idx="4">
                  <c:v>0</c:v>
                </c:pt>
                <c:pt idx="5">
                  <c:v>0</c:v>
                </c:pt>
                <c:pt idx="6">
                  <c:v>0</c:v>
                </c:pt>
                <c:pt idx="7">
                  <c:v>0</c:v>
                </c:pt>
                <c:pt idx="8">
                  <c:v>0</c:v>
                </c:pt>
              </c:numCache>
            </c:numRef>
          </c:val>
        </c:ser>
        <c:dLbls>
          <c:showVal val="1"/>
        </c:dLbls>
        <c:marker val="1"/>
        <c:axId val="88940544"/>
        <c:axId val="88942080"/>
      </c:lineChart>
      <c:catAx>
        <c:axId val="88940544"/>
        <c:scaling>
          <c:orientation val="minMax"/>
        </c:scaling>
        <c:axPos val="b"/>
        <c:tickLblPos val="none"/>
        <c:crossAx val="88942080"/>
        <c:crosses val="autoZero"/>
        <c:lblAlgn val="ctr"/>
        <c:lblOffset val="100"/>
        <c:tickMarkSkip val="1"/>
      </c:catAx>
      <c:valAx>
        <c:axId val="88942080"/>
        <c:scaling>
          <c:orientation val="minMax"/>
        </c:scaling>
        <c:axPos val="l"/>
        <c:numFmt formatCode="\$#,##0_);\(\$#,##0\)" sourceLinked="0"/>
        <c:tickLblPos val="nextTo"/>
        <c:txPr>
          <a:bodyPr rot="0" vert="horz"/>
          <a:lstStyle/>
          <a:p>
            <a:pPr>
              <a:defRPr/>
            </a:pPr>
            <a:endParaRPr lang="en-US"/>
          </a:p>
        </c:txPr>
        <c:crossAx val="88940544"/>
        <c:crosses val="autoZero"/>
        <c:crossBetween val="between"/>
        <c:dispUnits>
          <c:builtInUnit val="thousands"/>
          <c:dispUnitsLbl>
            <c:layout>
              <c:manualLayout>
                <c:xMode val="edge"/>
                <c:yMode val="edge"/>
                <c:x val="0.14321365331725891"/>
                <c:y val="0.17946952610823144"/>
              </c:manualLayout>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656062120348838"/>
          <c:y val="9.7421490655376728E-3"/>
        </c:manualLayout>
      </c:layout>
    </c:title>
    <c:plotArea>
      <c:layout>
        <c:manualLayout>
          <c:layoutTarget val="inner"/>
          <c:xMode val="edge"/>
          <c:yMode val="edge"/>
          <c:x val="0.22201220293137044"/>
          <c:y val="0.2062701961249819"/>
          <c:w val="0.77798779706863264"/>
          <c:h val="0.53840924541128476"/>
        </c:manualLayout>
      </c:layout>
      <c:lineChart>
        <c:grouping val="standard"/>
        <c:ser>
          <c:idx val="0"/>
          <c:order val="0"/>
          <c:dLbls>
            <c:delete val="1"/>
          </c:dLbls>
          <c:val>
            <c:numRef>
              <c:f>'Fund Cover Sheets'!$C$598:$K$598</c:f>
              <c:numCache>
                <c:formatCode>_(* #,##0_);_(* \(#,##0\);_(* "-"??_);_(@_)</c:formatCode>
                <c:ptCount val="9"/>
                <c:pt idx="0">
                  <c:v>471076</c:v>
                </c:pt>
                <c:pt idx="1">
                  <c:v>466683</c:v>
                </c:pt>
                <c:pt idx="2">
                  <c:v>392989</c:v>
                </c:pt>
                <c:pt idx="3">
                  <c:v>460782</c:v>
                </c:pt>
                <c:pt idx="4">
                  <c:v>435726</c:v>
                </c:pt>
                <c:pt idx="5">
                  <c:v>398385</c:v>
                </c:pt>
                <c:pt idx="6">
                  <c:v>350850</c:v>
                </c:pt>
                <c:pt idx="7">
                  <c:v>292282</c:v>
                </c:pt>
                <c:pt idx="8">
                  <c:v>221789</c:v>
                </c:pt>
              </c:numCache>
            </c:numRef>
          </c:val>
        </c:ser>
        <c:dLbls>
          <c:showVal val="1"/>
        </c:dLbls>
        <c:marker val="1"/>
        <c:axId val="88966272"/>
        <c:axId val="88967808"/>
      </c:lineChart>
      <c:catAx>
        <c:axId val="88966272"/>
        <c:scaling>
          <c:orientation val="minMax"/>
        </c:scaling>
        <c:axPos val="b"/>
        <c:tickLblPos val="none"/>
        <c:crossAx val="88967808"/>
        <c:crosses val="autoZero"/>
        <c:lblAlgn val="ctr"/>
        <c:lblOffset val="100"/>
        <c:tickMarkSkip val="1"/>
      </c:catAx>
      <c:valAx>
        <c:axId val="88967808"/>
        <c:scaling>
          <c:orientation val="minMax"/>
        </c:scaling>
        <c:axPos val="l"/>
        <c:numFmt formatCode="\$#,##0_);\(\$#,##0\)" sourceLinked="0"/>
        <c:tickLblPos val="nextTo"/>
        <c:txPr>
          <a:bodyPr rot="0" vert="horz"/>
          <a:lstStyle/>
          <a:p>
            <a:pPr>
              <a:defRPr/>
            </a:pPr>
            <a:endParaRPr lang="en-US"/>
          </a:p>
        </c:txPr>
        <c:crossAx val="88966272"/>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2245215616775879"/>
          <c:y val="0.11154855643044605"/>
          <c:w val="0.77754779357742465"/>
          <c:h val="0.79527559055120001"/>
        </c:manualLayout>
      </c:layout>
      <c:lineChart>
        <c:grouping val="standard"/>
        <c:ser>
          <c:idx val="0"/>
          <c:order val="0"/>
          <c:val>
            <c:numRef>
              <c:f>'Gen Fd Cover Sheets'!$C$47:$K$47</c:f>
              <c:numCache>
                <c:formatCode>_(* #,##0_);_(* \(#,##0\);_(* "-"??_);_(@_)</c:formatCode>
                <c:ptCount val="9"/>
                <c:pt idx="0">
                  <c:v>327688</c:v>
                </c:pt>
                <c:pt idx="1">
                  <c:v>355603</c:v>
                </c:pt>
                <c:pt idx="2">
                  <c:v>388506</c:v>
                </c:pt>
                <c:pt idx="3">
                  <c:v>380526</c:v>
                </c:pt>
                <c:pt idx="4">
                  <c:v>413829</c:v>
                </c:pt>
                <c:pt idx="5">
                  <c:v>429941</c:v>
                </c:pt>
                <c:pt idx="6">
                  <c:v>442952</c:v>
                </c:pt>
                <c:pt idx="7">
                  <c:v>456594</c:v>
                </c:pt>
                <c:pt idx="8">
                  <c:v>470872</c:v>
                </c:pt>
              </c:numCache>
            </c:numRef>
          </c:val>
        </c:ser>
        <c:marker val="1"/>
        <c:axId val="76280960"/>
        <c:axId val="76282496"/>
      </c:lineChart>
      <c:catAx>
        <c:axId val="76280960"/>
        <c:scaling>
          <c:orientation val="minMax"/>
        </c:scaling>
        <c:delete val="1"/>
        <c:axPos val="b"/>
        <c:tickLblPos val="none"/>
        <c:crossAx val="76282496"/>
        <c:crosses val="autoZero"/>
        <c:auto val="1"/>
        <c:lblAlgn val="ctr"/>
        <c:lblOffset val="100"/>
      </c:catAx>
      <c:valAx>
        <c:axId val="76282496"/>
        <c:scaling>
          <c:orientation val="minMax"/>
          <c:min val="0"/>
        </c:scaling>
        <c:axPos val="l"/>
        <c:numFmt formatCode="\$#,##0_);\(\$#,##0\)" sourceLinked="0"/>
        <c:tickLblPos val="nextTo"/>
        <c:txPr>
          <a:bodyPr rot="0" vert="horz"/>
          <a:lstStyle/>
          <a:p>
            <a:pPr>
              <a:defRPr/>
            </a:pPr>
            <a:endParaRPr lang="en-US"/>
          </a:p>
        </c:txPr>
        <c:crossAx val="76280960"/>
        <c:crosses val="autoZero"/>
        <c:crossBetween val="between"/>
        <c:dispUnits>
          <c:builtInUnit val="thousands"/>
          <c:dispUnitsLbl>
            <c:layout>
              <c:manualLayout>
                <c:xMode val="edge"/>
                <c:yMode val="edge"/>
                <c:x val="0.15631141965247669"/>
                <c:y val="0.22309711286090494"/>
              </c:manualLayout>
            </c:layout>
            <c:txPr>
              <a:bodyPr rot="-5400000" vert="horz"/>
              <a:lstStyle/>
              <a:p>
                <a:pPr>
                  <a:defRPr/>
                </a:pPr>
                <a:endParaRPr lang="en-US"/>
              </a:p>
            </c:txPr>
          </c:dispUnitsLbl>
        </c:dispUnits>
      </c:valAx>
    </c:plotArea>
    <c:plotVisOnly val="1"/>
    <c:dispBlanksAs val="gap"/>
  </c:chart>
  <c:printSettings>
    <c:headerFooter alignWithMargins="0"/>
    <c:pageMargins b="1" l="0.75000000000001465" r="0.75000000000001465" t="1" header="0.5" footer="0.5"/>
    <c:pageSetup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2406088379518024"/>
          <c:y val="0.17946952610823144"/>
          <c:w val="0.77155737128426227"/>
          <c:h val="0.53840924541128476"/>
        </c:manualLayout>
      </c:layout>
      <c:lineChart>
        <c:grouping val="standard"/>
        <c:ser>
          <c:idx val="0"/>
          <c:order val="0"/>
          <c:dLbls>
            <c:delete val="1"/>
          </c:dLbls>
          <c:val>
            <c:numRef>
              <c:f>'Fund Cover Sheets'!$C$637:$K$637</c:f>
              <c:numCache>
                <c:formatCode>_(* #,##0_);_(* \(#,##0\);_(* "-"??_);_(@_)</c:formatCode>
                <c:ptCount val="9"/>
                <c:pt idx="0">
                  <c:v>0</c:v>
                </c:pt>
                <c:pt idx="1">
                  <c:v>0</c:v>
                </c:pt>
                <c:pt idx="2">
                  <c:v>30</c:v>
                </c:pt>
                <c:pt idx="3">
                  <c:v>0</c:v>
                </c:pt>
                <c:pt idx="4">
                  <c:v>0</c:v>
                </c:pt>
                <c:pt idx="5">
                  <c:v>0</c:v>
                </c:pt>
                <c:pt idx="6">
                  <c:v>0</c:v>
                </c:pt>
                <c:pt idx="7">
                  <c:v>0</c:v>
                </c:pt>
                <c:pt idx="8">
                  <c:v>0</c:v>
                </c:pt>
              </c:numCache>
            </c:numRef>
          </c:val>
        </c:ser>
        <c:dLbls>
          <c:showVal val="1"/>
        </c:dLbls>
        <c:marker val="1"/>
        <c:axId val="88996096"/>
        <c:axId val="89067520"/>
      </c:lineChart>
      <c:catAx>
        <c:axId val="88996096"/>
        <c:scaling>
          <c:orientation val="minMax"/>
        </c:scaling>
        <c:axPos val="b"/>
        <c:tickLblPos val="none"/>
        <c:crossAx val="89067520"/>
        <c:crosses val="autoZero"/>
        <c:lblAlgn val="ctr"/>
        <c:lblOffset val="100"/>
        <c:tickMarkSkip val="1"/>
      </c:catAx>
      <c:valAx>
        <c:axId val="89067520"/>
        <c:scaling>
          <c:orientation val="minMax"/>
        </c:scaling>
        <c:axPos val="l"/>
        <c:numFmt formatCode="\$#,##0_);\(\$#,##0\)" sourceLinked="0"/>
        <c:tickLblPos val="nextTo"/>
        <c:txPr>
          <a:bodyPr rot="0" vert="horz"/>
          <a:lstStyle/>
          <a:p>
            <a:pPr>
              <a:defRPr/>
            </a:pPr>
            <a:endParaRPr lang="en-US"/>
          </a:p>
        </c:txPr>
        <c:crossAx val="88996096"/>
        <c:crosses val="autoZero"/>
        <c:crossBetween val="between"/>
      </c:valAx>
    </c:plotArea>
    <c:plotVisOnly val="1"/>
    <c:dispBlanksAs val="gap"/>
  </c:chart>
  <c:printSettings>
    <c:headerFooter alignWithMargins="0"/>
    <c:pageMargins b="1" l="0.75000000000001465" r="0.75000000000001465" t="1" header="0.5" footer="0.5"/>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 </a:t>
            </a:r>
          </a:p>
        </c:rich>
      </c:tx>
      <c:layout>
        <c:manualLayout>
          <c:xMode val="edge"/>
          <c:yMode val="edge"/>
          <c:x val="0.44182684611232131"/>
          <c:y val="3.0419815613510846E-3"/>
        </c:manualLayout>
      </c:layout>
    </c:title>
    <c:plotArea>
      <c:layout>
        <c:manualLayout>
          <c:layoutTarget val="inner"/>
          <c:xMode val="edge"/>
          <c:yMode val="edge"/>
          <c:x val="0.24012149360237744"/>
          <c:y val="0.17946952610823144"/>
          <c:w val="0.75980253444891765"/>
          <c:h val="0.53840924541128476"/>
        </c:manualLayout>
      </c:layout>
      <c:lineChart>
        <c:grouping val="standard"/>
        <c:ser>
          <c:idx val="0"/>
          <c:order val="0"/>
          <c:dLbls>
            <c:delete val="1"/>
          </c:dLbls>
          <c:val>
            <c:numRef>
              <c:f>'Fund Cover Sheets'!$C$676:$K$676</c:f>
              <c:numCache>
                <c:formatCode>_(* #,##0_);_(* \(#,##0\);_(* "-"??_);_(@_)</c:formatCode>
                <c:ptCount val="9"/>
                <c:pt idx="0">
                  <c:v>26870</c:v>
                </c:pt>
                <c:pt idx="1">
                  <c:v>12714</c:v>
                </c:pt>
                <c:pt idx="2">
                  <c:v>-10</c:v>
                </c:pt>
                <c:pt idx="3">
                  <c:v>20829</c:v>
                </c:pt>
                <c:pt idx="4">
                  <c:v>28944</c:v>
                </c:pt>
                <c:pt idx="5">
                  <c:v>28954</c:v>
                </c:pt>
                <c:pt idx="6">
                  <c:v>28954</c:v>
                </c:pt>
                <c:pt idx="7">
                  <c:v>28954</c:v>
                </c:pt>
                <c:pt idx="8">
                  <c:v>28954</c:v>
                </c:pt>
              </c:numCache>
            </c:numRef>
          </c:val>
        </c:ser>
        <c:dLbls>
          <c:showVal val="1"/>
        </c:dLbls>
        <c:marker val="1"/>
        <c:axId val="89086976"/>
        <c:axId val="89092864"/>
      </c:lineChart>
      <c:catAx>
        <c:axId val="89086976"/>
        <c:scaling>
          <c:orientation val="minMax"/>
        </c:scaling>
        <c:axPos val="b"/>
        <c:tickLblPos val="none"/>
        <c:crossAx val="89092864"/>
        <c:crosses val="autoZero"/>
        <c:lblAlgn val="ctr"/>
        <c:lblOffset val="100"/>
        <c:tickMarkSkip val="1"/>
      </c:catAx>
      <c:valAx>
        <c:axId val="89092864"/>
        <c:scaling>
          <c:orientation val="minMax"/>
        </c:scaling>
        <c:axPos val="l"/>
        <c:numFmt formatCode="\$#,##0_);\(\$#,##0\)" sourceLinked="0"/>
        <c:tickLblPos val="nextTo"/>
        <c:txPr>
          <a:bodyPr rot="0" vert="horz"/>
          <a:lstStyle/>
          <a:p>
            <a:pPr>
              <a:defRPr/>
            </a:pPr>
            <a:endParaRPr lang="en-US"/>
          </a:p>
        </c:txPr>
        <c:crossAx val="89086976"/>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50261976529961538"/>
          <c:y val="0.25630150915847688"/>
        </c:manualLayout>
      </c:layout>
    </c:title>
    <c:plotArea>
      <c:layout>
        <c:manualLayout>
          <c:layoutTarget val="inner"/>
          <c:xMode val="edge"/>
          <c:yMode val="edge"/>
          <c:x val="0.22734721341084321"/>
          <c:y val="0.17276935860404391"/>
          <c:w val="0.77264522180866779"/>
          <c:h val="0.53840924541128476"/>
        </c:manualLayout>
      </c:layout>
      <c:lineChart>
        <c:grouping val="standard"/>
        <c:ser>
          <c:idx val="0"/>
          <c:order val="0"/>
          <c:dLbls>
            <c:delete val="1"/>
          </c:dLbls>
          <c:val>
            <c:numRef>
              <c:f>'Fund Cover Sheets'!$C$717:$K$717</c:f>
              <c:numCache>
                <c:formatCode>_(* #,##0_);_(* \(#,##0\);_(* "-"??_);_(@_)</c:formatCode>
                <c:ptCount val="9"/>
                <c:pt idx="0">
                  <c:v>-534087</c:v>
                </c:pt>
                <c:pt idx="1">
                  <c:v>-604820</c:v>
                </c:pt>
                <c:pt idx="2">
                  <c:v>-594959</c:v>
                </c:pt>
                <c:pt idx="3">
                  <c:v>-557792</c:v>
                </c:pt>
                <c:pt idx="4">
                  <c:v>-520551</c:v>
                </c:pt>
                <c:pt idx="5">
                  <c:v>-473366</c:v>
                </c:pt>
                <c:pt idx="6">
                  <c:v>-425864</c:v>
                </c:pt>
                <c:pt idx="7">
                  <c:v>-438849</c:v>
                </c:pt>
                <c:pt idx="8">
                  <c:v>-450300</c:v>
                </c:pt>
              </c:numCache>
            </c:numRef>
          </c:val>
        </c:ser>
        <c:dLbls>
          <c:showVal val="1"/>
        </c:dLbls>
        <c:marker val="1"/>
        <c:axId val="89117440"/>
        <c:axId val="89118976"/>
      </c:lineChart>
      <c:catAx>
        <c:axId val="89117440"/>
        <c:scaling>
          <c:orientation val="minMax"/>
        </c:scaling>
        <c:axPos val="b"/>
        <c:tickLblPos val="none"/>
        <c:crossAx val="89118976"/>
        <c:crosses val="autoZero"/>
        <c:lblAlgn val="ctr"/>
        <c:lblOffset val="100"/>
        <c:tickMarkSkip val="1"/>
      </c:catAx>
      <c:valAx>
        <c:axId val="89118976"/>
        <c:scaling>
          <c:orientation val="minMax"/>
        </c:scaling>
        <c:axPos val="l"/>
        <c:numFmt formatCode="\$#,##0_);\(\$#,##0\)" sourceLinked="0"/>
        <c:tickLblPos val="nextTo"/>
        <c:txPr>
          <a:bodyPr rot="0" vert="horz"/>
          <a:lstStyle/>
          <a:p>
            <a:pPr>
              <a:defRPr/>
            </a:pPr>
            <a:endParaRPr lang="en-US"/>
          </a:p>
        </c:txPr>
        <c:crossAx val="89117440"/>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289884981229038"/>
          <c:y val="4.3242986586475685E-2"/>
        </c:manualLayout>
      </c:layout>
    </c:title>
    <c:plotArea>
      <c:layout>
        <c:manualLayout>
          <c:layoutTarget val="inner"/>
          <c:xMode val="edge"/>
          <c:yMode val="edge"/>
          <c:x val="0.22178090364387537"/>
          <c:y val="0.16606919109985624"/>
          <c:w val="0.77821909635623165"/>
          <c:h val="0.53840924541128476"/>
        </c:manualLayout>
      </c:layout>
      <c:lineChart>
        <c:grouping val="standard"/>
        <c:ser>
          <c:idx val="0"/>
          <c:order val="0"/>
          <c:dLbls>
            <c:delete val="1"/>
          </c:dLbls>
          <c:val>
            <c:numRef>
              <c:f>'Fund Cover Sheets'!$C$756:$K$756</c:f>
              <c:numCache>
                <c:formatCode>_(* #,##0_);_(* \(#,##0\);_(* "-"??_);_(@_)</c:formatCode>
                <c:ptCount val="9"/>
                <c:pt idx="0">
                  <c:v>231529</c:v>
                </c:pt>
                <c:pt idx="1">
                  <c:v>239096</c:v>
                </c:pt>
                <c:pt idx="2">
                  <c:v>-58049</c:v>
                </c:pt>
                <c:pt idx="3">
                  <c:v>-105516</c:v>
                </c:pt>
                <c:pt idx="4">
                  <c:v>-88246</c:v>
                </c:pt>
                <c:pt idx="5">
                  <c:v>-70981</c:v>
                </c:pt>
                <c:pt idx="6">
                  <c:v>-48726</c:v>
                </c:pt>
                <c:pt idx="7">
                  <c:v>-26471</c:v>
                </c:pt>
                <c:pt idx="8">
                  <c:v>784</c:v>
                </c:pt>
              </c:numCache>
            </c:numRef>
          </c:val>
        </c:ser>
        <c:dLbls>
          <c:showVal val="1"/>
        </c:dLbls>
        <c:marker val="1"/>
        <c:axId val="89429888"/>
        <c:axId val="89431424"/>
      </c:lineChart>
      <c:catAx>
        <c:axId val="89429888"/>
        <c:scaling>
          <c:orientation val="minMax"/>
        </c:scaling>
        <c:axPos val="b"/>
        <c:tickLblPos val="none"/>
        <c:crossAx val="89431424"/>
        <c:crosses val="autoZero"/>
        <c:lblAlgn val="ctr"/>
        <c:lblOffset val="100"/>
        <c:tickMarkSkip val="1"/>
      </c:catAx>
      <c:valAx>
        <c:axId val="89431424"/>
        <c:scaling>
          <c:orientation val="minMax"/>
        </c:scaling>
        <c:axPos val="l"/>
        <c:numFmt formatCode="\$#,##0_);\(\$#,##0\)" sourceLinked="0"/>
        <c:tickLblPos val="nextTo"/>
        <c:txPr>
          <a:bodyPr rot="0" vert="horz"/>
          <a:lstStyle/>
          <a:p>
            <a:pPr>
              <a:defRPr/>
            </a:pPr>
            <a:endParaRPr lang="en-US"/>
          </a:p>
        </c:txPr>
        <c:crossAx val="89429888"/>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2207940592791756"/>
          <c:y val="0.17946974847048738"/>
          <c:w val="0.77792058543304365"/>
          <c:h val="0.53840924541128476"/>
        </c:manualLayout>
      </c:layout>
      <c:lineChart>
        <c:grouping val="standard"/>
        <c:ser>
          <c:idx val="0"/>
          <c:order val="0"/>
          <c:dLbls>
            <c:delete val="1"/>
          </c:dLbls>
          <c:val>
            <c:numRef>
              <c:f>'Fund Cover Sheets'!$C$328:$K$328</c:f>
              <c:numCache>
                <c:formatCode>_(* #,##0_);_(* \(#,##0\);_(* "-"??_);_(@_)</c:formatCode>
                <c:ptCount val="9"/>
                <c:pt idx="0">
                  <c:v>5319</c:v>
                </c:pt>
                <c:pt idx="1">
                  <c:v>7842</c:v>
                </c:pt>
                <c:pt idx="2">
                  <c:v>0</c:v>
                </c:pt>
                <c:pt idx="3">
                  <c:v>0</c:v>
                </c:pt>
                <c:pt idx="4">
                  <c:v>0</c:v>
                </c:pt>
                <c:pt idx="5">
                  <c:v>0</c:v>
                </c:pt>
                <c:pt idx="6">
                  <c:v>0</c:v>
                </c:pt>
                <c:pt idx="7">
                  <c:v>0</c:v>
                </c:pt>
                <c:pt idx="8">
                  <c:v>0</c:v>
                </c:pt>
              </c:numCache>
            </c:numRef>
          </c:val>
        </c:ser>
        <c:dLbls>
          <c:showVal val="1"/>
        </c:dLbls>
        <c:marker val="1"/>
        <c:axId val="90377216"/>
        <c:axId val="90379008"/>
      </c:lineChart>
      <c:catAx>
        <c:axId val="90377216"/>
        <c:scaling>
          <c:orientation val="minMax"/>
        </c:scaling>
        <c:axPos val="b"/>
        <c:tickLblPos val="none"/>
        <c:crossAx val="90379008"/>
        <c:crosses val="autoZero"/>
        <c:lblAlgn val="ctr"/>
        <c:lblOffset val="100"/>
        <c:tickMarkSkip val="1"/>
      </c:catAx>
      <c:valAx>
        <c:axId val="90379008"/>
        <c:scaling>
          <c:orientation val="minMax"/>
        </c:scaling>
        <c:axPos val="l"/>
        <c:numFmt formatCode="\$#,##0_);\(\$#,##0\)" sourceLinked="0"/>
        <c:tickLblPos val="nextTo"/>
        <c:txPr>
          <a:bodyPr rot="0" vert="horz"/>
          <a:lstStyle/>
          <a:p>
            <a:pPr>
              <a:defRPr/>
            </a:pPr>
            <a:endParaRPr lang="en-US"/>
          </a:p>
        </c:txPr>
        <c:crossAx val="90377216"/>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5912989649878672"/>
          <c:y val="2.3142484073912777E-2"/>
        </c:manualLayout>
      </c:layout>
    </c:title>
    <c:plotArea>
      <c:layout>
        <c:manualLayout>
          <c:layoutTarget val="inner"/>
          <c:xMode val="edge"/>
          <c:yMode val="edge"/>
          <c:x val="0.22286824555490894"/>
          <c:y val="0.17947000279788144"/>
          <c:w val="0.7770240258429234"/>
          <c:h val="0.53840924541128476"/>
        </c:manualLayout>
      </c:layout>
      <c:lineChart>
        <c:grouping val="standard"/>
        <c:ser>
          <c:idx val="0"/>
          <c:order val="0"/>
          <c:dLbls>
            <c:delete val="1"/>
          </c:dLbls>
          <c:val>
            <c:numRef>
              <c:f>'Fund Cover Sheets'!$C$224:$K$224</c:f>
              <c:numCache>
                <c:formatCode>_(* #,##0_);_(* \(#,##0\);_(* "-"??_);_(@_)</c:formatCode>
                <c:ptCount val="9"/>
                <c:pt idx="0">
                  <c:v>676555</c:v>
                </c:pt>
                <c:pt idx="1">
                  <c:v>4684706</c:v>
                </c:pt>
                <c:pt idx="2">
                  <c:v>831196</c:v>
                </c:pt>
                <c:pt idx="3">
                  <c:v>2622218</c:v>
                </c:pt>
                <c:pt idx="4">
                  <c:v>649209</c:v>
                </c:pt>
                <c:pt idx="5">
                  <c:v>200850</c:v>
                </c:pt>
                <c:pt idx="6">
                  <c:v>5262</c:v>
                </c:pt>
                <c:pt idx="7">
                  <c:v>5262</c:v>
                </c:pt>
                <c:pt idx="8">
                  <c:v>5262</c:v>
                </c:pt>
              </c:numCache>
            </c:numRef>
          </c:val>
        </c:ser>
        <c:dLbls>
          <c:showVal val="1"/>
        </c:dLbls>
        <c:marker val="1"/>
        <c:axId val="90395008"/>
        <c:axId val="90396544"/>
      </c:lineChart>
      <c:catAx>
        <c:axId val="90395008"/>
        <c:scaling>
          <c:orientation val="minMax"/>
        </c:scaling>
        <c:axPos val="b"/>
        <c:tickLblPos val="none"/>
        <c:crossAx val="90396544"/>
        <c:crosses val="autoZero"/>
        <c:lblAlgn val="ctr"/>
        <c:lblOffset val="100"/>
        <c:tickMarkSkip val="1"/>
      </c:catAx>
      <c:valAx>
        <c:axId val="90396544"/>
        <c:scaling>
          <c:orientation val="minMax"/>
        </c:scaling>
        <c:axPos val="l"/>
        <c:numFmt formatCode="\$#,##0_);\(\$#,##0\)" sourceLinked="0"/>
        <c:tickLblPos val="nextTo"/>
        <c:txPr>
          <a:bodyPr rot="0" vert="horz"/>
          <a:lstStyle/>
          <a:p>
            <a:pPr>
              <a:defRPr/>
            </a:pPr>
            <a:endParaRPr lang="en-US"/>
          </a:p>
        </c:txPr>
        <c:crossAx val="90395008"/>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5912989649878672"/>
          <c:y val="2.3142484073912777E-2"/>
        </c:manualLayout>
      </c:layout>
    </c:title>
    <c:plotArea>
      <c:layout>
        <c:manualLayout>
          <c:layoutTarget val="inner"/>
          <c:xMode val="edge"/>
          <c:yMode val="edge"/>
          <c:x val="0.22286824555490894"/>
          <c:y val="0.17946974847048686"/>
          <c:w val="0.7770240258429234"/>
          <c:h val="0.53840924541128476"/>
        </c:manualLayout>
      </c:layout>
      <c:lineChart>
        <c:grouping val="standard"/>
        <c:ser>
          <c:idx val="0"/>
          <c:order val="0"/>
          <c:dLbls>
            <c:delete val="1"/>
          </c:dLbls>
          <c:val>
            <c:numRef>
              <c:f>'Fund Cover Sheets'!$C$290:$K$290</c:f>
              <c:numCache>
                <c:formatCode>_(* #,##0_);_(* \(#,##0\);_(* "-"??_);_(@_)</c:formatCode>
                <c:ptCount val="9"/>
                <c:pt idx="0">
                  <c:v>147746</c:v>
                </c:pt>
                <c:pt idx="1">
                  <c:v>105577</c:v>
                </c:pt>
                <c:pt idx="2">
                  <c:v>-1224</c:v>
                </c:pt>
                <c:pt idx="3">
                  <c:v>52734</c:v>
                </c:pt>
                <c:pt idx="4">
                  <c:v>0</c:v>
                </c:pt>
                <c:pt idx="5">
                  <c:v>106</c:v>
                </c:pt>
                <c:pt idx="6">
                  <c:v>212</c:v>
                </c:pt>
                <c:pt idx="7">
                  <c:v>318</c:v>
                </c:pt>
                <c:pt idx="8">
                  <c:v>424</c:v>
                </c:pt>
              </c:numCache>
            </c:numRef>
          </c:val>
        </c:ser>
        <c:dLbls>
          <c:showVal val="1"/>
        </c:dLbls>
        <c:marker val="1"/>
        <c:axId val="90465792"/>
        <c:axId val="90467328"/>
      </c:lineChart>
      <c:catAx>
        <c:axId val="90465792"/>
        <c:scaling>
          <c:orientation val="minMax"/>
        </c:scaling>
        <c:axPos val="b"/>
        <c:tickLblPos val="none"/>
        <c:crossAx val="90467328"/>
        <c:crosses val="autoZero"/>
        <c:lblAlgn val="ctr"/>
        <c:lblOffset val="100"/>
        <c:tickMarkSkip val="1"/>
      </c:catAx>
      <c:valAx>
        <c:axId val="90467328"/>
        <c:scaling>
          <c:orientation val="minMax"/>
        </c:scaling>
        <c:axPos val="l"/>
        <c:numFmt formatCode="\$#,##0_);\(\$#,##0\)" sourceLinked="0"/>
        <c:tickLblPos val="nextTo"/>
        <c:txPr>
          <a:bodyPr rot="0" vert="horz"/>
          <a:lstStyle/>
          <a:p>
            <a:pPr>
              <a:defRPr/>
            </a:pPr>
            <a:endParaRPr lang="en-US"/>
          </a:p>
        </c:txPr>
        <c:crossAx val="90465792"/>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 Equivalent</a:t>
            </a:r>
          </a:p>
        </c:rich>
      </c:tx>
      <c:layout>
        <c:manualLayout>
          <c:xMode val="edge"/>
          <c:yMode val="edge"/>
          <c:x val="0.44497893301558838"/>
          <c:y val="4.9943330947267994E-2"/>
        </c:manualLayout>
      </c:layout>
    </c:title>
    <c:plotArea>
      <c:layout>
        <c:manualLayout>
          <c:layoutTarget val="inner"/>
          <c:xMode val="edge"/>
          <c:yMode val="edge"/>
          <c:x val="0.22207940592791756"/>
          <c:y val="0.17946974847048747"/>
          <c:w val="0.77792058543304365"/>
          <c:h val="0.53840924541128476"/>
        </c:manualLayout>
      </c:layout>
      <c:lineChart>
        <c:grouping val="standard"/>
        <c:ser>
          <c:idx val="0"/>
          <c:order val="0"/>
          <c:dLbls>
            <c:delete val="1"/>
          </c:dLbls>
          <c:val>
            <c:numRef>
              <c:f>'Fund Cover Sheets'!$C$373:$K$373</c:f>
              <c:numCache>
                <c:formatCode>_(* #,##0_);_(* \(#,##0\);_(* "-"??_);_(@_)</c:formatCode>
                <c:ptCount val="9"/>
                <c:pt idx="0">
                  <c:v>1350923</c:v>
                </c:pt>
                <c:pt idx="1">
                  <c:v>1099988</c:v>
                </c:pt>
                <c:pt idx="2">
                  <c:v>558007</c:v>
                </c:pt>
                <c:pt idx="3">
                  <c:v>4410766</c:v>
                </c:pt>
                <c:pt idx="4">
                  <c:v>1760405</c:v>
                </c:pt>
                <c:pt idx="5">
                  <c:v>1613275</c:v>
                </c:pt>
                <c:pt idx="6">
                  <c:v>1189883</c:v>
                </c:pt>
                <c:pt idx="7">
                  <c:v>269905</c:v>
                </c:pt>
                <c:pt idx="8">
                  <c:v>447598</c:v>
                </c:pt>
              </c:numCache>
            </c:numRef>
          </c:val>
        </c:ser>
        <c:dLbls>
          <c:showVal val="1"/>
        </c:dLbls>
        <c:marker val="1"/>
        <c:axId val="90487424"/>
        <c:axId val="90571136"/>
      </c:lineChart>
      <c:catAx>
        <c:axId val="90487424"/>
        <c:scaling>
          <c:orientation val="minMax"/>
        </c:scaling>
        <c:axPos val="b"/>
        <c:tickLblPos val="none"/>
        <c:crossAx val="90571136"/>
        <c:crosses val="autoZero"/>
        <c:lblAlgn val="ctr"/>
        <c:lblOffset val="100"/>
        <c:tickMarkSkip val="1"/>
      </c:catAx>
      <c:valAx>
        <c:axId val="90571136"/>
        <c:scaling>
          <c:orientation val="minMax"/>
        </c:scaling>
        <c:axPos val="l"/>
        <c:numFmt formatCode="\$#,##0_);\(\$#,##0\)" sourceLinked="0"/>
        <c:tickLblPos val="nextTo"/>
        <c:txPr>
          <a:bodyPr rot="0" vert="horz"/>
          <a:lstStyle/>
          <a:p>
            <a:pPr>
              <a:defRPr/>
            </a:pPr>
            <a:endParaRPr lang="en-US"/>
          </a:p>
        </c:txPr>
        <c:crossAx val="90487424"/>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2249960629925289"/>
          <c:y val="0.22514661347785561"/>
          <c:w val="0.7775003970307226"/>
          <c:h val="0.53840924541128476"/>
        </c:manualLayout>
      </c:layout>
      <c:lineChart>
        <c:grouping val="standard"/>
        <c:ser>
          <c:idx val="0"/>
          <c:order val="0"/>
          <c:dLbls>
            <c:delete val="1"/>
          </c:dLbls>
          <c:val>
            <c:numRef>
              <c:f>'Fund Cover Sheets'!$C$808:$K$808</c:f>
              <c:numCache>
                <c:formatCode>_(* #,##0_);_(* \(#,##0\);_(* "-"??_);_(@_)</c:formatCode>
                <c:ptCount val="9"/>
                <c:pt idx="0">
                  <c:v>9815811</c:v>
                </c:pt>
                <c:pt idx="1">
                  <c:v>13095434</c:v>
                </c:pt>
                <c:pt idx="2">
                  <c:v>6562511</c:v>
                </c:pt>
                <c:pt idx="3">
                  <c:v>13688014</c:v>
                </c:pt>
                <c:pt idx="4">
                  <c:v>8163251</c:v>
                </c:pt>
                <c:pt idx="5">
                  <c:v>6170541</c:v>
                </c:pt>
                <c:pt idx="6">
                  <c:v>4753195</c:v>
                </c:pt>
                <c:pt idx="7">
                  <c:v>3049282</c:v>
                </c:pt>
                <c:pt idx="8">
                  <c:v>2465400</c:v>
                </c:pt>
              </c:numCache>
            </c:numRef>
          </c:val>
        </c:ser>
        <c:dLbls>
          <c:showVal val="1"/>
        </c:dLbls>
        <c:marker val="1"/>
        <c:axId val="90595328"/>
        <c:axId val="90596864"/>
      </c:lineChart>
      <c:catAx>
        <c:axId val="90595328"/>
        <c:scaling>
          <c:orientation val="minMax"/>
        </c:scaling>
        <c:axPos val="b"/>
        <c:tickLblPos val="none"/>
        <c:crossAx val="90596864"/>
        <c:crosses val="autoZero"/>
        <c:lblAlgn val="ctr"/>
        <c:lblOffset val="100"/>
        <c:tickMarkSkip val="1"/>
      </c:catAx>
      <c:valAx>
        <c:axId val="90596864"/>
        <c:scaling>
          <c:orientation val="minMax"/>
        </c:scaling>
        <c:axPos val="l"/>
        <c:numFmt formatCode="\$#,##0_);\(\$#,##0\)" sourceLinked="0"/>
        <c:tickLblPos val="nextTo"/>
        <c:txPr>
          <a:bodyPr rot="0" vert="horz"/>
          <a:lstStyle/>
          <a:p>
            <a:pPr>
              <a:defRPr/>
            </a:pPr>
            <a:endParaRPr lang="en-US"/>
          </a:p>
        </c:txPr>
        <c:crossAx val="90595328"/>
        <c:crosses val="autoZero"/>
        <c:crossBetween val="between"/>
        <c:dispUnits>
          <c:builtInUnit val="thousands"/>
          <c:dispUnitsLbl>
            <c:layout>
              <c:manualLayout>
                <c:xMode val="edge"/>
                <c:yMode val="edge"/>
                <c:x val="0.13842327257378204"/>
                <c:y val="0.19904545814212524"/>
              </c:manualLayout>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656062120348838"/>
          <c:y val="9.7421490655376728E-3"/>
        </c:manualLayout>
      </c:layout>
    </c:title>
    <c:plotArea>
      <c:layout>
        <c:manualLayout>
          <c:layoutTarget val="inner"/>
          <c:xMode val="edge"/>
          <c:yMode val="edge"/>
          <c:x val="0.22201220293137044"/>
          <c:y val="0.2062701961249819"/>
          <c:w val="0.77798779706863264"/>
          <c:h val="0.53840924541128476"/>
        </c:manualLayout>
      </c:layout>
      <c:lineChart>
        <c:grouping val="standard"/>
        <c:ser>
          <c:idx val="0"/>
          <c:order val="0"/>
          <c:dLbls>
            <c:delete val="1"/>
          </c:dLbls>
          <c:val>
            <c:numRef>
              <c:f>'Fund Cover Sheets'!$C$856:$K$856</c:f>
              <c:numCache>
                <c:formatCode>_(* #,##0_);_(* \(#,##0\);_(* "-"??_);_(@_)</c:formatCode>
                <c:ptCount val="9"/>
                <c:pt idx="0">
                  <c:v>497946</c:v>
                </c:pt>
                <c:pt idx="1">
                  <c:v>479397</c:v>
                </c:pt>
                <c:pt idx="2">
                  <c:v>393009</c:v>
                </c:pt>
                <c:pt idx="3">
                  <c:v>481611</c:v>
                </c:pt>
                <c:pt idx="4">
                  <c:v>464670</c:v>
                </c:pt>
                <c:pt idx="5">
                  <c:v>427339</c:v>
                </c:pt>
                <c:pt idx="6">
                  <c:v>379804</c:v>
                </c:pt>
                <c:pt idx="7">
                  <c:v>321236</c:v>
                </c:pt>
                <c:pt idx="8">
                  <c:v>250743</c:v>
                </c:pt>
              </c:numCache>
            </c:numRef>
          </c:val>
        </c:ser>
        <c:dLbls>
          <c:showVal val="1"/>
        </c:dLbls>
        <c:marker val="1"/>
        <c:axId val="90616960"/>
        <c:axId val="90618496"/>
      </c:lineChart>
      <c:catAx>
        <c:axId val="90616960"/>
        <c:scaling>
          <c:orientation val="minMax"/>
        </c:scaling>
        <c:axPos val="b"/>
        <c:tickLblPos val="none"/>
        <c:crossAx val="90618496"/>
        <c:crosses val="autoZero"/>
        <c:lblAlgn val="ctr"/>
        <c:lblOffset val="100"/>
        <c:tickMarkSkip val="1"/>
      </c:catAx>
      <c:valAx>
        <c:axId val="90618496"/>
        <c:scaling>
          <c:orientation val="minMax"/>
        </c:scaling>
        <c:axPos val="l"/>
        <c:numFmt formatCode="\$#,##0_);\(\$#,##0\)" sourceLinked="0"/>
        <c:tickLblPos val="nextTo"/>
        <c:txPr>
          <a:bodyPr rot="0" vert="horz"/>
          <a:lstStyle/>
          <a:p>
            <a:pPr>
              <a:defRPr/>
            </a:pPr>
            <a:endParaRPr lang="en-US"/>
          </a:p>
        </c:txPr>
        <c:crossAx val="90616960"/>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2555422379970497"/>
          <c:y val="8.3758656673940224E-2"/>
          <c:w val="0.77410116164820064"/>
          <c:h val="0.8156606851549757"/>
        </c:manualLayout>
      </c:layout>
      <c:lineChart>
        <c:grouping val="stacked"/>
        <c:ser>
          <c:idx val="0"/>
          <c:order val="0"/>
          <c:val>
            <c:numRef>
              <c:f>'Gen Fd Cover Sheets'!$C$75:$K$75</c:f>
              <c:numCache>
                <c:formatCode>_(* #,##0_);_(* \(#,##0\);_(* "-"??_);_(@_)</c:formatCode>
                <c:ptCount val="9"/>
                <c:pt idx="0">
                  <c:v>3812134</c:v>
                </c:pt>
                <c:pt idx="1">
                  <c:v>4315151</c:v>
                </c:pt>
                <c:pt idx="2">
                  <c:v>4978431</c:v>
                </c:pt>
                <c:pt idx="3">
                  <c:v>4915593</c:v>
                </c:pt>
                <c:pt idx="4">
                  <c:v>5254785</c:v>
                </c:pt>
                <c:pt idx="5">
                  <c:v>5399424</c:v>
                </c:pt>
                <c:pt idx="6">
                  <c:v>5585741</c:v>
                </c:pt>
                <c:pt idx="7">
                  <c:v>5806390</c:v>
                </c:pt>
                <c:pt idx="8">
                  <c:v>6046827</c:v>
                </c:pt>
              </c:numCache>
            </c:numRef>
          </c:val>
        </c:ser>
        <c:marker val="1"/>
        <c:axId val="79026048"/>
        <c:axId val="79027584"/>
      </c:lineChart>
      <c:catAx>
        <c:axId val="79026048"/>
        <c:scaling>
          <c:orientation val="minMax"/>
        </c:scaling>
        <c:delete val="1"/>
        <c:axPos val="b"/>
        <c:numFmt formatCode="#,##0_);\(#,##0\)" sourceLinked="1"/>
        <c:tickLblPos val="none"/>
        <c:crossAx val="79027584"/>
        <c:crosses val="autoZero"/>
        <c:auto val="1"/>
        <c:lblAlgn val="ctr"/>
        <c:lblOffset val="100"/>
      </c:catAx>
      <c:valAx>
        <c:axId val="79027584"/>
        <c:scaling>
          <c:orientation val="minMax"/>
        </c:scaling>
        <c:axPos val="l"/>
        <c:numFmt formatCode="\$#,##0_);\(\$#,##0\)" sourceLinked="0"/>
        <c:tickLblPos val="nextTo"/>
        <c:txPr>
          <a:bodyPr rot="0" vert="horz"/>
          <a:lstStyle/>
          <a:p>
            <a:pPr>
              <a:defRPr/>
            </a:pPr>
            <a:endParaRPr lang="en-US"/>
          </a:p>
        </c:txPr>
        <c:crossAx val="79026048"/>
        <c:crosses val="autoZero"/>
        <c:crossBetween val="between"/>
        <c:dispUnits>
          <c:builtInUnit val="thousands"/>
          <c:dispUnitsLbl>
            <c:layout>
              <c:manualLayout>
                <c:xMode val="edge"/>
                <c:yMode val="edge"/>
                <c:x val="0.13727009359680944"/>
                <c:y val="0.20862294493318617"/>
              </c:manualLayout>
            </c:layout>
            <c:txPr>
              <a:bodyPr rot="-5400000" vert="horz"/>
              <a:lstStyle/>
              <a:p>
                <a:pPr>
                  <a:defRPr/>
                </a:pPr>
                <a:endParaRPr lang="en-US"/>
              </a:p>
            </c:txPr>
          </c:dispUnitsLbl>
        </c:dispUnits>
      </c:valAx>
    </c:plotArea>
    <c:plotVisOnly val="1"/>
    <c:dispBlanksAs val="zero"/>
  </c:chart>
  <c:printSettings>
    <c:headerFooter alignWithMargins="0"/>
    <c:pageMargins b="1" l="0.75000000000001465" r="0.75000000000001465" t="1" header="0.5" footer="0.5"/>
    <c:pageSetup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6503331314354939"/>
          <c:y val="0.17946974847048938"/>
          <c:w val="0.7349666868564505"/>
          <c:h val="0.53840924541128476"/>
        </c:manualLayout>
      </c:layout>
      <c:lineChart>
        <c:grouping val="standard"/>
        <c:ser>
          <c:idx val="0"/>
          <c:order val="0"/>
          <c:dLbls>
            <c:delete val="1"/>
          </c:dLbls>
          <c:val>
            <c:numRef>
              <c:f>'Fund Cover Sheets'!$C$903:$K$903</c:f>
              <c:numCache>
                <c:formatCode>_(* #,##0_);_(* \(#,##0\);_(* "-"??_);_(@_)</c:formatCode>
                <c:ptCount val="9"/>
                <c:pt idx="0">
                  <c:v>580558</c:v>
                </c:pt>
                <c:pt idx="1">
                  <c:v>683219</c:v>
                </c:pt>
                <c:pt idx="2">
                  <c:v>268167</c:v>
                </c:pt>
                <c:pt idx="3">
                  <c:v>412431</c:v>
                </c:pt>
                <c:pt idx="4">
                  <c:v>269255</c:v>
                </c:pt>
                <c:pt idx="5">
                  <c:v>275819</c:v>
                </c:pt>
                <c:pt idx="6">
                  <c:v>283515</c:v>
                </c:pt>
                <c:pt idx="7">
                  <c:v>291647</c:v>
                </c:pt>
                <c:pt idx="8">
                  <c:v>300233</c:v>
                </c:pt>
              </c:numCache>
            </c:numRef>
          </c:val>
        </c:ser>
        <c:dLbls>
          <c:showVal val="1"/>
        </c:dLbls>
        <c:marker val="1"/>
        <c:axId val="90777856"/>
        <c:axId val="90787840"/>
      </c:lineChart>
      <c:catAx>
        <c:axId val="90777856"/>
        <c:scaling>
          <c:orientation val="minMax"/>
        </c:scaling>
        <c:axPos val="b"/>
        <c:tickLblPos val="none"/>
        <c:crossAx val="90787840"/>
        <c:crosses val="autoZero"/>
        <c:lblAlgn val="ctr"/>
        <c:lblOffset val="100"/>
        <c:tickMarkSkip val="1"/>
      </c:catAx>
      <c:valAx>
        <c:axId val="90787840"/>
        <c:scaling>
          <c:orientation val="minMax"/>
        </c:scaling>
        <c:axPos val="l"/>
        <c:numFmt formatCode="\$#,##0_);\(\$#,##0\)" sourceLinked="0"/>
        <c:tickLblPos val="nextTo"/>
        <c:txPr>
          <a:bodyPr rot="0" vert="horz"/>
          <a:lstStyle/>
          <a:p>
            <a:pPr>
              <a:defRPr/>
            </a:pPr>
            <a:endParaRPr lang="en-US"/>
          </a:p>
        </c:txPr>
        <c:crossAx val="90777856"/>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2811355042197792"/>
          <c:y val="0.1640419947506562"/>
          <c:w val="0.77188649815220001"/>
          <c:h val="0.79527559055120001"/>
        </c:manualLayout>
      </c:layout>
      <c:lineChart>
        <c:grouping val="standard"/>
        <c:ser>
          <c:idx val="0"/>
          <c:order val="0"/>
          <c:val>
            <c:numRef>
              <c:f>'Gen Fd Cover Sheets'!$C$108:$K$108</c:f>
              <c:numCache>
                <c:formatCode>_(* #,##0_);_(* \(#,##0\);_(* "-"??_);_(@_)</c:formatCode>
                <c:ptCount val="9"/>
                <c:pt idx="0">
                  <c:v>407538</c:v>
                </c:pt>
                <c:pt idx="1">
                  <c:v>592588</c:v>
                </c:pt>
                <c:pt idx="2">
                  <c:v>685228</c:v>
                </c:pt>
                <c:pt idx="3">
                  <c:v>685805</c:v>
                </c:pt>
                <c:pt idx="4">
                  <c:v>741002</c:v>
                </c:pt>
                <c:pt idx="5">
                  <c:v>737282</c:v>
                </c:pt>
                <c:pt idx="6">
                  <c:v>759715</c:v>
                </c:pt>
                <c:pt idx="7">
                  <c:v>790248</c:v>
                </c:pt>
                <c:pt idx="8">
                  <c:v>815120</c:v>
                </c:pt>
              </c:numCache>
            </c:numRef>
          </c:val>
        </c:ser>
        <c:marker val="1"/>
        <c:axId val="79104640"/>
        <c:axId val="79106432"/>
      </c:lineChart>
      <c:catAx>
        <c:axId val="79104640"/>
        <c:scaling>
          <c:orientation val="minMax"/>
        </c:scaling>
        <c:delete val="1"/>
        <c:axPos val="b"/>
        <c:tickLblPos val="none"/>
        <c:crossAx val="79106432"/>
        <c:crosses val="autoZero"/>
        <c:auto val="1"/>
        <c:lblAlgn val="ctr"/>
        <c:lblOffset val="100"/>
      </c:catAx>
      <c:valAx>
        <c:axId val="79106432"/>
        <c:scaling>
          <c:orientation val="minMax"/>
          <c:min val="0"/>
        </c:scaling>
        <c:axPos val="l"/>
        <c:numFmt formatCode="\$#,##0_);\(\$#,##0\)" sourceLinked="0"/>
        <c:tickLblPos val="nextTo"/>
        <c:txPr>
          <a:bodyPr rot="0" vert="horz"/>
          <a:lstStyle/>
          <a:p>
            <a:pPr>
              <a:defRPr/>
            </a:pPr>
            <a:endParaRPr lang="en-US"/>
          </a:p>
        </c:txPr>
        <c:crossAx val="79104640"/>
        <c:crosses val="autoZero"/>
        <c:crossBetween val="between"/>
        <c:dispUnits>
          <c:builtInUnit val="thousands"/>
          <c:dispUnitsLbl>
            <c:layout>
              <c:manualLayout>
                <c:xMode val="edge"/>
                <c:yMode val="edge"/>
                <c:x val="0.15047424170664594"/>
                <c:y val="0.19028871391076116"/>
              </c:manualLayout>
            </c:layout>
            <c:txPr>
              <a:bodyPr rot="-5400000" vert="horz"/>
              <a:lstStyle/>
              <a:p>
                <a:pPr>
                  <a:defRPr/>
                </a:pPr>
                <a:endParaRPr lang="en-US"/>
              </a:p>
            </c:txPr>
          </c:dispUnitsLbl>
        </c:dispUnits>
      </c:valAx>
    </c:plotArea>
    <c:plotVisOnly val="1"/>
    <c:dispBlanksAs val="gap"/>
  </c:chart>
  <c:printSettings>
    <c:headerFooter alignWithMargins="0"/>
    <c:pageMargins b="1" l="0.75000000000001465" r="0.75000000000001465"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0190385094280844"/>
          <c:y val="9.2177413634106503E-2"/>
          <c:w val="0.78985932633768163"/>
          <c:h val="0.80607414494849161"/>
        </c:manualLayout>
      </c:layout>
      <c:lineChart>
        <c:grouping val="standard"/>
        <c:ser>
          <c:idx val="0"/>
          <c:order val="0"/>
          <c:val>
            <c:numRef>
              <c:f>'Gen Fd Cover Sheets'!$C$136:$K$136</c:f>
              <c:numCache>
                <c:formatCode>_(* #,##0_);_(* \(#,##0\);_(* "-"??_);_(@_)</c:formatCode>
                <c:ptCount val="9"/>
                <c:pt idx="0">
                  <c:v>2045050</c:v>
                </c:pt>
                <c:pt idx="1">
                  <c:v>1977692</c:v>
                </c:pt>
                <c:pt idx="2">
                  <c:v>2084907</c:v>
                </c:pt>
                <c:pt idx="3">
                  <c:v>2213181</c:v>
                </c:pt>
                <c:pt idx="4">
                  <c:v>2120219</c:v>
                </c:pt>
                <c:pt idx="5">
                  <c:v>2227602</c:v>
                </c:pt>
                <c:pt idx="6">
                  <c:v>2295093</c:v>
                </c:pt>
                <c:pt idx="7">
                  <c:v>2365383</c:v>
                </c:pt>
                <c:pt idx="8">
                  <c:v>2438572</c:v>
                </c:pt>
              </c:numCache>
            </c:numRef>
          </c:val>
        </c:ser>
        <c:marker val="1"/>
        <c:axId val="79121792"/>
        <c:axId val="79123584"/>
      </c:lineChart>
      <c:catAx>
        <c:axId val="79121792"/>
        <c:scaling>
          <c:orientation val="minMax"/>
        </c:scaling>
        <c:delete val="1"/>
        <c:axPos val="b"/>
        <c:tickLblPos val="none"/>
        <c:crossAx val="79123584"/>
        <c:crosses val="autoZero"/>
        <c:auto val="1"/>
        <c:lblAlgn val="ctr"/>
        <c:lblOffset val="100"/>
      </c:catAx>
      <c:valAx>
        <c:axId val="79123584"/>
        <c:scaling>
          <c:orientation val="minMax"/>
        </c:scaling>
        <c:axPos val="l"/>
        <c:numFmt formatCode="\$#,##0_);\(\$#,##0\)" sourceLinked="0"/>
        <c:tickLblPos val="nextTo"/>
        <c:txPr>
          <a:bodyPr rot="0" vert="horz"/>
          <a:lstStyle/>
          <a:p>
            <a:pPr>
              <a:defRPr/>
            </a:pPr>
            <a:endParaRPr lang="en-US"/>
          </a:p>
        </c:txPr>
        <c:crossAx val="79121792"/>
        <c:crosses val="autoZero"/>
        <c:crossBetween val="between"/>
        <c:dispUnits>
          <c:builtInUnit val="thousands"/>
          <c:dispUnitsLbl>
            <c:layout>
              <c:manualLayout>
                <c:xMode val="edge"/>
                <c:yMode val="edge"/>
                <c:x val="0.11749695671602722"/>
                <c:y val="0.13159182804852088"/>
              </c:manualLayout>
            </c:layout>
            <c:txPr>
              <a:bodyPr rot="-5400000" vert="horz"/>
              <a:lstStyle/>
              <a:p>
                <a:pPr>
                  <a:defRPr/>
                </a:pPr>
                <a:endParaRPr lang="en-US"/>
              </a:p>
            </c:txPr>
          </c:dispUnitsLbl>
        </c:dispUnits>
      </c:valAx>
    </c:plotArea>
    <c:plotVisOnly val="1"/>
    <c:dispBlanksAs val="gap"/>
  </c:chart>
  <c:printSettings>
    <c:headerFooter alignWithMargins="0"/>
    <c:pageMargins b="1" l="0.75000000000001465" r="0.75000000000001465" t="1" header="0.5" footer="0.5"/>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5234598557698207"/>
          <c:y val="8.9162123965274245E-2"/>
          <c:w val="0.74765403742229553"/>
          <c:h val="0.82398155265190065"/>
        </c:manualLayout>
      </c:layout>
      <c:lineChart>
        <c:grouping val="standard"/>
        <c:ser>
          <c:idx val="0"/>
          <c:order val="0"/>
          <c:val>
            <c:numRef>
              <c:f>'Gen Fd Cover Sheets'!$C$169:$K$169</c:f>
              <c:numCache>
                <c:formatCode>_(* #,##0_);_(* \(#,##0\);_(* "-"??_);_(@_)</c:formatCode>
                <c:ptCount val="9"/>
                <c:pt idx="0">
                  <c:v>6487837</c:v>
                </c:pt>
                <c:pt idx="1">
                  <c:v>5202932</c:v>
                </c:pt>
                <c:pt idx="2">
                  <c:v>5303621</c:v>
                </c:pt>
                <c:pt idx="3">
                  <c:v>5302910</c:v>
                </c:pt>
                <c:pt idx="4">
                  <c:v>5487319</c:v>
                </c:pt>
                <c:pt idx="5">
                  <c:v>5773977</c:v>
                </c:pt>
                <c:pt idx="6">
                  <c:v>5867492</c:v>
                </c:pt>
                <c:pt idx="7">
                  <c:v>5995137</c:v>
                </c:pt>
                <c:pt idx="8">
                  <c:v>6118460</c:v>
                </c:pt>
              </c:numCache>
            </c:numRef>
          </c:val>
        </c:ser>
        <c:marker val="1"/>
        <c:axId val="79131008"/>
        <c:axId val="79132544"/>
      </c:lineChart>
      <c:catAx>
        <c:axId val="79131008"/>
        <c:scaling>
          <c:orientation val="minMax"/>
        </c:scaling>
        <c:delete val="1"/>
        <c:axPos val="b"/>
        <c:tickLblPos val="none"/>
        <c:crossAx val="79132544"/>
        <c:crosses val="autoZero"/>
        <c:auto val="1"/>
        <c:lblAlgn val="ctr"/>
        <c:lblOffset val="100"/>
      </c:catAx>
      <c:valAx>
        <c:axId val="79132544"/>
        <c:scaling>
          <c:orientation val="minMax"/>
        </c:scaling>
        <c:axPos val="l"/>
        <c:numFmt formatCode="\$#,##0_);\(\$#,##0\)" sourceLinked="0"/>
        <c:tickLblPos val="nextTo"/>
        <c:txPr>
          <a:bodyPr rot="0" vert="horz"/>
          <a:lstStyle/>
          <a:p>
            <a:pPr>
              <a:defRPr/>
            </a:pPr>
            <a:endParaRPr lang="en-US"/>
          </a:p>
        </c:txPr>
        <c:crossAx val="79131008"/>
        <c:crosses val="autoZero"/>
        <c:crossBetween val="between"/>
        <c:dispUnits>
          <c:builtInUnit val="thousands"/>
          <c:dispUnitsLbl>
            <c:layout>
              <c:manualLayout>
                <c:xMode val="edge"/>
                <c:yMode val="edge"/>
                <c:x val="0.17527220196003246"/>
                <c:y val="0.17634161114476074"/>
              </c:manualLayout>
            </c:layout>
            <c:txPr>
              <a:bodyPr rot="-5400000" vert="horz"/>
              <a:lstStyle/>
              <a:p>
                <a:pPr>
                  <a:defRPr/>
                </a:pPr>
                <a:endParaRPr lang="en-US"/>
              </a:p>
            </c:txPr>
          </c:dispUnitsLbl>
        </c:dispUnits>
      </c:valAx>
    </c:plotArea>
    <c:plotVisOnly val="1"/>
    <c:dispBlanksAs val="gap"/>
  </c:chart>
  <c:printSettings>
    <c:headerFooter alignWithMargins="0"/>
    <c:pageMargins b="1" l="0.75000000000001465" r="0.75000000000001465" t="1" header="0.5" footer="0.5"/>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5912989649878672"/>
          <c:y val="2.3142484073912777E-2"/>
        </c:manualLayout>
      </c:layout>
    </c:title>
    <c:plotArea>
      <c:layout>
        <c:manualLayout>
          <c:layoutTarget val="inner"/>
          <c:xMode val="edge"/>
          <c:yMode val="edge"/>
          <c:x val="0.22286824555490894"/>
          <c:y val="0.17946974847048694"/>
          <c:w val="0.7770240258429234"/>
          <c:h val="0.53840924541128476"/>
        </c:manualLayout>
      </c:layout>
      <c:lineChart>
        <c:grouping val="standard"/>
        <c:ser>
          <c:idx val="0"/>
          <c:order val="0"/>
          <c:dLbls>
            <c:delete val="1"/>
          </c:dLbls>
          <c:val>
            <c:numRef>
              <c:f>'Veh &amp; Equip Cover Sheet'!$C$51:$K$51</c:f>
              <c:numCache>
                <c:formatCode>_(* #,##0_);_(* \(#,##0\);_(* "-"??_);_(@_)</c:formatCode>
                <c:ptCount val="9"/>
                <c:pt idx="0">
                  <c:v>147746</c:v>
                </c:pt>
                <c:pt idx="1">
                  <c:v>105577</c:v>
                </c:pt>
                <c:pt idx="2">
                  <c:v>-1224</c:v>
                </c:pt>
                <c:pt idx="3">
                  <c:v>52734</c:v>
                </c:pt>
                <c:pt idx="4">
                  <c:v>0</c:v>
                </c:pt>
                <c:pt idx="5">
                  <c:v>106</c:v>
                </c:pt>
                <c:pt idx="6">
                  <c:v>212</c:v>
                </c:pt>
                <c:pt idx="7">
                  <c:v>318</c:v>
                </c:pt>
                <c:pt idx="8">
                  <c:v>424</c:v>
                </c:pt>
              </c:numCache>
            </c:numRef>
          </c:val>
        </c:ser>
        <c:dLbls>
          <c:showVal val="1"/>
        </c:dLbls>
        <c:marker val="1"/>
        <c:axId val="79156736"/>
        <c:axId val="79158272"/>
      </c:lineChart>
      <c:catAx>
        <c:axId val="79156736"/>
        <c:scaling>
          <c:orientation val="minMax"/>
        </c:scaling>
        <c:axPos val="b"/>
        <c:tickLblPos val="none"/>
        <c:crossAx val="79158272"/>
        <c:crosses val="autoZero"/>
        <c:lblAlgn val="ctr"/>
        <c:lblOffset val="100"/>
        <c:tickMarkSkip val="1"/>
      </c:catAx>
      <c:valAx>
        <c:axId val="79158272"/>
        <c:scaling>
          <c:orientation val="minMax"/>
        </c:scaling>
        <c:axPos val="l"/>
        <c:numFmt formatCode="\$#,##0_);\(\$#,##0\)" sourceLinked="0"/>
        <c:tickLblPos val="nextTo"/>
        <c:txPr>
          <a:bodyPr rot="0" vert="horz"/>
          <a:lstStyle/>
          <a:p>
            <a:pPr>
              <a:defRPr/>
            </a:pPr>
            <a:endParaRPr lang="en-US"/>
          </a:p>
        </c:txPr>
        <c:crossAx val="79156736"/>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2249960629925289"/>
          <c:y val="0.22514661347785561"/>
          <c:w val="0.7775003970307226"/>
          <c:h val="0.53840924541128476"/>
        </c:manualLayout>
      </c:layout>
      <c:lineChart>
        <c:grouping val="standard"/>
        <c:ser>
          <c:idx val="0"/>
          <c:order val="0"/>
          <c:dLbls>
            <c:delete val="1"/>
          </c:dLbls>
          <c:val>
            <c:numRef>
              <c:f>'Fund Cover Sheets'!$C$32:$K$32</c:f>
              <c:numCache>
                <c:formatCode>_(* #,##0_);_(* \(#,##0\);_(* "-"??_);_(@_)</c:formatCode>
                <c:ptCount val="9"/>
                <c:pt idx="0">
                  <c:v>3860581</c:v>
                </c:pt>
                <c:pt idx="1">
                  <c:v>4826059</c:v>
                </c:pt>
                <c:pt idx="2">
                  <c:v>4110607</c:v>
                </c:pt>
                <c:pt idx="3">
                  <c:v>5013686</c:v>
                </c:pt>
                <c:pt idx="4">
                  <c:v>4727411</c:v>
                </c:pt>
                <c:pt idx="5">
                  <c:v>4193927</c:v>
                </c:pt>
                <c:pt idx="6">
                  <c:v>3553265</c:v>
                </c:pt>
                <c:pt idx="7">
                  <c:v>2720236</c:v>
                </c:pt>
                <c:pt idx="8">
                  <c:v>1685380</c:v>
                </c:pt>
              </c:numCache>
            </c:numRef>
          </c:val>
        </c:ser>
        <c:dLbls>
          <c:showVal val="1"/>
        </c:dLbls>
        <c:marker val="1"/>
        <c:axId val="80219136"/>
        <c:axId val="86004480"/>
      </c:lineChart>
      <c:catAx>
        <c:axId val="80219136"/>
        <c:scaling>
          <c:orientation val="minMax"/>
        </c:scaling>
        <c:axPos val="b"/>
        <c:tickLblPos val="none"/>
        <c:crossAx val="86004480"/>
        <c:crosses val="autoZero"/>
        <c:lblAlgn val="ctr"/>
        <c:lblOffset val="100"/>
        <c:tickMarkSkip val="1"/>
      </c:catAx>
      <c:valAx>
        <c:axId val="86004480"/>
        <c:scaling>
          <c:orientation val="minMax"/>
        </c:scaling>
        <c:axPos val="l"/>
        <c:numFmt formatCode="\$#,##0_);\(\$#,##0\)" sourceLinked="0"/>
        <c:tickLblPos val="nextTo"/>
        <c:txPr>
          <a:bodyPr rot="0" vert="horz"/>
          <a:lstStyle/>
          <a:p>
            <a:pPr>
              <a:defRPr/>
            </a:pPr>
            <a:endParaRPr lang="en-US"/>
          </a:p>
        </c:txPr>
        <c:crossAx val="80219136"/>
        <c:crosses val="autoZero"/>
        <c:crossBetween val="between"/>
        <c:dispUnits>
          <c:builtInUnit val="thousands"/>
          <c:dispUnitsLbl>
            <c:layout>
              <c:manualLayout>
                <c:xMode val="edge"/>
                <c:yMode val="edge"/>
                <c:x val="0.13842327257378204"/>
                <c:y val="0.19904545814212507"/>
              </c:manualLayout>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800" b="1" i="0" u="none" strike="noStrike" baseline="0">
                <a:solidFill>
                  <a:srgbClr val="000000"/>
                </a:solidFill>
                <a:latin typeface="Arial"/>
                <a:ea typeface="Arial"/>
                <a:cs typeface="Arial"/>
              </a:defRPr>
            </a:pPr>
            <a:r>
              <a:rPr lang="en-US"/>
              <a:t>Fund Balance</a:t>
            </a:r>
          </a:p>
        </c:rich>
      </c:tx>
      <c:layout>
        <c:manualLayout>
          <c:xMode val="edge"/>
          <c:yMode val="edge"/>
          <c:x val="0.43732960799270393"/>
          <c:y val="4.9943330947267994E-2"/>
        </c:manualLayout>
      </c:layout>
      <c:spPr>
        <a:noFill/>
        <a:ln w="25400">
          <a:noFill/>
        </a:ln>
      </c:spPr>
    </c:title>
    <c:plotArea>
      <c:layout>
        <c:manualLayout>
          <c:layoutTarget val="inner"/>
          <c:xMode val="edge"/>
          <c:yMode val="edge"/>
          <c:x val="5.9299681139162924E-2"/>
          <c:y val="0.17946974847048691"/>
          <c:w val="0.92473125950363511"/>
          <c:h val="0.53840924541128476"/>
        </c:manualLayout>
      </c:layout>
      <c:lineChart>
        <c:grouping val="standard"/>
        <c:ser>
          <c:idx val="2"/>
          <c:order val="0"/>
          <c:tx>
            <c:v>Fund Balance</c:v>
          </c:tx>
          <c:spPr>
            <a:ln w="3175">
              <a:solidFill>
                <a:srgbClr val="000000"/>
              </a:solidFill>
              <a:prstDash val="solid"/>
            </a:ln>
          </c:spPr>
          <c:marker>
            <c:symbol val="triangle"/>
            <c:size val="7"/>
            <c:spPr>
              <a:solidFill>
                <a:srgbClr val="000000"/>
              </a:solidFill>
              <a:ln>
                <a:solidFill>
                  <a:srgbClr val="000000"/>
                </a:solidFill>
                <a:prstDash val="solid"/>
              </a:ln>
            </c:spPr>
          </c:marker>
          <c:dLbls>
            <c:spPr>
              <a:noFill/>
              <a:ln w="25400">
                <a:noFill/>
              </a:ln>
            </c:spPr>
            <c:txPr>
              <a:bodyPr/>
              <a:lstStyle/>
              <a:p>
                <a:pPr>
                  <a:defRPr sz="450" b="0" i="0" u="none" strike="noStrike" baseline="0">
                    <a:solidFill>
                      <a:srgbClr val="000000"/>
                    </a:solidFill>
                    <a:latin typeface="Arial"/>
                    <a:ea typeface="Arial"/>
                    <a:cs typeface="Arial"/>
                  </a:defRPr>
                </a:pPr>
                <a:endParaRPr lang="en-US"/>
              </a:p>
            </c:txPr>
            <c:showVal val="1"/>
          </c:dLbls>
          <c:val>
            <c:numLit>
              <c:formatCode>General</c:formatCode>
              <c:ptCount val="5"/>
              <c:pt idx="0">
                <c:v>-534828</c:v>
              </c:pt>
              <c:pt idx="1">
                <c:v>-2374704</c:v>
              </c:pt>
              <c:pt idx="2">
                <c:v>270222</c:v>
              </c:pt>
              <c:pt idx="3">
                <c:v>-1131924</c:v>
              </c:pt>
              <c:pt idx="4">
                <c:v>-1068555</c:v>
              </c:pt>
            </c:numLit>
          </c:val>
        </c:ser>
        <c:dLbls>
          <c:showVal val="1"/>
        </c:dLbls>
        <c:marker val="1"/>
        <c:axId val="86250240"/>
        <c:axId val="86251776"/>
      </c:lineChart>
      <c:catAx>
        <c:axId val="86250240"/>
        <c:scaling>
          <c:orientation val="minMax"/>
        </c:scaling>
        <c:axPos val="b"/>
        <c:numFmt formatCode="General" sourceLinked="1"/>
        <c:tickLblPos val="nextTo"/>
        <c:spPr>
          <a:ln w="3175">
            <a:solidFill>
              <a:srgbClr val="000000"/>
            </a:solidFill>
            <a:prstDash val="solid"/>
          </a:ln>
        </c:spPr>
        <c:txPr>
          <a:bodyPr rot="-3180000" vert="horz"/>
          <a:lstStyle/>
          <a:p>
            <a:pPr>
              <a:defRPr sz="450" b="0" i="0" u="none" strike="noStrike" baseline="0">
                <a:solidFill>
                  <a:srgbClr val="000000"/>
                </a:solidFill>
                <a:latin typeface="Arial"/>
                <a:ea typeface="Arial"/>
                <a:cs typeface="Arial"/>
              </a:defRPr>
            </a:pPr>
            <a:endParaRPr lang="en-US"/>
          </a:p>
        </c:txPr>
        <c:crossAx val="86251776"/>
        <c:crosses val="autoZero"/>
        <c:lblAlgn val="ctr"/>
        <c:lblOffset val="100"/>
        <c:tickLblSkip val="1"/>
        <c:tickMarkSkip val="1"/>
      </c:catAx>
      <c:valAx>
        <c:axId val="86251776"/>
        <c:scaling>
          <c:orientation val="minMax"/>
        </c:scaling>
        <c:axPos val="l"/>
        <c:numFmt formatCode="\$#,##0_);\(\$#,##0\)" sourceLinked="0"/>
        <c:tickLblPos val="nextTo"/>
        <c:spPr>
          <a:ln w="3175">
            <a:solidFill>
              <a:srgbClr val="000000"/>
            </a:solidFill>
            <a:prstDash val="solid"/>
          </a:ln>
        </c:spPr>
        <c:txPr>
          <a:bodyPr rot="0" vert="horz"/>
          <a:lstStyle/>
          <a:p>
            <a:pPr>
              <a:defRPr sz="450" b="0" i="0" u="none" strike="noStrike" baseline="0">
                <a:solidFill>
                  <a:srgbClr val="000000"/>
                </a:solidFill>
                <a:latin typeface="Arial"/>
                <a:ea typeface="Arial"/>
                <a:cs typeface="Arial"/>
              </a:defRPr>
            </a:pPr>
            <a:endParaRPr lang="en-US"/>
          </a:p>
        </c:txPr>
        <c:crossAx val="86250240"/>
        <c:crosses val="autoZero"/>
        <c:crossBetween val="between"/>
        <c:dispUnits>
          <c:builtInUnit val="thousands"/>
          <c:dispUnitsLbl>
            <c:layout>
              <c:manualLayout>
                <c:xMode val="edge"/>
                <c:yMode val="edge"/>
                <c:x val="2.5885558583107492E-2"/>
                <c:y val="0.28149829738943305"/>
              </c:manualLayout>
            </c:layout>
            <c:spPr>
              <a:noFill/>
              <a:ln w="25400">
                <a:noFill/>
              </a:ln>
            </c:spPr>
            <c:txPr>
              <a:bodyPr rot="-5400000" vert="horz"/>
              <a:lstStyle/>
              <a:p>
                <a:pPr algn="ctr">
                  <a:defRPr sz="525" b="1" i="0" u="none" strike="noStrike" baseline="0">
                    <a:solidFill>
                      <a:srgbClr val="000000"/>
                    </a:solidFill>
                    <a:latin typeface="Arial"/>
                    <a:ea typeface="Arial"/>
                    <a:cs typeface="Arial"/>
                  </a:defRPr>
                </a:pPr>
                <a:endParaRPr lang="en-US"/>
              </a:p>
            </c:txPr>
          </c:dispUnitsLbl>
        </c:dispUnits>
      </c:valAx>
      <c:spPr>
        <a:solidFill>
          <a:srgbClr val="FFFFFF"/>
        </a:solidFill>
        <a:ln w="12700">
          <a:solidFill>
            <a:srgbClr val="FFFFFF"/>
          </a:solidFill>
          <a:prstDash val="solid"/>
        </a:ln>
      </c:spPr>
    </c:plotArea>
    <c:plotVisOnly val="1"/>
    <c:dispBlanksAs val="gap"/>
  </c:chart>
  <c:spPr>
    <a:solidFill>
      <a:srgbClr val="FFFFFF"/>
    </a:solidFill>
    <a:ln w="9525">
      <a:noFill/>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5.xml"/><Relationship Id="rId13" Type="http://schemas.openxmlformats.org/officeDocument/2006/relationships/chart" Target="../charts/chart20.xml"/><Relationship Id="rId18" Type="http://schemas.openxmlformats.org/officeDocument/2006/relationships/chart" Target="../charts/chart25.xml"/><Relationship Id="rId3" Type="http://schemas.openxmlformats.org/officeDocument/2006/relationships/chart" Target="../charts/chart10.xml"/><Relationship Id="rId21" Type="http://schemas.openxmlformats.org/officeDocument/2006/relationships/chart" Target="../charts/chart28.xml"/><Relationship Id="rId7" Type="http://schemas.openxmlformats.org/officeDocument/2006/relationships/chart" Target="../charts/chart14.xml"/><Relationship Id="rId12" Type="http://schemas.openxmlformats.org/officeDocument/2006/relationships/chart" Target="../charts/chart19.xml"/><Relationship Id="rId17" Type="http://schemas.openxmlformats.org/officeDocument/2006/relationships/chart" Target="../charts/chart24.xml"/><Relationship Id="rId2" Type="http://schemas.openxmlformats.org/officeDocument/2006/relationships/chart" Target="../charts/chart9.xml"/><Relationship Id="rId16" Type="http://schemas.openxmlformats.org/officeDocument/2006/relationships/chart" Target="../charts/chart23.xml"/><Relationship Id="rId20" Type="http://schemas.openxmlformats.org/officeDocument/2006/relationships/chart" Target="../charts/chart27.xml"/><Relationship Id="rId1" Type="http://schemas.openxmlformats.org/officeDocument/2006/relationships/chart" Target="../charts/chart8.xml"/><Relationship Id="rId6" Type="http://schemas.openxmlformats.org/officeDocument/2006/relationships/chart" Target="../charts/chart13.xml"/><Relationship Id="rId11" Type="http://schemas.openxmlformats.org/officeDocument/2006/relationships/chart" Target="../charts/chart18.xml"/><Relationship Id="rId5" Type="http://schemas.openxmlformats.org/officeDocument/2006/relationships/chart" Target="../charts/chart12.xml"/><Relationship Id="rId15" Type="http://schemas.openxmlformats.org/officeDocument/2006/relationships/chart" Target="../charts/chart22.xml"/><Relationship Id="rId23" Type="http://schemas.openxmlformats.org/officeDocument/2006/relationships/chart" Target="../charts/chart30.xml"/><Relationship Id="rId10" Type="http://schemas.openxmlformats.org/officeDocument/2006/relationships/chart" Target="../charts/chart17.xml"/><Relationship Id="rId19" Type="http://schemas.openxmlformats.org/officeDocument/2006/relationships/chart" Target="../charts/chart26.xml"/><Relationship Id="rId4" Type="http://schemas.openxmlformats.org/officeDocument/2006/relationships/chart" Target="../charts/chart11.xml"/><Relationship Id="rId9" Type="http://schemas.openxmlformats.org/officeDocument/2006/relationships/chart" Target="../charts/chart16.xml"/><Relationship Id="rId14" Type="http://schemas.openxmlformats.org/officeDocument/2006/relationships/chart" Target="../charts/chart21.xml"/><Relationship Id="rId22" Type="http://schemas.openxmlformats.org/officeDocument/2006/relationships/chart" Target="../charts/chart29.xml"/></Relationships>
</file>

<file path=xl/drawings/drawing1.xml><?xml version="1.0" encoding="utf-8"?>
<xdr:wsDr xmlns:xdr="http://schemas.openxmlformats.org/drawingml/2006/spreadsheetDrawing" xmlns:a="http://schemas.openxmlformats.org/drawingml/2006/main">
  <xdr:twoCellAnchor>
    <xdr:from>
      <xdr:col>1</xdr:col>
      <xdr:colOff>38099</xdr:colOff>
      <xdr:row>17</xdr:row>
      <xdr:rowOff>190500</xdr:rowOff>
    </xdr:from>
    <xdr:to>
      <xdr:col>10</xdr:col>
      <xdr:colOff>809625</xdr:colOff>
      <xdr:row>29</xdr:row>
      <xdr:rowOff>133350</xdr:rowOff>
    </xdr:to>
    <xdr:graphicFrame macro="">
      <xdr:nvGraphicFramePr>
        <xdr:cNvPr id="2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9523</xdr:colOff>
      <xdr:row>49</xdr:row>
      <xdr:rowOff>7620</xdr:rowOff>
    </xdr:from>
    <xdr:to>
      <xdr:col>10</xdr:col>
      <xdr:colOff>819150</xdr:colOff>
      <xdr:row>59</xdr:row>
      <xdr:rowOff>38100</xdr:rowOff>
    </xdr:to>
    <xdr:graphicFrame macro="">
      <xdr:nvGraphicFramePr>
        <xdr:cNvPr id="2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209548</xdr:colOff>
      <xdr:row>76</xdr:row>
      <xdr:rowOff>160020</xdr:rowOff>
    </xdr:from>
    <xdr:to>
      <xdr:col>10</xdr:col>
      <xdr:colOff>847724</xdr:colOff>
      <xdr:row>90</xdr:row>
      <xdr:rowOff>22860</xdr:rowOff>
    </xdr:to>
    <xdr:graphicFrame macro="">
      <xdr:nvGraphicFramePr>
        <xdr:cNvPr id="3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188595</xdr:colOff>
      <xdr:row>110</xdr:row>
      <xdr:rowOff>7620</xdr:rowOff>
    </xdr:from>
    <xdr:to>
      <xdr:col>10</xdr:col>
      <xdr:colOff>838200</xdr:colOff>
      <xdr:row>120</xdr:row>
      <xdr:rowOff>38100</xdr:rowOff>
    </xdr:to>
    <xdr:graphicFrame macro="">
      <xdr:nvGraphicFramePr>
        <xdr:cNvPr id="3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9525</xdr:colOff>
      <xdr:row>138</xdr:row>
      <xdr:rowOff>182880</xdr:rowOff>
    </xdr:from>
    <xdr:to>
      <xdr:col>10</xdr:col>
      <xdr:colOff>838199</xdr:colOff>
      <xdr:row>150</xdr:row>
      <xdr:rowOff>152400</xdr:rowOff>
    </xdr:to>
    <xdr:graphicFrame macro="">
      <xdr:nvGraphicFramePr>
        <xdr:cNvPr id="3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209549</xdr:colOff>
      <xdr:row>171</xdr:row>
      <xdr:rowOff>0</xdr:rowOff>
    </xdr:from>
    <xdr:to>
      <xdr:col>10</xdr:col>
      <xdr:colOff>819150</xdr:colOff>
      <xdr:row>184</xdr:row>
      <xdr:rowOff>0</xdr:rowOff>
    </xdr:to>
    <xdr:graphicFrame macro="">
      <xdr:nvGraphicFramePr>
        <xdr:cNvPr id="3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52</xdr:row>
      <xdr:rowOff>0</xdr:rowOff>
    </xdr:from>
    <xdr:to>
      <xdr:col>10</xdr:col>
      <xdr:colOff>809625</xdr:colOff>
      <xdr:row>61</xdr:row>
      <xdr:rowOff>161925</xdr:rowOff>
    </xdr:to>
    <xdr:graphicFrame macro="">
      <xdr:nvGraphicFramePr>
        <xdr:cNvPr id="2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28573</xdr:colOff>
      <xdr:row>34</xdr:row>
      <xdr:rowOff>6351</xdr:rowOff>
    </xdr:from>
    <xdr:to>
      <xdr:col>10</xdr:col>
      <xdr:colOff>838199</xdr:colOff>
      <xdr:row>44</xdr:row>
      <xdr:rowOff>47625</xdr:rowOff>
    </xdr:to>
    <xdr:graphicFrame macro="">
      <xdr:nvGraphicFramePr>
        <xdr:cNvPr id="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70</xdr:row>
      <xdr:rowOff>0</xdr:rowOff>
    </xdr:from>
    <xdr:to>
      <xdr:col>2</xdr:col>
      <xdr:colOff>590550</xdr:colOff>
      <xdr:row>78</xdr:row>
      <xdr:rowOff>152400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69</xdr:row>
      <xdr:rowOff>190499</xdr:rowOff>
    </xdr:from>
    <xdr:to>
      <xdr:col>10</xdr:col>
      <xdr:colOff>838200</xdr:colOff>
      <xdr:row>79</xdr:row>
      <xdr:rowOff>180974</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105</xdr:row>
      <xdr:rowOff>123825</xdr:rowOff>
    </xdr:from>
    <xdr:to>
      <xdr:col>10</xdr:col>
      <xdr:colOff>838200</xdr:colOff>
      <xdr:row>115</xdr:row>
      <xdr:rowOff>123824</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143</xdr:row>
      <xdr:rowOff>38099</xdr:rowOff>
    </xdr:from>
    <xdr:to>
      <xdr:col>10</xdr:col>
      <xdr:colOff>828675</xdr:colOff>
      <xdr:row>154</xdr:row>
      <xdr:rowOff>28574</xdr:rowOff>
    </xdr:to>
    <xdr:graphicFrame macro="">
      <xdr:nvGraphicFramePr>
        <xdr:cNvPr id="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179</xdr:row>
      <xdr:rowOff>0</xdr:rowOff>
    </xdr:from>
    <xdr:to>
      <xdr:col>2</xdr:col>
      <xdr:colOff>590550</xdr:colOff>
      <xdr:row>187</xdr:row>
      <xdr:rowOff>152400</xdr:rowOff>
    </xdr:to>
    <xdr:graphicFrame macro="">
      <xdr:nvGraphicFramePr>
        <xdr:cNvPr id="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178</xdr:row>
      <xdr:rowOff>190499</xdr:rowOff>
    </xdr:from>
    <xdr:to>
      <xdr:col>10</xdr:col>
      <xdr:colOff>809625</xdr:colOff>
      <xdr:row>188</xdr:row>
      <xdr:rowOff>161924</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28576</xdr:colOff>
      <xdr:row>423</xdr:row>
      <xdr:rowOff>66674</xdr:rowOff>
    </xdr:from>
    <xdr:to>
      <xdr:col>10</xdr:col>
      <xdr:colOff>790575</xdr:colOff>
      <xdr:row>433</xdr:row>
      <xdr:rowOff>180975</xdr:rowOff>
    </xdr:to>
    <xdr:graphicFrame macro="">
      <xdr:nvGraphicFramePr>
        <xdr:cNvPr id="1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228600</xdr:colOff>
      <xdr:row>465</xdr:row>
      <xdr:rowOff>152399</xdr:rowOff>
    </xdr:from>
    <xdr:to>
      <xdr:col>10</xdr:col>
      <xdr:colOff>781050</xdr:colOff>
      <xdr:row>475</xdr:row>
      <xdr:rowOff>142874</xdr:rowOff>
    </xdr:to>
    <xdr:graphicFrame macro="">
      <xdr:nvGraphicFramePr>
        <xdr:cNvPr id="1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228599</xdr:colOff>
      <xdr:row>511</xdr:row>
      <xdr:rowOff>95250</xdr:rowOff>
    </xdr:from>
    <xdr:to>
      <xdr:col>10</xdr:col>
      <xdr:colOff>838200</xdr:colOff>
      <xdr:row>520</xdr:row>
      <xdr:rowOff>152400</xdr:rowOff>
    </xdr:to>
    <xdr:graphicFrame macro="">
      <xdr:nvGraphicFramePr>
        <xdr:cNvPr id="1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247649</xdr:colOff>
      <xdr:row>553</xdr:row>
      <xdr:rowOff>76199</xdr:rowOff>
    </xdr:from>
    <xdr:to>
      <xdr:col>10</xdr:col>
      <xdr:colOff>761999</xdr:colOff>
      <xdr:row>563</xdr:row>
      <xdr:rowOff>76199</xdr:rowOff>
    </xdr:to>
    <xdr:graphicFrame macro="">
      <xdr:nvGraphicFramePr>
        <xdr:cNvPr id="1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12699</xdr:colOff>
      <xdr:row>601</xdr:row>
      <xdr:rowOff>82549</xdr:rowOff>
    </xdr:from>
    <xdr:to>
      <xdr:col>10</xdr:col>
      <xdr:colOff>828675</xdr:colOff>
      <xdr:row>611</xdr:row>
      <xdr:rowOff>133350</xdr:rowOff>
    </xdr:to>
    <xdr:graphicFrame macro="">
      <xdr:nvGraphicFramePr>
        <xdr:cNvPr id="1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247649</xdr:colOff>
      <xdr:row>639</xdr:row>
      <xdr:rowOff>95249</xdr:rowOff>
    </xdr:from>
    <xdr:to>
      <xdr:col>10</xdr:col>
      <xdr:colOff>800100</xdr:colOff>
      <xdr:row>649</xdr:row>
      <xdr:rowOff>95249</xdr:rowOff>
    </xdr:to>
    <xdr:graphicFrame macro="">
      <xdr:nvGraphicFramePr>
        <xdr:cNvPr id="1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238125</xdr:colOff>
      <xdr:row>678</xdr:row>
      <xdr:rowOff>152399</xdr:rowOff>
    </xdr:from>
    <xdr:to>
      <xdr:col>10</xdr:col>
      <xdr:colOff>800100</xdr:colOff>
      <xdr:row>688</xdr:row>
      <xdr:rowOff>152399</xdr:rowOff>
    </xdr:to>
    <xdr:graphicFrame macro="">
      <xdr:nvGraphicFramePr>
        <xdr:cNvPr id="1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228601</xdr:colOff>
      <xdr:row>719</xdr:row>
      <xdr:rowOff>9524</xdr:rowOff>
    </xdr:from>
    <xdr:to>
      <xdr:col>10</xdr:col>
      <xdr:colOff>781050</xdr:colOff>
      <xdr:row>728</xdr:row>
      <xdr:rowOff>142875</xdr:rowOff>
    </xdr:to>
    <xdr:graphicFrame macro="">
      <xdr:nvGraphicFramePr>
        <xdr:cNvPr id="2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9526</xdr:colOff>
      <xdr:row>758</xdr:row>
      <xdr:rowOff>28574</xdr:rowOff>
    </xdr:from>
    <xdr:to>
      <xdr:col>10</xdr:col>
      <xdr:colOff>809625</xdr:colOff>
      <xdr:row>767</xdr:row>
      <xdr:rowOff>95249</xdr:rowOff>
    </xdr:to>
    <xdr:graphicFrame macro="">
      <xdr:nvGraphicFramePr>
        <xdr:cNvPr id="2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247649</xdr:colOff>
      <xdr:row>329</xdr:row>
      <xdr:rowOff>95249</xdr:rowOff>
    </xdr:from>
    <xdr:to>
      <xdr:col>10</xdr:col>
      <xdr:colOff>790575</xdr:colOff>
      <xdr:row>339</xdr:row>
      <xdr:rowOff>38099</xdr:rowOff>
    </xdr:to>
    <xdr:graphicFrame macro="">
      <xdr:nvGraphicFramePr>
        <xdr:cNvPr id="2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238125</xdr:colOff>
      <xdr:row>225</xdr:row>
      <xdr:rowOff>114300</xdr:rowOff>
    </xdr:from>
    <xdr:to>
      <xdr:col>10</xdr:col>
      <xdr:colOff>800100</xdr:colOff>
      <xdr:row>237</xdr:row>
      <xdr:rowOff>47625</xdr:rowOff>
    </xdr:to>
    <xdr:graphicFrame macro="">
      <xdr:nvGraphicFramePr>
        <xdr:cNvPr id="2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291</xdr:row>
      <xdr:rowOff>0</xdr:rowOff>
    </xdr:from>
    <xdr:to>
      <xdr:col>10</xdr:col>
      <xdr:colOff>809625</xdr:colOff>
      <xdr:row>300</xdr:row>
      <xdr:rowOff>161925</xdr:rowOff>
    </xdr:to>
    <xdr:graphicFrame macro="">
      <xdr:nvGraphicFramePr>
        <xdr:cNvPr id="2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376</xdr:row>
      <xdr:rowOff>0</xdr:rowOff>
    </xdr:from>
    <xdr:to>
      <xdr:col>10</xdr:col>
      <xdr:colOff>790576</xdr:colOff>
      <xdr:row>385</xdr:row>
      <xdr:rowOff>133350</xdr:rowOff>
    </xdr:to>
    <xdr:graphicFrame macro="">
      <xdr:nvGraphicFramePr>
        <xdr:cNvPr id="3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28573</xdr:colOff>
      <xdr:row>811</xdr:row>
      <xdr:rowOff>6351</xdr:rowOff>
    </xdr:from>
    <xdr:to>
      <xdr:col>10</xdr:col>
      <xdr:colOff>838199</xdr:colOff>
      <xdr:row>821</xdr:row>
      <xdr:rowOff>47625</xdr:rowOff>
    </xdr:to>
    <xdr:graphicFrame macro="">
      <xdr:nvGraphicFramePr>
        <xdr:cNvPr id="3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12699</xdr:colOff>
      <xdr:row>859</xdr:row>
      <xdr:rowOff>82549</xdr:rowOff>
    </xdr:from>
    <xdr:to>
      <xdr:col>10</xdr:col>
      <xdr:colOff>828675</xdr:colOff>
      <xdr:row>870</xdr:row>
      <xdr:rowOff>50800</xdr:rowOff>
    </xdr:to>
    <xdr:graphicFrame macro="">
      <xdr:nvGraphicFramePr>
        <xdr:cNvPr id="3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228599</xdr:colOff>
      <xdr:row>906</xdr:row>
      <xdr:rowOff>95250</xdr:rowOff>
    </xdr:from>
    <xdr:to>
      <xdr:col>10</xdr:col>
      <xdr:colOff>838200</xdr:colOff>
      <xdr:row>915</xdr:row>
      <xdr:rowOff>85725</xdr:rowOff>
    </xdr:to>
    <xdr:graphicFrame macro="">
      <xdr:nvGraphicFramePr>
        <xdr:cNvPr id="3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K77"/>
  <sheetViews>
    <sheetView zoomScale="75" zoomScaleNormal="75" zoomScaleSheetLayoutView="85" workbookViewId="0">
      <selection activeCell="U21" sqref="U21"/>
    </sheetView>
  </sheetViews>
  <sheetFormatPr defaultColWidth="10.42578125" defaultRowHeight="15"/>
  <cols>
    <col min="1" max="1" width="3.7109375" style="1" customWidth="1"/>
    <col min="2" max="2" width="25.5703125" style="1" customWidth="1"/>
    <col min="3" max="11" width="12.7109375" style="1" customWidth="1"/>
    <col min="12" max="16384" width="10.42578125" style="1"/>
  </cols>
  <sheetData>
    <row r="1" spans="1:11" s="63" customFormat="1" ht="24" customHeight="1">
      <c r="B1" s="752" t="s">
        <v>823</v>
      </c>
      <c r="C1" s="752"/>
      <c r="D1" s="752"/>
      <c r="E1" s="752"/>
      <c r="F1" s="752"/>
      <c r="G1" s="752"/>
      <c r="H1" s="752"/>
      <c r="I1" s="752"/>
      <c r="J1" s="752"/>
      <c r="K1" s="752"/>
    </row>
    <row r="2" spans="1:11" s="63" customFormat="1" ht="24" customHeight="1">
      <c r="B2" s="753" t="s">
        <v>824</v>
      </c>
      <c r="C2" s="753"/>
      <c r="D2" s="753"/>
      <c r="E2" s="753"/>
      <c r="F2" s="753"/>
      <c r="G2" s="753"/>
      <c r="H2" s="753"/>
      <c r="I2" s="753"/>
      <c r="J2" s="753"/>
      <c r="K2" s="753"/>
    </row>
    <row r="3" spans="1:11" s="63" customFormat="1" ht="24" customHeight="1">
      <c r="B3" s="752" t="s">
        <v>1369</v>
      </c>
      <c r="C3" s="752"/>
      <c r="D3" s="752"/>
      <c r="E3" s="752"/>
      <c r="F3" s="752"/>
      <c r="G3" s="752"/>
      <c r="H3" s="752"/>
      <c r="I3" s="752"/>
      <c r="J3" s="752"/>
      <c r="K3" s="752"/>
    </row>
    <row r="4" spans="1:11" ht="15" customHeight="1">
      <c r="A4" s="64"/>
    </row>
    <row r="5" spans="1:11" ht="15" customHeight="1">
      <c r="A5" s="64"/>
      <c r="B5" s="64"/>
      <c r="C5" s="65"/>
      <c r="D5" s="65"/>
      <c r="E5" s="66" t="s">
        <v>257</v>
      </c>
      <c r="F5" s="65"/>
    </row>
    <row r="6" spans="1:11" ht="15" customHeight="1">
      <c r="C6" s="65" t="s">
        <v>249</v>
      </c>
      <c r="D6" s="65" t="s">
        <v>256</v>
      </c>
      <c r="E6" s="49" t="s">
        <v>763</v>
      </c>
      <c r="F6" s="66" t="s">
        <v>257</v>
      </c>
      <c r="G6" s="66" t="s">
        <v>258</v>
      </c>
      <c r="H6" s="66" t="s">
        <v>926</v>
      </c>
      <c r="I6" s="66" t="s">
        <v>1026</v>
      </c>
      <c r="J6" s="66" t="s">
        <v>1060</v>
      </c>
      <c r="K6" s="66" t="s">
        <v>1061</v>
      </c>
    </row>
    <row r="7" spans="1:11" ht="15" customHeight="1" thickBot="1">
      <c r="B7" s="67" t="s">
        <v>825</v>
      </c>
      <c r="C7" s="68" t="s">
        <v>1</v>
      </c>
      <c r="D7" s="68" t="s">
        <v>1</v>
      </c>
      <c r="E7" s="68" t="s">
        <v>720</v>
      </c>
      <c r="F7" s="68" t="s">
        <v>19</v>
      </c>
      <c r="G7" s="68" t="str">
        <f>'Fund Cover Sheets'!$M$1</f>
        <v>Adopted</v>
      </c>
      <c r="H7" s="68" t="s">
        <v>19</v>
      </c>
      <c r="I7" s="68" t="s">
        <v>19</v>
      </c>
      <c r="J7" s="68" t="s">
        <v>19</v>
      </c>
      <c r="K7" s="68" t="s">
        <v>19</v>
      </c>
    </row>
    <row r="8" spans="1:11" ht="15" customHeight="1">
      <c r="B8" s="69"/>
      <c r="C8" s="70"/>
      <c r="D8" s="70"/>
      <c r="E8" s="70"/>
      <c r="F8" s="70"/>
      <c r="G8" s="70"/>
      <c r="H8" s="70"/>
      <c r="I8" s="70"/>
      <c r="J8" s="70"/>
    </row>
    <row r="9" spans="1:11" ht="24" customHeight="1">
      <c r="A9" s="71" t="s">
        <v>826</v>
      </c>
      <c r="C9" s="2">
        <f>'Budget Detail FY 2014-21'!L59</f>
        <v>13445145</v>
      </c>
      <c r="D9" s="2">
        <f>'Budget Detail FY 2014-21'!M59</f>
        <v>14150910</v>
      </c>
      <c r="E9" s="2">
        <f>'Budget Detail FY 2014-21'!N59</f>
        <v>14200637</v>
      </c>
      <c r="F9" s="2">
        <f>'Budget Detail FY 2014-21'!O59</f>
        <v>14426376</v>
      </c>
      <c r="G9" s="2">
        <f>'Budget Detail FY 2014-21'!P59</f>
        <v>14516822</v>
      </c>
      <c r="H9" s="2">
        <f>'Budget Detail FY 2014-21'!Q59</f>
        <v>14850532</v>
      </c>
      <c r="I9" s="2">
        <f>'Budget Detail FY 2014-21'!R59</f>
        <v>15140233</v>
      </c>
      <c r="J9" s="2">
        <f>'Budget Detail FY 2014-21'!S59</f>
        <v>15436033</v>
      </c>
      <c r="K9" s="2">
        <f>'Budget Detail FY 2014-21'!T59</f>
        <v>15737049</v>
      </c>
    </row>
    <row r="10" spans="1:11" ht="15" customHeight="1">
      <c r="A10" s="71"/>
      <c r="C10" s="2"/>
      <c r="D10" s="2"/>
      <c r="E10" s="2"/>
      <c r="F10" s="2"/>
      <c r="G10" s="2"/>
      <c r="H10" s="2"/>
      <c r="I10" s="2"/>
      <c r="J10" s="2"/>
      <c r="K10" s="2"/>
    </row>
    <row r="11" spans="1:11" ht="24" customHeight="1">
      <c r="A11" s="71" t="s">
        <v>827</v>
      </c>
      <c r="C11" s="2"/>
      <c r="D11" s="2"/>
      <c r="E11" s="2"/>
      <c r="F11" s="2"/>
      <c r="G11" s="2"/>
      <c r="H11" s="2"/>
      <c r="I11" s="2"/>
      <c r="J11" s="2"/>
      <c r="K11" s="2"/>
    </row>
    <row r="12" spans="1:11" ht="24" customHeight="1">
      <c r="A12" s="71"/>
      <c r="B12" s="1" t="s">
        <v>748</v>
      </c>
      <c r="C12" s="2">
        <f>'Budget Detail FY 2014-21'!L331</f>
        <v>815699</v>
      </c>
      <c r="D12" s="2">
        <f>'Budget Detail FY 2014-21'!M331</f>
        <v>852055</v>
      </c>
      <c r="E12" s="2">
        <f>'Budget Detail FY 2014-21'!N331</f>
        <v>484000</v>
      </c>
      <c r="F12" s="2">
        <f>'Budget Detail FY 2014-21'!O331</f>
        <v>493650</v>
      </c>
      <c r="G12" s="2">
        <f>'Budget Detail FY 2014-21'!P331</f>
        <v>512577</v>
      </c>
      <c r="H12" s="2">
        <f>'Budget Detail FY 2014-21'!Q331</f>
        <v>474300</v>
      </c>
      <c r="I12" s="2">
        <f>'Budget Detail FY 2014-21'!R331</f>
        <v>474300</v>
      </c>
      <c r="J12" s="2">
        <f>'Budget Detail FY 2014-21'!S331</f>
        <v>474300</v>
      </c>
      <c r="K12" s="2">
        <f>'Budget Detail FY 2014-21'!T331</f>
        <v>474300</v>
      </c>
    </row>
    <row r="13" spans="1:11" ht="24" customHeight="1">
      <c r="A13" s="72"/>
      <c r="B13" s="69" t="s">
        <v>828</v>
      </c>
      <c r="C13" s="73">
        <f>'Budget Detail FY 2014-21'!L790</f>
        <v>2289916</v>
      </c>
      <c r="D13" s="73">
        <f>'Budget Detail FY 2014-21'!M790</f>
        <v>1816275</v>
      </c>
      <c r="E13" s="73">
        <f>'Budget Detail FY 2014-21'!N790</f>
        <v>1583231</v>
      </c>
      <c r="F13" s="73">
        <f>'Budget Detail FY 2014-21'!O790</f>
        <v>1619206</v>
      </c>
      <c r="G13" s="73">
        <f>'Budget Detail FY 2014-21'!P790</f>
        <v>1654988</v>
      </c>
      <c r="H13" s="73">
        <f>'Budget Detail FY 2014-21'!Q790</f>
        <v>1848134</v>
      </c>
      <c r="I13" s="73">
        <f>'Budget Detail FY 2014-21'!R790</f>
        <v>1901522</v>
      </c>
      <c r="J13" s="73">
        <f>'Budget Detail FY 2014-21'!S790</f>
        <v>1957139</v>
      </c>
      <c r="K13" s="73">
        <f>'Budget Detail FY 2014-21'!T790</f>
        <v>2015805</v>
      </c>
    </row>
    <row r="14" spans="1:11" ht="24" customHeight="1">
      <c r="A14" s="72"/>
      <c r="B14" s="69" t="s">
        <v>623</v>
      </c>
      <c r="C14" s="73">
        <f>'Budget Detail FY 2014-21'!L757</f>
        <v>137602</v>
      </c>
      <c r="D14" s="73">
        <f>'Budget Detail FY 2014-21'!M757</f>
        <v>172873</v>
      </c>
      <c r="E14" s="73">
        <f>'Budget Detail FY 2014-21'!N757</f>
        <v>430500</v>
      </c>
      <c r="F14" s="73">
        <f>'Budget Detail FY 2014-21'!O757</f>
        <v>113257</v>
      </c>
      <c r="G14" s="73">
        <f>'Budget Detail FY 2014-21'!P757</f>
        <v>489000</v>
      </c>
      <c r="H14" s="73">
        <f>'Budget Detail FY 2014-21'!Q757</f>
        <v>37000</v>
      </c>
      <c r="I14" s="73">
        <f>'Budget Detail FY 2014-21'!R757</f>
        <v>437000</v>
      </c>
      <c r="J14" s="73">
        <f>'Budget Detail FY 2014-21'!S757</f>
        <v>35000</v>
      </c>
      <c r="K14" s="73">
        <f>'Budget Detail FY 2014-21'!T757</f>
        <v>35000</v>
      </c>
    </row>
    <row r="15" spans="1:11" ht="24" customHeight="1">
      <c r="A15" s="72"/>
      <c r="B15" s="69" t="s">
        <v>538</v>
      </c>
      <c r="C15" s="73">
        <f>'Budget Detail FY 2014-21'!L1015</f>
        <v>1237149</v>
      </c>
      <c r="D15" s="73">
        <f>'Budget Detail FY 2014-21'!M1015</f>
        <v>9295</v>
      </c>
      <c r="E15" s="73">
        <f>'Budget Detail FY 2014-21'!N1015</f>
        <v>100000</v>
      </c>
      <c r="F15" s="73">
        <f>'Budget Detail FY 2014-21'!O1015</f>
        <v>1741072</v>
      </c>
      <c r="G15" s="73">
        <f>'Budget Detail FY 2014-21'!P1015</f>
        <v>200000</v>
      </c>
      <c r="H15" s="73">
        <f>'Budget Detail FY 2014-21'!Q1015</f>
        <v>200000</v>
      </c>
      <c r="I15" s="73">
        <f>'Budget Detail FY 2014-21'!R1015</f>
        <v>200000</v>
      </c>
      <c r="J15" s="73">
        <f>'Budget Detail FY 2014-21'!S1015</f>
        <v>200000</v>
      </c>
      <c r="K15" s="73">
        <f>'Budget Detail FY 2014-21'!T1015</f>
        <v>200000</v>
      </c>
    </row>
    <row r="16" spans="1:11" ht="24" customHeight="1">
      <c r="A16" s="72"/>
      <c r="B16" s="69" t="s">
        <v>543</v>
      </c>
      <c r="C16" s="73">
        <f>'Budget Detail FY 2014-21'!L1050</f>
        <v>71006</v>
      </c>
      <c r="D16" s="73">
        <f>'Budget Detail FY 2014-21'!M1050</f>
        <v>60215</v>
      </c>
      <c r="E16" s="73">
        <f>'Budget Detail FY 2014-21'!N1050</f>
        <v>65050</v>
      </c>
      <c r="F16" s="73">
        <f>'Budget Detail FY 2014-21'!O1050</f>
        <v>68918</v>
      </c>
      <c r="G16" s="73">
        <f>'Budget Detail FY 2014-21'!P1050</f>
        <v>70050</v>
      </c>
      <c r="H16" s="73">
        <f>'Budget Detail FY 2014-21'!Q1050</f>
        <v>70050</v>
      </c>
      <c r="I16" s="73">
        <f>'Budget Detail FY 2014-21'!R1050</f>
        <v>75050</v>
      </c>
      <c r="J16" s="73">
        <f>'Budget Detail FY 2014-21'!S1050</f>
        <v>75050</v>
      </c>
      <c r="K16" s="73">
        <f>'Budget Detail FY 2014-21'!T1050</f>
        <v>80050</v>
      </c>
    </row>
    <row r="17" spans="1:11" ht="24" customHeight="1">
      <c r="A17" s="72"/>
      <c r="B17" s="69" t="s">
        <v>829</v>
      </c>
      <c r="C17" s="73">
        <f>'Budget Detail FY 2014-21'!L285</f>
        <v>3787</v>
      </c>
      <c r="D17" s="73">
        <f>'Budget Detail FY 2014-21'!M285</f>
        <v>8536</v>
      </c>
      <c r="E17" s="73">
        <f>'Budget Detail FY 2014-21'!N285</f>
        <v>7073</v>
      </c>
      <c r="F17" s="73">
        <f>'Budget Detail FY 2014-21'!O285</f>
        <v>7072</v>
      </c>
      <c r="G17" s="73">
        <f>'Budget Detail FY 2014-21'!P285</f>
        <v>7073</v>
      </c>
      <c r="H17" s="73">
        <f>'Budget Detail FY 2014-21'!Q285</f>
        <v>7073</v>
      </c>
      <c r="I17" s="73">
        <f>'Budget Detail FY 2014-21'!R285</f>
        <v>7073</v>
      </c>
      <c r="J17" s="73">
        <f>'Budget Detail FY 2014-21'!S285</f>
        <v>7073</v>
      </c>
      <c r="K17" s="73">
        <f>'Budget Detail FY 2014-21'!T285</f>
        <v>7073</v>
      </c>
    </row>
    <row r="18" spans="1:11" ht="24" customHeight="1">
      <c r="A18" s="72"/>
      <c r="B18" s="69" t="s">
        <v>830</v>
      </c>
      <c r="C18" s="2">
        <f>'Budget Detail FY 2014-21'!L303</f>
        <v>7469</v>
      </c>
      <c r="D18" s="2">
        <f>'Budget Detail FY 2014-21'!M303</f>
        <v>17417</v>
      </c>
      <c r="E18" s="2">
        <f>'Budget Detail FY 2014-21'!N303</f>
        <v>18608</v>
      </c>
      <c r="F18" s="2">
        <f>'Budget Detail FY 2014-21'!O303</f>
        <v>18608</v>
      </c>
      <c r="G18" s="2">
        <f>'Budget Detail FY 2014-21'!P303</f>
        <v>20392</v>
      </c>
      <c r="H18" s="2">
        <f>'Budget Detail FY 2014-21'!Q303</f>
        <v>20392</v>
      </c>
      <c r="I18" s="2">
        <f>'Budget Detail FY 2014-21'!R303</f>
        <v>20392</v>
      </c>
      <c r="J18" s="2">
        <f>'Budget Detail FY 2014-21'!S303</f>
        <v>20392</v>
      </c>
      <c r="K18" s="2">
        <f>'Budget Detail FY 2014-21'!T303</f>
        <v>20392</v>
      </c>
    </row>
    <row r="19" spans="1:11" ht="15" customHeight="1">
      <c r="A19" s="72"/>
      <c r="B19" s="69"/>
      <c r="C19" s="2"/>
      <c r="D19" s="2"/>
      <c r="E19" s="2"/>
      <c r="F19" s="2"/>
      <c r="G19" s="2"/>
      <c r="H19" s="2"/>
      <c r="I19" s="2"/>
      <c r="J19" s="2"/>
      <c r="K19" s="2"/>
    </row>
    <row r="20" spans="1:11" ht="24" customHeight="1">
      <c r="A20" s="71" t="s">
        <v>831</v>
      </c>
      <c r="B20" s="64"/>
      <c r="C20" s="2">
        <f>'Budget Detail FY 2014-21'!L530</f>
        <v>322226</v>
      </c>
      <c r="D20" s="2">
        <f>'Budget Detail FY 2014-21'!M530</f>
        <v>2705298</v>
      </c>
      <c r="E20" s="2">
        <f>'Budget Detail FY 2014-21'!N530</f>
        <v>302130</v>
      </c>
      <c r="F20" s="2">
        <f>'Budget Detail FY 2014-21'!O530</f>
        <v>302883</v>
      </c>
      <c r="G20" s="2">
        <f>'Budget Detail FY 2014-21'!P530</f>
        <v>320675</v>
      </c>
      <c r="H20" s="2">
        <f>'Budget Detail FY 2014-21'!Q530</f>
        <v>320275</v>
      </c>
      <c r="I20" s="2">
        <f>'Budget Detail FY 2014-21'!R530</f>
        <v>324775</v>
      </c>
      <c r="J20" s="2">
        <f>'Budget Detail FY 2014-21'!S530</f>
        <v>324075</v>
      </c>
      <c r="K20" s="2">
        <f>'Budget Detail FY 2014-21'!T530</f>
        <v>323275</v>
      </c>
    </row>
    <row r="21" spans="1:11" ht="15" customHeight="1">
      <c r="A21" s="71"/>
      <c r="B21" s="64"/>
      <c r="C21" s="2"/>
      <c r="D21" s="2"/>
      <c r="E21" s="2"/>
      <c r="F21" s="2"/>
      <c r="G21" s="2"/>
      <c r="H21" s="2"/>
      <c r="I21" s="2"/>
      <c r="J21" s="2"/>
      <c r="K21" s="2"/>
    </row>
    <row r="22" spans="1:11" ht="24" customHeight="1">
      <c r="A22" s="71" t="s">
        <v>832</v>
      </c>
      <c r="B22" s="64"/>
      <c r="C22" s="73"/>
      <c r="D22" s="73"/>
      <c r="E22" s="73"/>
      <c r="F22" s="73"/>
      <c r="G22" s="73"/>
      <c r="H22" s="73"/>
      <c r="I22" s="73"/>
      <c r="J22" s="73"/>
      <c r="K22" s="73"/>
    </row>
    <row r="23" spans="1:11" ht="24" customHeight="1">
      <c r="A23" s="71"/>
      <c r="B23" s="69" t="s">
        <v>833</v>
      </c>
      <c r="C23" s="73">
        <f>'Budget Detail FY 2014-21'!L360</f>
        <v>575545</v>
      </c>
      <c r="D23" s="73">
        <f>'Budget Detail FY 2014-21'!M360</f>
        <v>0</v>
      </c>
      <c r="E23" s="73">
        <f>'Budget Detail FY 2014-21'!N360</f>
        <v>0</v>
      </c>
      <c r="F23" s="73">
        <f>'Budget Detail FY 2014-21'!O360</f>
        <v>0</v>
      </c>
      <c r="G23" s="73">
        <f>'Budget Detail FY 2014-21'!P360</f>
        <v>0</v>
      </c>
      <c r="H23" s="73">
        <f>'Budget Detail FY 2014-21'!Q360</f>
        <v>0</v>
      </c>
      <c r="I23" s="73">
        <f>'Budget Detail FY 2014-21'!R360</f>
        <v>0</v>
      </c>
      <c r="J23" s="73">
        <f>'Budget Detail FY 2014-21'!S360</f>
        <v>0</v>
      </c>
      <c r="K23" s="73">
        <f>'Budget Detail FY 2014-21'!T360</f>
        <v>0</v>
      </c>
    </row>
    <row r="24" spans="1:11" ht="24" customHeight="1">
      <c r="A24" s="72"/>
      <c r="B24" s="69" t="s">
        <v>967</v>
      </c>
      <c r="C24" s="2">
        <f>'Budget Detail FY 2014-21'!L470</f>
        <v>305427</v>
      </c>
      <c r="D24" s="2">
        <f>'Budget Detail FY 2014-21'!M470</f>
        <v>471009</v>
      </c>
      <c r="E24" s="2">
        <f>'Budget Detail FY 2014-21'!N470</f>
        <v>472338</v>
      </c>
      <c r="F24" s="2">
        <f>'Budget Detail FY 2014-21'!O470</f>
        <v>528932</v>
      </c>
      <c r="G24" s="2">
        <f>'Budget Detail FY 2014-21'!P470</f>
        <v>140883</v>
      </c>
      <c r="H24" s="2">
        <f>'Budget Detail FY 2014-21'!Q470</f>
        <v>193723</v>
      </c>
      <c r="I24" s="2">
        <f>'Budget Detail FY 2014-21'!R470</f>
        <v>193723</v>
      </c>
      <c r="J24" s="2">
        <f>'Budget Detail FY 2014-21'!S470</f>
        <v>193723</v>
      </c>
      <c r="K24" s="2">
        <f>'Budget Detail FY 2014-21'!T470</f>
        <v>193723</v>
      </c>
    </row>
    <row r="25" spans="1:11" ht="24" customHeight="1">
      <c r="A25" s="72"/>
      <c r="B25" s="69" t="s">
        <v>835</v>
      </c>
      <c r="C25" s="73">
        <f>'Budget Detail FY 2014-21'!L396</f>
        <v>1552624</v>
      </c>
      <c r="D25" s="73">
        <f>'Budget Detail FY 2014-21'!M396</f>
        <v>6541621</v>
      </c>
      <c r="E25" s="73">
        <f>'Budget Detail FY 2014-21'!N396</f>
        <v>1757322</v>
      </c>
      <c r="F25" s="73">
        <f>'Budget Detail FY 2014-21'!O396</f>
        <v>1429978</v>
      </c>
      <c r="G25" s="73">
        <f>'Budget Detail FY 2014-21'!P396</f>
        <v>1823662</v>
      </c>
      <c r="H25" s="73">
        <f>'Budget Detail FY 2014-21'!Q396</f>
        <v>805600</v>
      </c>
      <c r="I25" s="73">
        <f>'Budget Detail FY 2014-21'!R396</f>
        <v>760100</v>
      </c>
      <c r="J25" s="73">
        <f>'Budget Detail FY 2014-21'!S396</f>
        <v>760100</v>
      </c>
      <c r="K25" s="73">
        <f>'Budget Detail FY 2014-21'!T396</f>
        <v>760100</v>
      </c>
    </row>
    <row r="26" spans="1:11" ht="15" customHeight="1">
      <c r="A26" s="72"/>
      <c r="B26" s="69"/>
      <c r="C26" s="73"/>
      <c r="D26" s="73"/>
      <c r="E26" s="73"/>
      <c r="F26" s="73"/>
      <c r="G26" s="73"/>
      <c r="H26" s="73"/>
      <c r="I26" s="73"/>
      <c r="J26" s="73"/>
      <c r="K26" s="73"/>
    </row>
    <row r="27" spans="1:11" ht="24" customHeight="1">
      <c r="A27" s="71" t="s">
        <v>836</v>
      </c>
      <c r="B27" s="69"/>
      <c r="C27" s="2"/>
      <c r="D27" s="2"/>
      <c r="E27" s="2"/>
      <c r="F27" s="2"/>
      <c r="G27" s="2"/>
      <c r="H27" s="2"/>
      <c r="I27" s="2"/>
      <c r="J27" s="2"/>
      <c r="K27" s="2"/>
    </row>
    <row r="28" spans="1:11" ht="24" customHeight="1">
      <c r="B28" s="69" t="s">
        <v>621</v>
      </c>
      <c r="C28" s="2">
        <f>'Budget Detail FY 2014-21'!L569</f>
        <v>2587877</v>
      </c>
      <c r="D28" s="2">
        <f>'Budget Detail FY 2014-21'!M569</f>
        <v>4068790</v>
      </c>
      <c r="E28" s="2">
        <f>'Budget Detail FY 2014-21'!N569</f>
        <v>7673519</v>
      </c>
      <c r="F28" s="2">
        <f>'Budget Detail FY 2014-21'!O569</f>
        <v>7707805</v>
      </c>
      <c r="G28" s="2">
        <f>'Budget Detail FY 2014-21'!P569</f>
        <v>3794908</v>
      </c>
      <c r="H28" s="2">
        <f>'Budget Detail FY 2014-21'!Q569</f>
        <v>3894357</v>
      </c>
      <c r="I28" s="2">
        <f>'Budget Detail FY 2014-21'!R569</f>
        <v>3899329</v>
      </c>
      <c r="J28" s="2">
        <f>'Budget Detail FY 2014-21'!S569</f>
        <v>4314174</v>
      </c>
      <c r="K28" s="2">
        <f>'Budget Detail FY 2014-21'!T569</f>
        <v>4796711</v>
      </c>
    </row>
    <row r="29" spans="1:11" ht="24" customHeight="1">
      <c r="B29" s="69" t="s">
        <v>622</v>
      </c>
      <c r="C29" s="2">
        <f>'Budget Detail FY 2014-21'!L672</f>
        <v>2389613</v>
      </c>
      <c r="D29" s="2">
        <f>'Budget Detail FY 2014-21'!M672</f>
        <v>2442221</v>
      </c>
      <c r="E29" s="2">
        <f>'Budget Detail FY 2014-21'!N672</f>
        <v>2516354</v>
      </c>
      <c r="F29" s="2">
        <f>'Budget Detail FY 2014-21'!O672</f>
        <v>2510263</v>
      </c>
      <c r="G29" s="2">
        <f>'Budget Detail FY 2014-21'!P672</f>
        <v>2534994</v>
      </c>
      <c r="H29" s="2">
        <f>'Budget Detail FY 2014-21'!Q672</f>
        <v>2583742</v>
      </c>
      <c r="I29" s="2">
        <f>'Budget Detail FY 2014-21'!R672</f>
        <v>2606344</v>
      </c>
      <c r="J29" s="2">
        <f>'Budget Detail FY 2014-21'!S672</f>
        <v>2633348</v>
      </c>
      <c r="K29" s="2">
        <f>'Budget Detail FY 2014-21'!T672</f>
        <v>2664654</v>
      </c>
    </row>
    <row r="30" spans="1:11" ht="24" customHeight="1">
      <c r="B30" s="69" t="s">
        <v>561</v>
      </c>
      <c r="C30" s="2">
        <f>'Budget Detail FY 2014-21'!L878</f>
        <v>534506</v>
      </c>
      <c r="D30" s="2">
        <f>'Budget Detail FY 2014-21'!M878</f>
        <v>0</v>
      </c>
      <c r="E30" s="2">
        <f>'Budget Detail FY 2014-21'!N878</f>
        <v>0</v>
      </c>
      <c r="F30" s="2">
        <f>'Budget Detail FY 2014-21'!O878</f>
        <v>0</v>
      </c>
      <c r="G30" s="2">
        <f>'Budget Detail FY 2014-21'!P878</f>
        <v>0</v>
      </c>
      <c r="H30" s="2">
        <f>'Budget Detail FY 2014-21'!Q878</f>
        <v>0</v>
      </c>
      <c r="I30" s="2">
        <f>'Budget Detail FY 2014-21'!R878</f>
        <v>0</v>
      </c>
      <c r="J30" s="2">
        <f>'Budget Detail FY 2014-21'!S878</f>
        <v>0</v>
      </c>
      <c r="K30" s="2">
        <f>'Budget Detail FY 2014-21'!T878</f>
        <v>0</v>
      </c>
    </row>
    <row r="31" spans="1:11" ht="15" customHeight="1">
      <c r="B31" s="69"/>
      <c r="C31" s="2"/>
      <c r="D31" s="2"/>
      <c r="E31" s="2"/>
      <c r="F31" s="2"/>
      <c r="G31" s="2"/>
      <c r="H31" s="2"/>
      <c r="I31" s="2"/>
      <c r="J31" s="2"/>
      <c r="K31" s="2"/>
    </row>
    <row r="32" spans="1:11" ht="24" customHeight="1">
      <c r="A32" s="71" t="s">
        <v>837</v>
      </c>
      <c r="B32" s="69"/>
      <c r="C32" s="2"/>
      <c r="D32" s="2"/>
      <c r="E32" s="2"/>
      <c r="F32" s="2"/>
      <c r="G32" s="2"/>
      <c r="H32" s="2"/>
      <c r="I32" s="2"/>
      <c r="J32" s="2"/>
      <c r="K32" s="2"/>
    </row>
    <row r="33" spans="1:11" ht="24" customHeight="1">
      <c r="A33" s="71"/>
      <c r="B33" s="69" t="s">
        <v>614</v>
      </c>
      <c r="C33" s="2">
        <f>'Budget Detail FY 2014-21'!L920</f>
        <v>741392</v>
      </c>
      <c r="D33" s="2">
        <f>'Budget Detail FY 2014-21'!M920</f>
        <v>719485</v>
      </c>
      <c r="E33" s="2">
        <f>'Budget Detail FY 2014-21'!N920</f>
        <v>721418</v>
      </c>
      <c r="F33" s="2">
        <f>'Budget Detail FY 2014-21'!O920</f>
        <v>705297</v>
      </c>
      <c r="G33" s="2">
        <f>'Budget Detail FY 2014-21'!P920</f>
        <v>731887</v>
      </c>
      <c r="H33" s="2">
        <f>'Budget Detail FY 2014-21'!Q920</f>
        <v>746295</v>
      </c>
      <c r="I33" s="2">
        <f>'Budget Detail FY 2014-21'!R920</f>
        <v>761582</v>
      </c>
      <c r="J33" s="2">
        <f>'Budget Detail FY 2014-21'!S920</f>
        <v>777260</v>
      </c>
      <c r="K33" s="2">
        <f>'Budget Detail FY 2014-21'!T920</f>
        <v>793343</v>
      </c>
    </row>
    <row r="34" spans="1:11" ht="24" customHeight="1">
      <c r="A34" s="71"/>
      <c r="B34" s="69" t="s">
        <v>536</v>
      </c>
      <c r="C34" s="2">
        <f>'Budget Detail FY 2014-21'!L968</f>
        <v>767720</v>
      </c>
      <c r="D34" s="2">
        <f>'Budget Detail FY 2014-21'!M968</f>
        <v>731321</v>
      </c>
      <c r="E34" s="2">
        <f>'Budget Detail FY 2014-21'!N968</f>
        <v>749876</v>
      </c>
      <c r="F34" s="2">
        <f>'Budget Detail FY 2014-21'!O968</f>
        <v>749846</v>
      </c>
      <c r="G34" s="2">
        <f>'Budget Detail FY 2014-21'!P968</f>
        <v>752771</v>
      </c>
      <c r="H34" s="2">
        <f>'Budget Detail FY 2014-21'!Q968</f>
        <v>760396</v>
      </c>
      <c r="I34" s="2">
        <f>'Budget Detail FY 2014-21'!R968</f>
        <v>792101</v>
      </c>
      <c r="J34" s="2">
        <f>'Budget Detail FY 2014-21'!S968</f>
        <v>797013</v>
      </c>
      <c r="K34" s="2">
        <f>'Budget Detail FY 2014-21'!T968</f>
        <v>827088</v>
      </c>
    </row>
    <row r="35" spans="1:11" ht="24" customHeight="1">
      <c r="A35" s="71"/>
      <c r="B35" s="69" t="s">
        <v>838</v>
      </c>
      <c r="C35" s="2">
        <f>'Budget Detail FY 2014-21'!L992</f>
        <v>53666</v>
      </c>
      <c r="D35" s="2">
        <f>'Budget Detail FY 2014-21'!M992</f>
        <v>25349</v>
      </c>
      <c r="E35" s="2">
        <f>'Budget Detail FY 2014-21'!N992</f>
        <v>20020</v>
      </c>
      <c r="F35" s="2">
        <f>'Budget Detail FY 2014-21'!O992</f>
        <v>20010</v>
      </c>
      <c r="G35" s="2">
        <f>'Budget Detail FY 2014-21'!P992</f>
        <v>20010</v>
      </c>
      <c r="H35" s="2">
        <f>'Budget Detail FY 2014-21'!Q992</f>
        <v>20010</v>
      </c>
      <c r="I35" s="2">
        <f>'Budget Detail FY 2014-21'!R992</f>
        <v>20010</v>
      </c>
      <c r="J35" s="2">
        <f>'Budget Detail FY 2014-21'!S992</f>
        <v>20010</v>
      </c>
      <c r="K35" s="2">
        <f>'Budget Detail FY 2014-21'!T992</f>
        <v>20010</v>
      </c>
    </row>
    <row r="36" spans="1:11" ht="15" customHeight="1">
      <c r="A36" s="74"/>
      <c r="B36" s="69"/>
      <c r="C36" s="73"/>
      <c r="D36" s="73"/>
      <c r="E36" s="73"/>
      <c r="F36" s="73"/>
      <c r="G36" s="73"/>
      <c r="H36" s="73"/>
      <c r="I36" s="73"/>
      <c r="J36" s="73"/>
      <c r="K36" s="73"/>
    </row>
    <row r="37" spans="1:11" ht="24" customHeight="1" thickBot="1">
      <c r="A37" s="7"/>
      <c r="B37" s="75" t="s">
        <v>896</v>
      </c>
      <c r="C37" s="76">
        <f t="shared" ref="C37:K37" si="0">SUM(C9:C36)</f>
        <v>27838369</v>
      </c>
      <c r="D37" s="76">
        <f t="shared" si="0"/>
        <v>34792670</v>
      </c>
      <c r="E37" s="76">
        <f t="shared" si="0"/>
        <v>31102076</v>
      </c>
      <c r="F37" s="76">
        <f t="shared" si="0"/>
        <v>32443173</v>
      </c>
      <c r="G37" s="76">
        <f t="shared" si="0"/>
        <v>27590692</v>
      </c>
      <c r="H37" s="76">
        <f t="shared" si="0"/>
        <v>26831879</v>
      </c>
      <c r="I37" s="76">
        <f t="shared" si="0"/>
        <v>27613534</v>
      </c>
      <c r="J37" s="76">
        <f t="shared" si="0"/>
        <v>28024690</v>
      </c>
      <c r="K37" s="76">
        <f t="shared" si="0"/>
        <v>28948573</v>
      </c>
    </row>
    <row r="38" spans="1:11" ht="15" customHeight="1" thickTop="1"/>
    <row r="39" spans="1:11" s="64" customFormat="1" ht="15" customHeight="1"/>
    <row r="40" spans="1:11" ht="24" customHeight="1">
      <c r="B40" s="752" t="s">
        <v>823</v>
      </c>
      <c r="C40" s="752"/>
      <c r="D40" s="752"/>
      <c r="E40" s="752"/>
      <c r="F40" s="752"/>
      <c r="G40" s="752"/>
      <c r="H40" s="752"/>
      <c r="I40" s="752"/>
      <c r="J40" s="752"/>
      <c r="K40" s="752"/>
    </row>
    <row r="41" spans="1:11" ht="24" customHeight="1">
      <c r="B41" s="753" t="s">
        <v>839</v>
      </c>
      <c r="C41" s="753"/>
      <c r="D41" s="753"/>
      <c r="E41" s="753"/>
      <c r="F41" s="753"/>
      <c r="G41" s="753"/>
      <c r="H41" s="753"/>
      <c r="I41" s="753"/>
      <c r="J41" s="753"/>
      <c r="K41" s="753"/>
    </row>
    <row r="42" spans="1:11" ht="24" customHeight="1">
      <c r="B42" s="752" t="s">
        <v>1369</v>
      </c>
      <c r="C42" s="752"/>
      <c r="D42" s="752"/>
      <c r="E42" s="752"/>
      <c r="F42" s="752"/>
      <c r="G42" s="752"/>
      <c r="H42" s="752"/>
      <c r="I42" s="752"/>
      <c r="J42" s="752"/>
      <c r="K42" s="752"/>
    </row>
    <row r="43" spans="1:11" ht="15" customHeight="1"/>
    <row r="44" spans="1:11" ht="15" customHeight="1">
      <c r="C44" s="65"/>
      <c r="D44" s="65"/>
      <c r="E44" s="66" t="s">
        <v>257</v>
      </c>
      <c r="F44" s="65"/>
    </row>
    <row r="45" spans="1:11" ht="15" customHeight="1">
      <c r="C45" s="65" t="s">
        <v>249</v>
      </c>
      <c r="D45" s="65" t="s">
        <v>256</v>
      </c>
      <c r="E45" s="49" t="s">
        <v>763</v>
      </c>
      <c r="F45" s="66" t="s">
        <v>257</v>
      </c>
      <c r="G45" s="66" t="s">
        <v>258</v>
      </c>
      <c r="H45" s="66" t="s">
        <v>926</v>
      </c>
      <c r="I45" s="66" t="s">
        <v>1026</v>
      </c>
      <c r="J45" s="66" t="s">
        <v>1060</v>
      </c>
      <c r="K45" s="66" t="s">
        <v>1061</v>
      </c>
    </row>
    <row r="46" spans="1:11" ht="15" customHeight="1" thickBot="1">
      <c r="B46" s="67" t="s">
        <v>825</v>
      </c>
      <c r="C46" s="68" t="s">
        <v>1</v>
      </c>
      <c r="D46" s="68" t="s">
        <v>1</v>
      </c>
      <c r="E46" s="68" t="s">
        <v>720</v>
      </c>
      <c r="F46" s="68" t="s">
        <v>19</v>
      </c>
      <c r="G46" s="68" t="str">
        <f>'Fund Cover Sheets'!$M$1</f>
        <v>Adopted</v>
      </c>
      <c r="H46" s="68" t="s">
        <v>19</v>
      </c>
      <c r="I46" s="68" t="s">
        <v>19</v>
      </c>
      <c r="J46" s="68" t="s">
        <v>19</v>
      </c>
      <c r="K46" s="68" t="s">
        <v>19</v>
      </c>
    </row>
    <row r="47" spans="1:11" ht="15" customHeight="1">
      <c r="C47" s="70"/>
      <c r="D47" s="70"/>
      <c r="E47" s="70"/>
      <c r="F47" s="70"/>
      <c r="G47" s="70"/>
      <c r="H47" s="70"/>
      <c r="I47" s="70"/>
      <c r="J47" s="70"/>
    </row>
    <row r="48" spans="1:11" ht="24" customHeight="1">
      <c r="A48" s="71" t="s">
        <v>826</v>
      </c>
      <c r="C48" s="2">
        <f>'Budget Detail FY 2014-21'!L272</f>
        <v>13808392</v>
      </c>
      <c r="D48" s="2">
        <f>'Budget Detail FY 2014-21'!M272</f>
        <v>13185437</v>
      </c>
      <c r="E48" s="2">
        <f>'Budget Detail FY 2014-21'!N272</f>
        <v>14190635</v>
      </c>
      <c r="F48" s="2">
        <f>'Budget Detail FY 2014-21'!O272</f>
        <v>14238749</v>
      </c>
      <c r="G48" s="2">
        <f>'Budget Detail FY 2014-21'!P272</f>
        <v>14803097</v>
      </c>
      <c r="H48" s="2">
        <f>'Budget Detail FY 2014-21'!Q272</f>
        <v>15384016</v>
      </c>
      <c r="I48" s="2">
        <f>'Budget Detail FY 2014-21'!R272</f>
        <v>15780895</v>
      </c>
      <c r="J48" s="2">
        <f>'Budget Detail FY 2014-21'!S272</f>
        <v>16269062</v>
      </c>
      <c r="K48" s="2">
        <f>'Budget Detail FY 2014-21'!T272</f>
        <v>16771905</v>
      </c>
    </row>
    <row r="49" spans="1:11" ht="15" customHeight="1">
      <c r="A49" s="71"/>
      <c r="C49" s="2"/>
      <c r="D49" s="2"/>
      <c r="E49" s="2"/>
      <c r="F49" s="2"/>
      <c r="G49" s="2"/>
      <c r="H49" s="2"/>
      <c r="I49" s="2"/>
      <c r="J49" s="2"/>
      <c r="K49" s="2"/>
    </row>
    <row r="50" spans="1:11" ht="24" customHeight="1">
      <c r="A50" s="71" t="s">
        <v>827</v>
      </c>
      <c r="C50" s="73"/>
      <c r="D50" s="73"/>
      <c r="E50" s="73"/>
      <c r="F50" s="73"/>
      <c r="G50" s="73"/>
      <c r="H50" s="73"/>
      <c r="I50" s="73"/>
      <c r="J50" s="73"/>
      <c r="K50" s="73"/>
    </row>
    <row r="51" spans="1:11" ht="24" customHeight="1">
      <c r="A51" s="71"/>
      <c r="B51" s="1" t="s">
        <v>748</v>
      </c>
      <c r="C51" s="73">
        <f>'Budget Detail FY 2014-21'!L348</f>
        <v>947751</v>
      </c>
      <c r="D51" s="73">
        <f>'Budget Detail FY 2014-21'!M348</f>
        <v>962228</v>
      </c>
      <c r="E51" s="73">
        <f>'Budget Detail FY 2014-21'!N348</f>
        <v>871497</v>
      </c>
      <c r="F51" s="73">
        <f>'Budget Detail FY 2014-21'!O348</f>
        <v>701850</v>
      </c>
      <c r="G51" s="73">
        <f>'Budget Detail FY 2014-21'!P348</f>
        <v>740580</v>
      </c>
      <c r="H51" s="73">
        <f>'Budget Detail FY 2014-21'!Q348</f>
        <v>697558</v>
      </c>
      <c r="I51" s="73">
        <f>'Budget Detail FY 2014-21'!R348</f>
        <v>654954</v>
      </c>
      <c r="J51" s="73">
        <f>'Budget Detail FY 2014-21'!S348</f>
        <v>604467</v>
      </c>
      <c r="K51" s="73">
        <f>'Budget Detail FY 2014-21'!T348</f>
        <v>474300</v>
      </c>
    </row>
    <row r="52" spans="1:11" ht="24" customHeight="1">
      <c r="A52" s="72"/>
      <c r="B52" s="69" t="s">
        <v>828</v>
      </c>
      <c r="C52" s="73">
        <f>'Budget Detail FY 2014-21'!L856</f>
        <v>2063804</v>
      </c>
      <c r="D52" s="73">
        <f>'Budget Detail FY 2014-21'!M856</f>
        <v>1805222</v>
      </c>
      <c r="E52" s="73">
        <f>'Budget Detail FY 2014-21'!N856</f>
        <v>1795640</v>
      </c>
      <c r="F52" s="73">
        <f>'Budget Detail FY 2014-21'!O856</f>
        <v>1765480</v>
      </c>
      <c r="G52" s="73">
        <f>'Budget Detail FY 2014-21'!P856</f>
        <v>1796995</v>
      </c>
      <c r="H52" s="73">
        <f>'Budget Detail FY 2014-21'!Q856</f>
        <v>1841676</v>
      </c>
      <c r="I52" s="73">
        <f>'Budget Detail FY 2014-21'!R856</f>
        <v>1893932</v>
      </c>
      <c r="J52" s="73">
        <f>'Budget Detail FY 2014-21'!S856</f>
        <v>1949113</v>
      </c>
      <c r="K52" s="73">
        <f>'Budget Detail FY 2014-21'!T856</f>
        <v>2007325</v>
      </c>
    </row>
    <row r="53" spans="1:11" ht="24" customHeight="1">
      <c r="A53" s="72"/>
      <c r="B53" s="69" t="s">
        <v>623</v>
      </c>
      <c r="C53" s="73">
        <f>'Budget Detail FY 2014-21'!L769</f>
        <v>71037</v>
      </c>
      <c r="D53" s="73">
        <f>'Budget Detail FY 2014-21'!M769</f>
        <v>243428</v>
      </c>
      <c r="E53" s="73">
        <f>'Budget Detail FY 2014-21'!N769</f>
        <v>580832</v>
      </c>
      <c r="F53" s="73">
        <f>'Budget Detail FY 2014-21'!O769</f>
        <v>45512</v>
      </c>
      <c r="G53" s="73">
        <f>'Budget Detail FY 2014-21'!P769</f>
        <v>453855</v>
      </c>
      <c r="H53" s="73">
        <f>'Budget Detail FY 2014-21'!Q769</f>
        <v>330832</v>
      </c>
      <c r="I53" s="73">
        <f>'Budget Detail FY 2014-21'!R769</f>
        <v>72734</v>
      </c>
      <c r="J53" s="73">
        <f>'Budget Detail FY 2014-21'!S769</f>
        <v>0</v>
      </c>
      <c r="K53" s="73">
        <f>'Budget Detail FY 2014-21'!T769</f>
        <v>0</v>
      </c>
    </row>
    <row r="54" spans="1:11" ht="24" customHeight="1">
      <c r="A54" s="72"/>
      <c r="B54" s="69" t="s">
        <v>538</v>
      </c>
      <c r="C54" s="3">
        <f>'Budget Detail FY 2014-21'!L1036</f>
        <v>3343572</v>
      </c>
      <c r="D54" s="3">
        <f>'Budget Detail FY 2014-21'!M1036</f>
        <v>80030</v>
      </c>
      <c r="E54" s="3">
        <f>'Budget Detail FY 2014-21'!N1036</f>
        <v>179587</v>
      </c>
      <c r="F54" s="3">
        <f>'Budget Detail FY 2014-21'!O1036</f>
        <v>1694044</v>
      </c>
      <c r="G54" s="3">
        <f>'Budget Detail FY 2014-21'!P1036</f>
        <v>162759</v>
      </c>
      <c r="H54" s="3">
        <f>'Budget Detail FY 2014-21'!Q1036</f>
        <v>152815</v>
      </c>
      <c r="I54" s="3">
        <f>'Budget Detail FY 2014-21'!R1036</f>
        <v>152498</v>
      </c>
      <c r="J54" s="3">
        <f>'Budget Detail FY 2014-21'!S1036</f>
        <v>212985</v>
      </c>
      <c r="K54" s="3">
        <f>'Budget Detail FY 2014-21'!T1036</f>
        <v>211451</v>
      </c>
    </row>
    <row r="55" spans="1:11" ht="24" customHeight="1">
      <c r="A55" s="72"/>
      <c r="B55" s="69" t="s">
        <v>543</v>
      </c>
      <c r="C55" s="3">
        <f>'Budget Detail FY 2014-21'!L1061</f>
        <v>56411</v>
      </c>
      <c r="D55" s="3">
        <f>'Budget Detail FY 2014-21'!M1061</f>
        <v>52651</v>
      </c>
      <c r="E55" s="3">
        <f>'Budget Detail FY 2014-21'!N1061</f>
        <v>406030</v>
      </c>
      <c r="F55" s="3">
        <f>'Budget Detail FY 2014-21'!O1061</f>
        <v>413530</v>
      </c>
      <c r="G55" s="3">
        <f>'Budget Detail FY 2014-21'!P1061</f>
        <v>52780</v>
      </c>
      <c r="H55" s="3">
        <f>'Budget Detail FY 2014-21'!Q1061</f>
        <v>52785</v>
      </c>
      <c r="I55" s="3">
        <f>'Budget Detail FY 2014-21'!R1061</f>
        <v>52795</v>
      </c>
      <c r="J55" s="3">
        <f>'Budget Detail FY 2014-21'!S1061</f>
        <v>52795</v>
      </c>
      <c r="K55" s="3">
        <f>'Budget Detail FY 2014-21'!T1061</f>
        <v>52795</v>
      </c>
    </row>
    <row r="56" spans="1:11" ht="24" customHeight="1">
      <c r="A56" s="72"/>
      <c r="B56" s="69" t="s">
        <v>829</v>
      </c>
      <c r="C56" s="73">
        <f>'Budget Detail FY 2014-21'!L291</f>
        <v>7776</v>
      </c>
      <c r="D56" s="73">
        <f>'Budget Detail FY 2014-21'!M291</f>
        <v>4208</v>
      </c>
      <c r="E56" s="73">
        <f>'Budget Detail FY 2014-21'!N291</f>
        <v>29833</v>
      </c>
      <c r="F56" s="73">
        <f>'Budget Detail FY 2014-21'!O291</f>
        <v>34674</v>
      </c>
      <c r="G56" s="73">
        <f>'Budget Detail FY 2014-21'!P291</f>
        <v>4833</v>
      </c>
      <c r="H56" s="73">
        <f>'Budget Detail FY 2014-21'!Q291</f>
        <v>5800</v>
      </c>
      <c r="I56" s="73">
        <f>'Budget Detail FY 2014-21'!R291</f>
        <v>5800</v>
      </c>
      <c r="J56" s="73">
        <f>'Budget Detail FY 2014-21'!S291</f>
        <v>5800</v>
      </c>
      <c r="K56" s="73">
        <f>'Budget Detail FY 2014-21'!T291</f>
        <v>5800</v>
      </c>
    </row>
    <row r="57" spans="1:11" ht="24" customHeight="1">
      <c r="A57" s="72"/>
      <c r="B57" s="69" t="s">
        <v>830</v>
      </c>
      <c r="C57" s="73">
        <f>'Budget Detail FY 2014-21'!L308</f>
        <v>12635</v>
      </c>
      <c r="D57" s="73">
        <f>'Budget Detail FY 2014-21'!M308</f>
        <v>40098</v>
      </c>
      <c r="E57" s="73">
        <f>'Budget Detail FY 2014-21'!N308</f>
        <v>37594</v>
      </c>
      <c r="F57" s="73">
        <f>'Budget Detail FY 2014-21'!O308</f>
        <v>37857</v>
      </c>
      <c r="G57" s="73">
        <f>'Budget Detail FY 2014-21'!P308</f>
        <v>17534</v>
      </c>
      <c r="H57" s="73">
        <f>'Budget Detail FY 2014-21'!Q308</f>
        <v>19841</v>
      </c>
      <c r="I57" s="73">
        <f>'Budget Detail FY 2014-21'!R308</f>
        <v>13841</v>
      </c>
      <c r="J57" s="73">
        <f>'Budget Detail FY 2014-21'!S308</f>
        <v>13841</v>
      </c>
      <c r="K57" s="73">
        <f>'Budget Detail FY 2014-21'!T308</f>
        <v>13841</v>
      </c>
    </row>
    <row r="58" spans="1:11">
      <c r="A58" s="72"/>
      <c r="B58" s="69"/>
      <c r="C58" s="73"/>
      <c r="D58" s="73"/>
      <c r="E58" s="73"/>
      <c r="F58" s="73"/>
      <c r="G58" s="73"/>
      <c r="H58" s="73"/>
      <c r="I58" s="73"/>
      <c r="J58" s="73"/>
      <c r="K58" s="73"/>
    </row>
    <row r="59" spans="1:11" ht="24" customHeight="1">
      <c r="A59" s="71" t="s">
        <v>831</v>
      </c>
      <c r="B59" s="64"/>
      <c r="C59" s="3">
        <f>'Budget Detail FY 2014-21'!L543</f>
        <v>328954</v>
      </c>
      <c r="D59" s="3">
        <f>'Budget Detail FY 2014-21'!M543</f>
        <v>2702774</v>
      </c>
      <c r="E59" s="3">
        <f>'Budget Detail FY 2014-21'!N543</f>
        <v>310775</v>
      </c>
      <c r="F59" s="3">
        <f>'Budget Detail FY 2014-21'!O543</f>
        <v>310725</v>
      </c>
      <c r="G59" s="3">
        <f>'Budget Detail FY 2014-21'!P543</f>
        <v>320675</v>
      </c>
      <c r="H59" s="3">
        <f>'Budget Detail FY 2014-21'!Q543</f>
        <v>320275</v>
      </c>
      <c r="I59" s="3">
        <f>'Budget Detail FY 2014-21'!R543</f>
        <v>324775</v>
      </c>
      <c r="J59" s="3">
        <f>'Budget Detail FY 2014-21'!S543</f>
        <v>324075</v>
      </c>
      <c r="K59" s="3">
        <f>'Budget Detail FY 2014-21'!T543</f>
        <v>323275</v>
      </c>
    </row>
    <row r="60" spans="1:11">
      <c r="A60" s="71"/>
      <c r="B60" s="64"/>
      <c r="C60" s="3"/>
      <c r="D60" s="3"/>
      <c r="E60" s="3"/>
      <c r="F60" s="3"/>
      <c r="G60" s="3"/>
      <c r="H60" s="3"/>
      <c r="I60" s="3"/>
      <c r="J60" s="3"/>
      <c r="K60" s="3"/>
    </row>
    <row r="61" spans="1:11" ht="24" customHeight="1">
      <c r="A61" s="71" t="s">
        <v>832</v>
      </c>
      <c r="B61" s="64"/>
      <c r="C61" s="3"/>
      <c r="D61" s="3"/>
      <c r="E61" s="3"/>
      <c r="F61" s="3"/>
      <c r="G61" s="3"/>
      <c r="H61" s="3"/>
      <c r="I61" s="3"/>
      <c r="J61" s="3"/>
      <c r="K61" s="3"/>
    </row>
    <row r="62" spans="1:11" ht="24" customHeight="1">
      <c r="A62" s="71"/>
      <c r="B62" s="69" t="s">
        <v>833</v>
      </c>
      <c r="C62" s="3">
        <f>'Budget Detail FY 2014-21'!L364</f>
        <v>3930</v>
      </c>
      <c r="D62" s="3">
        <f>'Budget Detail FY 2014-21'!M364</f>
        <v>0</v>
      </c>
      <c r="E62" s="3">
        <f>'Budget Detail FY 2014-21'!N364</f>
        <v>0</v>
      </c>
      <c r="F62" s="3">
        <f>'Budget Detail FY 2014-21'!O364</f>
        <v>0</v>
      </c>
      <c r="G62" s="3">
        <f>'Budget Detail FY 2014-21'!P364</f>
        <v>0</v>
      </c>
      <c r="H62" s="3">
        <f>'Budget Detail FY 2014-21'!Q364</f>
        <v>0</v>
      </c>
      <c r="I62" s="3">
        <f>'Budget Detail FY 2014-21'!R364</f>
        <v>0</v>
      </c>
      <c r="J62" s="3">
        <f>'Budget Detail FY 2014-21'!S364</f>
        <v>0</v>
      </c>
      <c r="K62" s="3">
        <f>'Budget Detail FY 2014-21'!T364</f>
        <v>0</v>
      </c>
    </row>
    <row r="63" spans="1:11" ht="24" customHeight="1">
      <c r="A63" s="72"/>
      <c r="B63" s="69" t="s">
        <v>967</v>
      </c>
      <c r="C63" s="3">
        <f>'Budget Detail FY 2014-21'!L507</f>
        <v>333269</v>
      </c>
      <c r="D63" s="3">
        <f>'Budget Detail FY 2014-21'!M507</f>
        <v>513177</v>
      </c>
      <c r="E63" s="3">
        <f>'Budget Detail FY 2014-21'!N507</f>
        <v>616130</v>
      </c>
      <c r="F63" s="3">
        <f>'Budget Detail FY 2014-21'!O507</f>
        <v>581775</v>
      </c>
      <c r="G63" s="3">
        <f>'Budget Detail FY 2014-21'!P507</f>
        <v>193617</v>
      </c>
      <c r="H63" s="3">
        <f>'Budget Detail FY 2014-21'!Q507</f>
        <v>193617</v>
      </c>
      <c r="I63" s="3">
        <f>'Budget Detail FY 2014-21'!R507</f>
        <v>193617</v>
      </c>
      <c r="J63" s="3">
        <f>'Budget Detail FY 2014-21'!S507</f>
        <v>193617</v>
      </c>
      <c r="K63" s="3">
        <f>'Budget Detail FY 2014-21'!T507</f>
        <v>193617</v>
      </c>
    </row>
    <row r="64" spans="1:11" ht="24" customHeight="1">
      <c r="A64" s="72"/>
      <c r="B64" s="69" t="s">
        <v>835</v>
      </c>
      <c r="C64" s="73">
        <f>'Budget Detail FY 2014-21'!L436</f>
        <v>1204795</v>
      </c>
      <c r="D64" s="73">
        <f>'Budget Detail FY 2014-21'!M436</f>
        <v>2533469</v>
      </c>
      <c r="E64" s="73">
        <f>'Budget Detail FY 2014-21'!N436</f>
        <v>5900204</v>
      </c>
      <c r="F64" s="73">
        <f>'Budget Detail FY 2014-21'!O436</f>
        <v>3492466</v>
      </c>
      <c r="G64" s="73">
        <f>'Budget Detail FY 2014-21'!P436</f>
        <v>3796671</v>
      </c>
      <c r="H64" s="73">
        <f>'Budget Detail FY 2014-21'!Q436</f>
        <v>1253959</v>
      </c>
      <c r="I64" s="73">
        <f>'Budget Detail FY 2014-21'!R436</f>
        <v>955688</v>
      </c>
      <c r="J64" s="73">
        <f>'Budget Detail FY 2014-21'!S436</f>
        <v>760100</v>
      </c>
      <c r="K64" s="73">
        <f>'Budget Detail FY 2014-21'!T436</f>
        <v>760100</v>
      </c>
    </row>
    <row r="65" spans="1:11">
      <c r="A65" s="72"/>
      <c r="B65" s="69"/>
      <c r="C65" s="73"/>
      <c r="D65" s="73"/>
      <c r="E65" s="73"/>
      <c r="F65" s="73"/>
      <c r="G65" s="73"/>
      <c r="H65" s="73"/>
      <c r="I65" s="73"/>
      <c r="J65" s="73"/>
      <c r="K65" s="73"/>
    </row>
    <row r="66" spans="1:11" ht="24" customHeight="1">
      <c r="A66" s="71" t="s">
        <v>836</v>
      </c>
      <c r="B66" s="69"/>
      <c r="C66" s="73"/>
      <c r="D66" s="73"/>
      <c r="E66" s="73"/>
      <c r="F66" s="73"/>
      <c r="G66" s="73"/>
      <c r="H66" s="73"/>
      <c r="I66" s="73"/>
      <c r="J66" s="73"/>
      <c r="K66" s="73"/>
    </row>
    <row r="67" spans="1:11" ht="24" customHeight="1">
      <c r="B67" s="69" t="s">
        <v>621</v>
      </c>
      <c r="C67" s="73">
        <f>'Budget Detail FY 2014-21'!L647</f>
        <v>2763633</v>
      </c>
      <c r="D67" s="73">
        <f>'Budget Detail FY 2014-21'!M647</f>
        <v>4319725</v>
      </c>
      <c r="E67" s="73">
        <f>'Budget Detail FY 2014-21'!N647</f>
        <v>7949715</v>
      </c>
      <c r="F67" s="73">
        <f>'Budget Detail FY 2014-21'!O647</f>
        <v>4397027</v>
      </c>
      <c r="G67" s="73">
        <f>'Budget Detail FY 2014-21'!P647</f>
        <v>6445269</v>
      </c>
      <c r="H67" s="73">
        <f>'Budget Detail FY 2014-21'!Q647</f>
        <v>4041487</v>
      </c>
      <c r="I67" s="73">
        <f>'Budget Detail FY 2014-21'!R647</f>
        <v>4322721</v>
      </c>
      <c r="J67" s="73">
        <f>'Budget Detail FY 2014-21'!S647</f>
        <v>5234152</v>
      </c>
      <c r="K67" s="73">
        <f>'Budget Detail FY 2014-21'!T647</f>
        <v>4619018</v>
      </c>
    </row>
    <row r="68" spans="1:11" ht="24" customHeight="1">
      <c r="B68" s="69" t="s">
        <v>622</v>
      </c>
      <c r="C68" s="73">
        <f>'Budget Detail FY 2014-21'!L731</f>
        <v>2503777</v>
      </c>
      <c r="D68" s="73">
        <f>'Budget Detail FY 2014-21'!M731</f>
        <v>3491786</v>
      </c>
      <c r="E68" s="73">
        <f>'Budget Detail FY 2014-21'!N731</f>
        <v>2941087</v>
      </c>
      <c r="F68" s="73">
        <f>'Budget Detail FY 2014-21'!O731</f>
        <v>2932539</v>
      </c>
      <c r="G68" s="73">
        <f>'Budget Detail FY 2014-21'!P731</f>
        <v>2965298</v>
      </c>
      <c r="H68" s="73">
        <f>'Budget Detail FY 2014-21'!Q731</f>
        <v>2996663</v>
      </c>
      <c r="I68" s="73">
        <f>'Budget Detail FY 2014-21'!R731</f>
        <v>3025241</v>
      </c>
      <c r="J68" s="73">
        <f>'Budget Detail FY 2014-21'!S731</f>
        <v>2506181</v>
      </c>
      <c r="K68" s="73">
        <f>'Budget Detail FY 2014-21'!T731</f>
        <v>2450001</v>
      </c>
    </row>
    <row r="69" spans="1:11" ht="24" customHeight="1">
      <c r="B69" s="69" t="s">
        <v>561</v>
      </c>
      <c r="C69" s="73">
        <f>'Budget Detail FY 2014-21'!L896</f>
        <v>234086</v>
      </c>
      <c r="D69" s="73">
        <f>'Budget Detail FY 2014-21'!M896</f>
        <v>0</v>
      </c>
      <c r="E69" s="73">
        <f>'Budget Detail FY 2014-21'!N896</f>
        <v>0</v>
      </c>
      <c r="F69" s="73">
        <f>'Budget Detail FY 2014-21'!O896</f>
        <v>0</v>
      </c>
      <c r="G69" s="73">
        <f>'Budget Detail FY 2014-21'!P896</f>
        <v>0</v>
      </c>
      <c r="H69" s="73">
        <f>'Budget Detail FY 2014-21'!Q896</f>
        <v>0</v>
      </c>
      <c r="I69" s="73">
        <f>'Budget Detail FY 2014-21'!R896</f>
        <v>0</v>
      </c>
      <c r="J69" s="73">
        <f>'Budget Detail FY 2014-21'!S896</f>
        <v>0</v>
      </c>
      <c r="K69" s="73">
        <f>'Budget Detail FY 2014-21'!T896</f>
        <v>0</v>
      </c>
    </row>
    <row r="70" spans="1:11">
      <c r="B70" s="69"/>
      <c r="C70" s="73"/>
      <c r="D70" s="73"/>
      <c r="E70" s="73"/>
      <c r="F70" s="73"/>
      <c r="G70" s="73"/>
      <c r="H70" s="73"/>
      <c r="I70" s="73"/>
      <c r="J70" s="73"/>
      <c r="K70" s="73"/>
    </row>
    <row r="71" spans="1:11" ht="24" customHeight="1">
      <c r="A71" s="71" t="s">
        <v>840</v>
      </c>
      <c r="B71" s="69"/>
      <c r="C71" s="73"/>
      <c r="D71" s="73"/>
      <c r="E71" s="73"/>
      <c r="F71" s="73"/>
      <c r="G71" s="73"/>
      <c r="H71" s="73"/>
      <c r="I71" s="73"/>
      <c r="J71" s="73"/>
      <c r="K71" s="73"/>
    </row>
    <row r="72" spans="1:11" ht="24" customHeight="1">
      <c r="A72" s="71"/>
      <c r="B72" s="69" t="s">
        <v>614</v>
      </c>
      <c r="C72" s="73">
        <f>'Budget Detail FY 2014-21'!L955</f>
        <v>716452</v>
      </c>
      <c r="D72" s="73">
        <f>'Budget Detail FY 2014-21'!M955</f>
        <v>723876</v>
      </c>
      <c r="E72" s="73">
        <f>'Budget Detail FY 2014-21'!N955</f>
        <v>716122</v>
      </c>
      <c r="F72" s="73">
        <f>'Budget Detail FY 2014-21'!O955</f>
        <v>711198</v>
      </c>
      <c r="G72" s="73">
        <f>'Budget Detail FY 2014-21'!P955</f>
        <v>756943</v>
      </c>
      <c r="H72" s="73">
        <f>'Budget Detail FY 2014-21'!Q955</f>
        <v>783636</v>
      </c>
      <c r="I72" s="73">
        <f>'Budget Detail FY 2014-21'!R955</f>
        <v>809117</v>
      </c>
      <c r="J72" s="73">
        <f>'Budget Detail FY 2014-21'!S955</f>
        <v>835828</v>
      </c>
      <c r="K72" s="73">
        <f>'Budget Detail FY 2014-21'!T955</f>
        <v>863836</v>
      </c>
    </row>
    <row r="73" spans="1:11" ht="24" customHeight="1">
      <c r="A73" s="71"/>
      <c r="B73" s="69" t="s">
        <v>536</v>
      </c>
      <c r="C73" s="73">
        <f>'Budget Detail FY 2014-21'!L980</f>
        <v>767720</v>
      </c>
      <c r="D73" s="73">
        <f>'Budget Detail FY 2014-21'!M980</f>
        <v>731321</v>
      </c>
      <c r="E73" s="73">
        <f>'Budget Detail FY 2014-21'!N980</f>
        <v>749846</v>
      </c>
      <c r="F73" s="73">
        <f>'Budget Detail FY 2014-21'!O980</f>
        <v>749846</v>
      </c>
      <c r="G73" s="73">
        <f>'Budget Detail FY 2014-21'!P980</f>
        <v>752771</v>
      </c>
      <c r="H73" s="73">
        <f>'Budget Detail FY 2014-21'!Q980</f>
        <v>760396</v>
      </c>
      <c r="I73" s="73">
        <f>'Budget Detail FY 2014-21'!R980</f>
        <v>792101</v>
      </c>
      <c r="J73" s="73">
        <f>'Budget Detail FY 2014-21'!S980</f>
        <v>797013</v>
      </c>
      <c r="K73" s="73">
        <f>'Budget Detail FY 2014-21'!T980</f>
        <v>827088</v>
      </c>
    </row>
    <row r="74" spans="1:11" ht="24" customHeight="1">
      <c r="A74" s="71"/>
      <c r="B74" s="69" t="s">
        <v>838</v>
      </c>
      <c r="C74" s="73">
        <f>'Budget Detail FY 2014-21'!L1001</f>
        <v>42484</v>
      </c>
      <c r="D74" s="73">
        <f>'Budget Detail FY 2014-21'!M1001</f>
        <v>39505</v>
      </c>
      <c r="E74" s="73">
        <f>'Budget Detail FY 2014-21'!N1001</f>
        <v>11895</v>
      </c>
      <c r="F74" s="73">
        <f>'Budget Detail FY 2014-21'!O1001</f>
        <v>11895</v>
      </c>
      <c r="G74" s="73">
        <f>'Budget Detail FY 2014-21'!P1001</f>
        <v>11895</v>
      </c>
      <c r="H74" s="73">
        <f>'Budget Detail FY 2014-21'!Q1001</f>
        <v>20000</v>
      </c>
      <c r="I74" s="73">
        <f>'Budget Detail FY 2014-21'!R1001</f>
        <v>20010</v>
      </c>
      <c r="J74" s="73">
        <f>'Budget Detail FY 2014-21'!S1001</f>
        <v>20010</v>
      </c>
      <c r="K74" s="73">
        <f>'Budget Detail FY 2014-21'!T1001</f>
        <v>20010</v>
      </c>
    </row>
    <row r="75" spans="1:11">
      <c r="C75" s="2"/>
      <c r="D75" s="2"/>
      <c r="E75" s="2"/>
      <c r="F75" s="2"/>
      <c r="G75" s="2"/>
      <c r="H75" s="2"/>
      <c r="I75" s="2"/>
      <c r="J75" s="2"/>
      <c r="K75" s="2"/>
    </row>
    <row r="76" spans="1:11" ht="24" customHeight="1" thickBot="1">
      <c r="A76" s="7"/>
      <c r="B76" s="75" t="s">
        <v>897</v>
      </c>
      <c r="C76" s="76">
        <f>SUM(C48:C75)</f>
        <v>29210478</v>
      </c>
      <c r="D76" s="76">
        <f t="shared" ref="D76:K76" si="1">SUM(D48:D75)</f>
        <v>31428935</v>
      </c>
      <c r="E76" s="76">
        <f t="shared" si="1"/>
        <v>37287422</v>
      </c>
      <c r="F76" s="76">
        <f t="shared" si="1"/>
        <v>32119167</v>
      </c>
      <c r="G76" s="76">
        <f t="shared" si="1"/>
        <v>33275572</v>
      </c>
      <c r="H76" s="76">
        <f t="shared" si="1"/>
        <v>28855356</v>
      </c>
      <c r="I76" s="76">
        <f t="shared" si="1"/>
        <v>29070719</v>
      </c>
      <c r="J76" s="76">
        <f t="shared" si="1"/>
        <v>29779039</v>
      </c>
      <c r="K76" s="76">
        <f t="shared" si="1"/>
        <v>29594362</v>
      </c>
    </row>
    <row r="77" spans="1:11" ht="15.75" thickTop="1"/>
  </sheetData>
  <mergeCells count="6">
    <mergeCell ref="B40:K40"/>
    <mergeCell ref="B41:K41"/>
    <mergeCell ref="B42:K42"/>
    <mergeCell ref="B1:K1"/>
    <mergeCell ref="B2:K2"/>
    <mergeCell ref="B3:K3"/>
  </mergeCells>
  <printOptions horizontalCentered="1"/>
  <pageMargins left="0" right="0" top="0.25" bottom="0.25" header="0" footer="0"/>
  <pageSetup scale="74" orientation="landscape" r:id="rId1"/>
  <rowBreaks count="1" manualBreakCount="1">
    <brk id="39" max="10" man="1"/>
  </rowBreaks>
</worksheet>
</file>

<file path=xl/worksheets/sheet2.xml><?xml version="1.0" encoding="utf-8"?>
<worksheet xmlns="http://schemas.openxmlformats.org/spreadsheetml/2006/main" xmlns:r="http://schemas.openxmlformats.org/officeDocument/2006/relationships">
  <dimension ref="A1:M108"/>
  <sheetViews>
    <sheetView zoomScale="75" zoomScaleNormal="75" workbookViewId="0">
      <selection activeCell="O8" sqref="O8"/>
    </sheetView>
  </sheetViews>
  <sheetFormatPr defaultColWidth="10.42578125" defaultRowHeight="15"/>
  <cols>
    <col min="1" max="1" width="3.7109375" style="1" customWidth="1"/>
    <col min="2" max="2" width="25.85546875" style="1" customWidth="1"/>
    <col min="3" max="13" width="12.7109375" style="1" customWidth="1"/>
    <col min="14" max="16384" width="10.42578125" style="1"/>
  </cols>
  <sheetData>
    <row r="1" spans="1:13" ht="24" customHeight="1">
      <c r="A1" s="752" t="s">
        <v>823</v>
      </c>
      <c r="B1" s="752"/>
      <c r="C1" s="752"/>
      <c r="D1" s="752"/>
      <c r="E1" s="752"/>
      <c r="F1" s="752"/>
      <c r="G1" s="752"/>
      <c r="H1" s="752"/>
      <c r="I1" s="752"/>
      <c r="J1" s="752"/>
      <c r="K1" s="752"/>
      <c r="L1" s="752"/>
      <c r="M1" s="752"/>
    </row>
    <row r="2" spans="1:13" ht="24" customHeight="1">
      <c r="A2" s="753" t="s">
        <v>841</v>
      </c>
      <c r="B2" s="753"/>
      <c r="C2" s="753"/>
      <c r="D2" s="753"/>
      <c r="E2" s="753"/>
      <c r="F2" s="753"/>
      <c r="G2" s="753"/>
      <c r="H2" s="753"/>
      <c r="I2" s="753"/>
      <c r="J2" s="753"/>
      <c r="K2" s="753"/>
      <c r="L2" s="753"/>
      <c r="M2" s="753"/>
    </row>
    <row r="3" spans="1:13" ht="24" customHeight="1">
      <c r="A3" s="752" t="s">
        <v>1370</v>
      </c>
      <c r="B3" s="752"/>
      <c r="C3" s="752"/>
      <c r="D3" s="752"/>
      <c r="E3" s="752"/>
      <c r="F3" s="752"/>
      <c r="G3" s="752"/>
      <c r="H3" s="752"/>
      <c r="I3" s="752"/>
      <c r="J3" s="752"/>
      <c r="K3" s="752"/>
      <c r="L3" s="752"/>
      <c r="M3" s="752"/>
    </row>
    <row r="4" spans="1:13" ht="15" customHeight="1"/>
    <row r="5" spans="1:13" ht="15" customHeight="1">
      <c r="L5" s="66" t="s">
        <v>842</v>
      </c>
    </row>
    <row r="6" spans="1:13" ht="15" customHeight="1">
      <c r="D6" s="65" t="s">
        <v>843</v>
      </c>
      <c r="E6" s="65" t="s">
        <v>844</v>
      </c>
      <c r="F6" s="66" t="s">
        <v>845</v>
      </c>
      <c r="G6" s="65" t="s">
        <v>846</v>
      </c>
      <c r="H6" s="65" t="s">
        <v>847</v>
      </c>
      <c r="I6" s="65" t="s">
        <v>848</v>
      </c>
      <c r="J6" s="66" t="s">
        <v>849</v>
      </c>
      <c r="K6" s="66" t="s">
        <v>850</v>
      </c>
      <c r="L6" s="66" t="s">
        <v>851</v>
      </c>
      <c r="M6" s="66" t="s">
        <v>852</v>
      </c>
    </row>
    <row r="7" spans="1:13" ht="15" customHeight="1" thickBot="1">
      <c r="A7" s="67"/>
      <c r="B7" s="67" t="s">
        <v>825</v>
      </c>
      <c r="C7" s="78" t="s">
        <v>765</v>
      </c>
      <c r="D7" s="78" t="s">
        <v>853</v>
      </c>
      <c r="E7" s="68" t="s">
        <v>854</v>
      </c>
      <c r="F7" s="68" t="s">
        <v>855</v>
      </c>
      <c r="G7" s="68" t="s">
        <v>856</v>
      </c>
      <c r="H7" s="68" t="s">
        <v>857</v>
      </c>
      <c r="I7" s="68" t="s">
        <v>858</v>
      </c>
      <c r="J7" s="68" t="s">
        <v>859</v>
      </c>
      <c r="K7" s="68" t="s">
        <v>860</v>
      </c>
      <c r="L7" s="68" t="s">
        <v>861</v>
      </c>
      <c r="M7" s="68" t="s">
        <v>862</v>
      </c>
    </row>
    <row r="8" spans="1:13" ht="15" customHeight="1">
      <c r="A8" s="69"/>
      <c r="B8" s="69"/>
      <c r="C8" s="79"/>
      <c r="D8" s="79"/>
      <c r="E8" s="70"/>
      <c r="F8" s="70"/>
      <c r="G8" s="70"/>
      <c r="H8" s="70"/>
      <c r="I8" s="70"/>
      <c r="J8" s="70"/>
      <c r="K8" s="70"/>
      <c r="L8" s="70"/>
      <c r="M8" s="70"/>
    </row>
    <row r="9" spans="1:13" ht="15" customHeight="1"/>
    <row r="10" spans="1:13" ht="24" customHeight="1">
      <c r="A10" s="71" t="s">
        <v>826</v>
      </c>
      <c r="C10" s="2">
        <f>'Fund Cover Sheets'!G11</f>
        <v>10384836</v>
      </c>
      <c r="D10" s="2">
        <f>'Fund Cover Sheets'!G12</f>
        <v>2313586</v>
      </c>
      <c r="E10" s="2">
        <f>'Fund Cover Sheets'!G13</f>
        <v>178000</v>
      </c>
      <c r="F10" s="2">
        <f>'Fund Cover Sheets'!G14</f>
        <v>130225</v>
      </c>
      <c r="G10" s="2">
        <f>'Fund Cover Sheets'!G15</f>
        <v>1423175</v>
      </c>
      <c r="H10" s="2">
        <f>'Fund Cover Sheets'!G16</f>
        <v>5000</v>
      </c>
      <c r="I10" s="2">
        <f>'Fund Cover Sheets'!G17</f>
        <v>55000</v>
      </c>
      <c r="J10" s="2">
        <f>'Fund Cover Sheets'!G18</f>
        <v>24000</v>
      </c>
      <c r="K10" s="2">
        <v>0</v>
      </c>
      <c r="L10" s="2">
        <f>'Fund Cover Sheets'!G19</f>
        <v>3000</v>
      </c>
      <c r="M10" s="2">
        <f>SUM(C10:L10)</f>
        <v>14516822</v>
      </c>
    </row>
    <row r="11" spans="1:13" ht="15" customHeight="1">
      <c r="A11" s="71"/>
      <c r="C11" s="2"/>
      <c r="D11" s="2"/>
      <c r="E11" s="2"/>
      <c r="F11" s="2"/>
      <c r="G11" s="2"/>
      <c r="H11" s="2"/>
      <c r="I11" s="2"/>
      <c r="J11" s="2"/>
      <c r="K11" s="2"/>
      <c r="L11" s="2"/>
      <c r="M11" s="2"/>
    </row>
    <row r="12" spans="1:13" ht="24" customHeight="1">
      <c r="A12" s="71" t="s">
        <v>827</v>
      </c>
      <c r="C12" s="73"/>
      <c r="D12" s="73"/>
      <c r="E12" s="73"/>
      <c r="F12" s="73"/>
      <c r="G12" s="73"/>
      <c r="H12" s="73"/>
      <c r="I12" s="73"/>
      <c r="J12" s="73"/>
      <c r="K12" s="73"/>
      <c r="L12" s="3"/>
      <c r="M12" s="3"/>
    </row>
    <row r="13" spans="1:13" ht="24" customHeight="1">
      <c r="A13" s="71"/>
      <c r="B13" s="1" t="s">
        <v>748</v>
      </c>
      <c r="C13" s="73">
        <v>0</v>
      </c>
      <c r="D13" s="73">
        <f>'Fund Cover Sheets'!G128</f>
        <v>487254</v>
      </c>
      <c r="E13" s="73">
        <v>0</v>
      </c>
      <c r="F13" s="73">
        <v>0</v>
      </c>
      <c r="G13" s="73">
        <v>0</v>
      </c>
      <c r="H13" s="73">
        <f>'Fund Cover Sheets'!G129</f>
        <v>300</v>
      </c>
      <c r="I13" s="73">
        <f>'Fund Cover Sheets'!G130</f>
        <v>0</v>
      </c>
      <c r="J13" s="73">
        <v>0</v>
      </c>
      <c r="K13" s="73">
        <v>0</v>
      </c>
      <c r="L13" s="3">
        <f>'Fund Cover Sheets'!G131</f>
        <v>25023</v>
      </c>
      <c r="M13" s="2">
        <f>SUM(C13:L13)</f>
        <v>512577</v>
      </c>
    </row>
    <row r="14" spans="1:13" ht="24" customHeight="1">
      <c r="A14" s="72"/>
      <c r="B14" s="69" t="s">
        <v>828</v>
      </c>
      <c r="C14" s="73">
        <v>0</v>
      </c>
      <c r="D14" s="19">
        <v>0</v>
      </c>
      <c r="E14" s="73">
        <v>0</v>
      </c>
      <c r="F14" s="73">
        <v>0</v>
      </c>
      <c r="G14" s="19">
        <f>'Fund Cover Sheets'!G491</f>
        <v>355000</v>
      </c>
      <c r="H14" s="19">
        <f>'Fund Cover Sheets'!G492</f>
        <v>350</v>
      </c>
      <c r="I14" s="19">
        <f>'Fund Cover Sheets'!G493</f>
        <v>0</v>
      </c>
      <c r="J14" s="19">
        <f>'Fund Cover Sheets'!G494</f>
        <v>181000</v>
      </c>
      <c r="K14" s="19">
        <v>0</v>
      </c>
      <c r="L14" s="19">
        <f>'Fund Cover Sheets'!G495</f>
        <v>1118638</v>
      </c>
      <c r="M14" s="2">
        <f t="shared" ref="M14:M19" si="0">SUM(C14:L14)</f>
        <v>1654988</v>
      </c>
    </row>
    <row r="15" spans="1:13" ht="24" customHeight="1">
      <c r="A15" s="72"/>
      <c r="B15" s="69" t="s">
        <v>623</v>
      </c>
      <c r="C15" s="73">
        <v>0</v>
      </c>
      <c r="D15" s="73">
        <f>'Fund Cover Sheets'!G448</f>
        <v>400000</v>
      </c>
      <c r="E15" s="73">
        <v>0</v>
      </c>
      <c r="F15" s="73">
        <v>0</v>
      </c>
      <c r="G15" s="73">
        <v>0</v>
      </c>
      <c r="H15" s="73">
        <v>0</v>
      </c>
      <c r="I15" s="73">
        <f>'Fund Cover Sheets'!G452</f>
        <v>50000</v>
      </c>
      <c r="J15" s="73">
        <v>0</v>
      </c>
      <c r="K15" s="73">
        <f>'Fund Cover Sheets'!G451</f>
        <v>39000</v>
      </c>
      <c r="L15" s="3">
        <f>'Fund Cover Sheets'!G454</f>
        <v>0</v>
      </c>
      <c r="M15" s="2">
        <f>SUM(C15:L15)</f>
        <v>489000</v>
      </c>
    </row>
    <row r="16" spans="1:13" ht="24" customHeight="1">
      <c r="A16" s="72"/>
      <c r="B16" s="69" t="s">
        <v>538</v>
      </c>
      <c r="C16" s="73">
        <f>'Fund Cover Sheets'!G703</f>
        <v>200000</v>
      </c>
      <c r="D16" s="73">
        <v>0</v>
      </c>
      <c r="E16" s="73">
        <v>0</v>
      </c>
      <c r="F16" s="73">
        <v>0</v>
      </c>
      <c r="G16" s="73">
        <v>0</v>
      </c>
      <c r="H16" s="73">
        <f>'Fund Cover Sheets'!G704</f>
        <v>0</v>
      </c>
      <c r="I16" s="73">
        <v>0</v>
      </c>
      <c r="J16" s="3">
        <v>0</v>
      </c>
      <c r="K16" s="3">
        <v>0</v>
      </c>
      <c r="L16" s="3">
        <v>0</v>
      </c>
      <c r="M16" s="2">
        <f>SUM(C16:L16)</f>
        <v>200000</v>
      </c>
    </row>
    <row r="17" spans="1:13" ht="24" customHeight="1">
      <c r="A17" s="72"/>
      <c r="B17" s="69" t="s">
        <v>543</v>
      </c>
      <c r="C17" s="2">
        <f>'Fund Cover Sheets'!G742</f>
        <v>70000</v>
      </c>
      <c r="D17" s="3">
        <v>0</v>
      </c>
      <c r="E17" s="3">
        <v>0</v>
      </c>
      <c r="F17" s="3">
        <v>0</v>
      </c>
      <c r="G17" s="3">
        <v>0</v>
      </c>
      <c r="H17" s="3">
        <f>'Fund Cover Sheets'!G743</f>
        <v>50</v>
      </c>
      <c r="I17" s="3">
        <v>0</v>
      </c>
      <c r="J17" s="3">
        <v>0</v>
      </c>
      <c r="K17" s="3">
        <v>0</v>
      </c>
      <c r="L17" s="3">
        <v>0</v>
      </c>
      <c r="M17" s="2">
        <f t="shared" si="0"/>
        <v>70050</v>
      </c>
    </row>
    <row r="18" spans="1:13" ht="24" customHeight="1">
      <c r="A18" s="72"/>
      <c r="B18" s="69" t="s">
        <v>829</v>
      </c>
      <c r="C18" s="2">
        <f>'Fund Cover Sheets'!G57</f>
        <v>7073</v>
      </c>
      <c r="D18" s="2">
        <v>0</v>
      </c>
      <c r="E18" s="2">
        <v>0</v>
      </c>
      <c r="F18" s="2">
        <v>0</v>
      </c>
      <c r="G18" s="2">
        <v>0</v>
      </c>
      <c r="H18" s="2">
        <v>0</v>
      </c>
      <c r="I18" s="3">
        <v>0</v>
      </c>
      <c r="J18" s="3">
        <v>0</v>
      </c>
      <c r="K18" s="3">
        <v>0</v>
      </c>
      <c r="L18" s="3">
        <v>0</v>
      </c>
      <c r="M18" s="2">
        <f>SUM(C18:L18)</f>
        <v>7073</v>
      </c>
    </row>
    <row r="19" spans="1:13" ht="24" customHeight="1">
      <c r="A19" s="72"/>
      <c r="B19" s="69" t="s">
        <v>830</v>
      </c>
      <c r="C19" s="3">
        <f>'Fund Cover Sheets'!G93</f>
        <v>20392</v>
      </c>
      <c r="D19" s="3">
        <v>0</v>
      </c>
      <c r="E19" s="3">
        <v>0</v>
      </c>
      <c r="F19" s="3">
        <v>0</v>
      </c>
      <c r="G19" s="3">
        <v>0</v>
      </c>
      <c r="H19" s="3">
        <f>'Fund Cover Sheets'!G94</f>
        <v>0</v>
      </c>
      <c r="I19" s="3">
        <v>0</v>
      </c>
      <c r="J19" s="73">
        <v>0</v>
      </c>
      <c r="K19" s="73">
        <v>0</v>
      </c>
      <c r="L19" s="3">
        <v>0</v>
      </c>
      <c r="M19" s="2">
        <f t="shared" si="0"/>
        <v>20392</v>
      </c>
    </row>
    <row r="20" spans="1:13">
      <c r="A20" s="72"/>
      <c r="B20" s="69"/>
      <c r="C20" s="3"/>
      <c r="D20" s="3"/>
      <c r="E20" s="3"/>
      <c r="F20" s="3"/>
      <c r="G20" s="3"/>
      <c r="H20" s="3"/>
      <c r="I20" s="3"/>
      <c r="J20" s="73"/>
      <c r="K20" s="73"/>
      <c r="L20" s="3"/>
      <c r="M20" s="2"/>
    </row>
    <row r="21" spans="1:13" ht="24" customHeight="1">
      <c r="A21" s="71" t="s">
        <v>831</v>
      </c>
      <c r="B21" s="64"/>
      <c r="C21" s="2">
        <f>'Fund Cover Sheets'!G314</f>
        <v>47497</v>
      </c>
      <c r="D21" s="3">
        <v>0</v>
      </c>
      <c r="E21" s="3">
        <f>'Fund Cover Sheets'!G315</f>
        <v>5000</v>
      </c>
      <c r="F21" s="3">
        <v>0</v>
      </c>
      <c r="G21" s="3">
        <v>0</v>
      </c>
      <c r="H21" s="3">
        <f>'Fund Cover Sheets'!G316</f>
        <v>0</v>
      </c>
      <c r="I21" s="3">
        <v>0</v>
      </c>
      <c r="J21" s="3">
        <v>0</v>
      </c>
      <c r="K21" s="3">
        <v>0</v>
      </c>
      <c r="L21" s="3">
        <f>'Fund Cover Sheets'!G317</f>
        <v>268178</v>
      </c>
      <c r="M21" s="2">
        <f>SUM(C21:L21)</f>
        <v>320675</v>
      </c>
    </row>
    <row r="22" spans="1:13" ht="15" customHeight="1">
      <c r="A22" s="71"/>
      <c r="B22" s="64"/>
      <c r="C22" s="2"/>
      <c r="D22" s="3"/>
      <c r="E22" s="3"/>
      <c r="F22" s="3"/>
      <c r="G22" s="3"/>
      <c r="H22" s="3"/>
      <c r="I22" s="3"/>
      <c r="J22" s="3"/>
      <c r="K22" s="3"/>
      <c r="L22" s="3"/>
      <c r="M22" s="2"/>
    </row>
    <row r="23" spans="1:13" ht="24" customHeight="1">
      <c r="A23" s="71" t="s">
        <v>832</v>
      </c>
      <c r="B23" s="64"/>
      <c r="C23" s="73"/>
      <c r="D23" s="73"/>
      <c r="E23" s="73"/>
      <c r="F23" s="73"/>
      <c r="G23" s="73"/>
      <c r="H23" s="73"/>
      <c r="I23" s="73"/>
      <c r="J23" s="73"/>
      <c r="K23" s="73"/>
      <c r="L23" s="73"/>
      <c r="M23" s="2"/>
    </row>
    <row r="24" spans="1:13" ht="24" customHeight="1">
      <c r="A24" s="72"/>
      <c r="B24" s="69" t="s">
        <v>967</v>
      </c>
      <c r="C24" s="73">
        <v>0</v>
      </c>
      <c r="D24" s="3">
        <v>0</v>
      </c>
      <c r="E24" s="3">
        <f>'Fund Cover Sheets'!G252</f>
        <v>26000</v>
      </c>
      <c r="F24" s="3">
        <f>'Fund Cover Sheets'!G253</f>
        <v>10200</v>
      </c>
      <c r="G24" s="3">
        <f>'Fund Cover Sheets'!G254</f>
        <v>101633</v>
      </c>
      <c r="H24" s="3">
        <f>'Fund Cover Sheets'!G255</f>
        <v>50</v>
      </c>
      <c r="I24" s="19">
        <f>'Fund Cover Sheets'!G256</f>
        <v>0</v>
      </c>
      <c r="J24" s="3">
        <f>'Fund Cover Sheets'!G257</f>
        <v>2000</v>
      </c>
      <c r="K24" s="3">
        <v>0</v>
      </c>
      <c r="L24" s="3">
        <f>'Fund Cover Sheets'!G258</f>
        <v>1000</v>
      </c>
      <c r="M24" s="2">
        <f>SUM(C24:L24)</f>
        <v>140883</v>
      </c>
    </row>
    <row r="25" spans="1:13" ht="24" customHeight="1">
      <c r="A25" s="72"/>
      <c r="B25" s="69" t="s">
        <v>835</v>
      </c>
      <c r="C25" s="3">
        <v>0</v>
      </c>
      <c r="D25" s="3">
        <f>'Fund Cover Sheets'!G202</f>
        <v>773222</v>
      </c>
      <c r="E25" s="6">
        <f>'Fund Cover Sheets'!G203</f>
        <v>24000</v>
      </c>
      <c r="F25" s="3">
        <v>0</v>
      </c>
      <c r="G25" s="73">
        <f>'Fund Cover Sheets'!G204</f>
        <v>681600</v>
      </c>
      <c r="H25" s="73">
        <f>'Fund Cover Sheets'!G205</f>
        <v>600</v>
      </c>
      <c r="I25" s="73">
        <f>'Fund Cover Sheets'!G206</f>
        <v>294740</v>
      </c>
      <c r="J25" s="3">
        <v>0</v>
      </c>
      <c r="K25" s="3">
        <v>0</v>
      </c>
      <c r="L25" s="3">
        <f>'Fund Cover Sheets'!G207</f>
        <v>49500</v>
      </c>
      <c r="M25" s="2">
        <f>SUM(C25:L25)</f>
        <v>1823662</v>
      </c>
    </row>
    <row r="26" spans="1:13">
      <c r="A26" s="72"/>
      <c r="B26" s="69"/>
      <c r="C26" s="3"/>
      <c r="D26" s="3"/>
      <c r="E26" s="6"/>
      <c r="F26" s="3"/>
      <c r="G26" s="73"/>
      <c r="H26" s="73"/>
      <c r="I26" s="73"/>
      <c r="J26" s="3"/>
      <c r="K26" s="3"/>
      <c r="L26" s="3"/>
      <c r="M26" s="2"/>
    </row>
    <row r="27" spans="1:13" ht="24" customHeight="1">
      <c r="A27" s="71" t="s">
        <v>836</v>
      </c>
      <c r="B27" s="69"/>
      <c r="C27" s="2"/>
      <c r="D27" s="73"/>
      <c r="E27" s="73"/>
      <c r="F27" s="73"/>
      <c r="G27" s="73"/>
      <c r="H27" s="73"/>
      <c r="I27" s="73"/>
      <c r="J27" s="73"/>
      <c r="K27" s="73"/>
      <c r="L27" s="3"/>
      <c r="M27" s="3"/>
    </row>
    <row r="28" spans="1:13" ht="24" customHeight="1">
      <c r="B28" s="69" t="s">
        <v>621</v>
      </c>
      <c r="C28" s="73">
        <f>'Fund Cover Sheets'!G352</f>
        <v>0</v>
      </c>
      <c r="D28" s="73">
        <v>0</v>
      </c>
      <c r="E28" s="73">
        <v>0</v>
      </c>
      <c r="F28" s="73">
        <v>0</v>
      </c>
      <c r="G28" s="2">
        <f>'Fund Cover Sheets'!G354</f>
        <v>3661400</v>
      </c>
      <c r="H28" s="2">
        <f>'Fund Cover Sheets'!G355</f>
        <v>1000</v>
      </c>
      <c r="I28" s="2">
        <f>'Fund Cover Sheets'!G356</f>
        <v>0</v>
      </c>
      <c r="J28" s="73">
        <f>'Fund Cover Sheets'!G357</f>
        <v>57433</v>
      </c>
      <c r="K28" s="73">
        <v>0</v>
      </c>
      <c r="L28" s="3">
        <f>'Fund Cover Sheets'!G358</f>
        <v>75075</v>
      </c>
      <c r="M28" s="2">
        <f>SUM(C28:L28)</f>
        <v>3794908</v>
      </c>
    </row>
    <row r="29" spans="1:13" ht="24" customHeight="1">
      <c r="B29" s="69" t="s">
        <v>622</v>
      </c>
      <c r="C29" s="73">
        <f>'Fund Cover Sheets'!G399</f>
        <v>0</v>
      </c>
      <c r="D29" s="73">
        <v>0</v>
      </c>
      <c r="E29" s="73">
        <v>0</v>
      </c>
      <c r="F29" s="73">
        <v>0</v>
      </c>
      <c r="G29" s="73">
        <f>'Fund Cover Sheets'!G401</f>
        <v>1199942</v>
      </c>
      <c r="H29" s="73">
        <f>'Fund Cover Sheets'!G402</f>
        <v>1000</v>
      </c>
      <c r="I29" s="73">
        <f>'Fund Cover Sheets'!G403</f>
        <v>200000</v>
      </c>
      <c r="J29" s="73">
        <v>0</v>
      </c>
      <c r="K29" s="73">
        <v>0</v>
      </c>
      <c r="L29" s="3">
        <f>'Fund Cover Sheets'!G404</f>
        <v>1134052</v>
      </c>
      <c r="M29" s="2">
        <f>SUM(C29:L29)</f>
        <v>2534994</v>
      </c>
    </row>
    <row r="30" spans="1:13" ht="15" customHeight="1">
      <c r="B30" s="69"/>
      <c r="C30" s="73"/>
      <c r="D30" s="73"/>
      <c r="E30" s="73"/>
      <c r="F30" s="73"/>
      <c r="G30" s="73"/>
      <c r="H30" s="73"/>
      <c r="I30" s="73"/>
      <c r="J30" s="73"/>
      <c r="K30" s="73"/>
      <c r="L30" s="3"/>
      <c r="M30" s="2"/>
    </row>
    <row r="31" spans="1:13" ht="24" customHeight="1">
      <c r="A31" s="71" t="s">
        <v>837</v>
      </c>
      <c r="B31" s="69"/>
      <c r="C31" s="73"/>
      <c r="D31" s="73"/>
      <c r="E31" s="73"/>
      <c r="F31" s="73"/>
      <c r="G31" s="73"/>
      <c r="H31" s="73"/>
      <c r="I31" s="73"/>
      <c r="J31" s="73"/>
      <c r="K31" s="73"/>
      <c r="L31" s="73"/>
      <c r="M31" s="2"/>
    </row>
    <row r="32" spans="1:13" ht="24" customHeight="1">
      <c r="A32" s="71"/>
      <c r="B32" s="69" t="s">
        <v>614</v>
      </c>
      <c r="C32" s="73">
        <f>'Fund Cover Sheets'!G578</f>
        <v>644719</v>
      </c>
      <c r="D32" s="73">
        <f>'Fund Cover Sheets'!G579</f>
        <v>22450</v>
      </c>
      <c r="E32" s="73">
        <v>0</v>
      </c>
      <c r="F32" s="73">
        <f>'Fund Cover Sheets'!G580</f>
        <v>9300</v>
      </c>
      <c r="G32" s="73">
        <f>'Fund Cover Sheets'!G581</f>
        <v>11500</v>
      </c>
      <c r="H32" s="73">
        <f>'Fund Cover Sheets'!G582</f>
        <v>350</v>
      </c>
      <c r="I32" s="73">
        <f>'Fund Cover Sheets'!G583</f>
        <v>0</v>
      </c>
      <c r="J32" s="73">
        <f>'Fund Cover Sheets'!G584</f>
        <v>7500</v>
      </c>
      <c r="K32" s="73">
        <v>0</v>
      </c>
      <c r="L32" s="73">
        <f>'Fund Cover Sheets'!G585</f>
        <v>36068</v>
      </c>
      <c r="M32" s="2">
        <f>SUM(C32:L32)</f>
        <v>731887</v>
      </c>
    </row>
    <row r="33" spans="1:13" ht="24" customHeight="1">
      <c r="A33" s="71"/>
      <c r="B33" s="69" t="s">
        <v>536</v>
      </c>
      <c r="C33" s="73">
        <f>'Fund Cover Sheets'!G626</f>
        <v>749771</v>
      </c>
      <c r="D33" s="73">
        <v>0</v>
      </c>
      <c r="E33" s="73">
        <v>0</v>
      </c>
      <c r="F33" s="73">
        <v>0</v>
      </c>
      <c r="G33" s="73">
        <v>0</v>
      </c>
      <c r="H33" s="73">
        <f>'Fund Cover Sheets'!G627</f>
        <v>0</v>
      </c>
      <c r="I33" s="73">
        <v>0</v>
      </c>
      <c r="J33" s="73">
        <v>0</v>
      </c>
      <c r="K33" s="73">
        <v>0</v>
      </c>
      <c r="L33" s="73">
        <f>'Fund Cover Sheets'!G628</f>
        <v>3000</v>
      </c>
      <c r="M33" s="2">
        <f>SUM(C33:L33)</f>
        <v>752771</v>
      </c>
    </row>
    <row r="34" spans="1:13" ht="24" customHeight="1">
      <c r="A34" s="71"/>
      <c r="B34" s="69" t="s">
        <v>838</v>
      </c>
      <c r="C34" s="73">
        <v>0</v>
      </c>
      <c r="D34" s="73">
        <v>0</v>
      </c>
      <c r="E34" s="73">
        <f>'Fund Cover Sheets'!G664</f>
        <v>20000</v>
      </c>
      <c r="F34" s="73">
        <v>0</v>
      </c>
      <c r="G34" s="73">
        <v>0</v>
      </c>
      <c r="H34" s="73">
        <f>'Fund Cover Sheets'!G665</f>
        <v>10</v>
      </c>
      <c r="I34" s="73">
        <v>0</v>
      </c>
      <c r="J34" s="73">
        <v>0</v>
      </c>
      <c r="K34" s="73">
        <v>0</v>
      </c>
      <c r="L34" s="73">
        <v>0</v>
      </c>
      <c r="M34" s="2">
        <f>SUM(C34:L34)</f>
        <v>20010</v>
      </c>
    </row>
    <row r="35" spans="1:13" ht="15" customHeight="1">
      <c r="A35" s="71"/>
      <c r="B35" s="69"/>
      <c r="C35" s="73"/>
      <c r="D35" s="73"/>
      <c r="E35" s="73"/>
      <c r="F35" s="73"/>
      <c r="G35" s="73"/>
      <c r="H35" s="73"/>
      <c r="I35" s="73"/>
      <c r="J35" s="73"/>
      <c r="K35" s="73"/>
      <c r="L35" s="73"/>
      <c r="M35" s="2"/>
    </row>
    <row r="36" spans="1:13" ht="24" customHeight="1" thickBot="1">
      <c r="A36" s="7"/>
      <c r="B36" s="75" t="s">
        <v>896</v>
      </c>
      <c r="C36" s="81">
        <f t="shared" ref="C36:M36" si="1">SUM(C10:C35)</f>
        <v>12124288</v>
      </c>
      <c r="D36" s="81">
        <f t="shared" si="1"/>
        <v>3996512</v>
      </c>
      <c r="E36" s="81">
        <f t="shared" si="1"/>
        <v>253000</v>
      </c>
      <c r="F36" s="81">
        <f t="shared" si="1"/>
        <v>149725</v>
      </c>
      <c r="G36" s="81">
        <f t="shared" si="1"/>
        <v>7434250</v>
      </c>
      <c r="H36" s="81">
        <f t="shared" si="1"/>
        <v>8710</v>
      </c>
      <c r="I36" s="81">
        <f t="shared" si="1"/>
        <v>599740</v>
      </c>
      <c r="J36" s="81">
        <f t="shared" si="1"/>
        <v>271933</v>
      </c>
      <c r="K36" s="81">
        <f t="shared" si="1"/>
        <v>39000</v>
      </c>
      <c r="L36" s="81">
        <f t="shared" si="1"/>
        <v>2713534</v>
      </c>
      <c r="M36" s="81">
        <f t="shared" si="1"/>
        <v>27590692</v>
      </c>
    </row>
    <row r="37" spans="1:13" ht="15" customHeight="1" thickTop="1">
      <c r="C37" s="2"/>
      <c r="D37" s="2"/>
      <c r="E37" s="2"/>
      <c r="F37" s="2"/>
      <c r="G37" s="2"/>
      <c r="H37" s="2"/>
      <c r="I37" s="2"/>
      <c r="J37" s="2"/>
      <c r="K37" s="2"/>
      <c r="L37" s="2"/>
    </row>
    <row r="38" spans="1:13" ht="15" customHeight="1">
      <c r="C38" s="82"/>
      <c r="D38" s="82"/>
      <c r="E38" s="82"/>
      <c r="F38" s="82"/>
      <c r="G38" s="82"/>
      <c r="H38" s="82"/>
      <c r="I38" s="82"/>
      <c r="J38" s="82"/>
      <c r="K38" s="82"/>
      <c r="L38" s="82"/>
      <c r="M38" s="82"/>
    </row>
    <row r="39" spans="1:13" ht="24" customHeight="1">
      <c r="A39" s="752" t="s">
        <v>823</v>
      </c>
      <c r="B39" s="752"/>
      <c r="C39" s="752"/>
      <c r="D39" s="752"/>
      <c r="E39" s="752"/>
      <c r="F39" s="752"/>
      <c r="G39" s="752"/>
      <c r="H39" s="752"/>
      <c r="I39" s="752"/>
      <c r="J39" s="752"/>
      <c r="K39" s="434"/>
      <c r="L39" s="434"/>
      <c r="M39" s="2"/>
    </row>
    <row r="40" spans="1:13" ht="24" customHeight="1">
      <c r="A40" s="753" t="s">
        <v>863</v>
      </c>
      <c r="B40" s="753"/>
      <c r="C40" s="753"/>
      <c r="D40" s="753"/>
      <c r="E40" s="753"/>
      <c r="F40" s="753"/>
      <c r="G40" s="753"/>
      <c r="H40" s="753"/>
      <c r="I40" s="753"/>
      <c r="J40" s="753"/>
      <c r="K40" s="435"/>
      <c r="L40" s="435"/>
    </row>
    <row r="41" spans="1:13" ht="24" customHeight="1">
      <c r="A41" s="752" t="s">
        <v>1370</v>
      </c>
      <c r="B41" s="752"/>
      <c r="C41" s="752"/>
      <c r="D41" s="752"/>
      <c r="E41" s="752"/>
      <c r="F41" s="752"/>
      <c r="G41" s="752"/>
      <c r="H41" s="752"/>
      <c r="I41" s="752"/>
      <c r="J41" s="752"/>
      <c r="K41" s="434"/>
      <c r="L41" s="434"/>
      <c r="M41" s="2"/>
    </row>
    <row r="42" spans="1:13" ht="15" customHeight="1">
      <c r="M42" s="2"/>
    </row>
    <row r="43" spans="1:13" ht="15" customHeight="1">
      <c r="J43" s="65" t="s">
        <v>842</v>
      </c>
      <c r="M43" s="2"/>
    </row>
    <row r="44" spans="1:13" ht="15" customHeight="1">
      <c r="C44" s="65"/>
      <c r="D44" s="65"/>
      <c r="E44" s="65" t="s">
        <v>864</v>
      </c>
      <c r="F44" s="66"/>
      <c r="G44" s="65" t="s">
        <v>865</v>
      </c>
      <c r="H44" s="65" t="s">
        <v>1364</v>
      </c>
      <c r="I44" s="65" t="s">
        <v>866</v>
      </c>
      <c r="J44" s="66" t="s">
        <v>867</v>
      </c>
      <c r="K44" s="66" t="s">
        <v>852</v>
      </c>
      <c r="M44" s="2"/>
    </row>
    <row r="45" spans="1:13" ht="15" customHeight="1" thickBot="1">
      <c r="A45" s="67"/>
      <c r="B45" s="67" t="s">
        <v>825</v>
      </c>
      <c r="C45" s="78" t="s">
        <v>775</v>
      </c>
      <c r="D45" s="78" t="s">
        <v>776</v>
      </c>
      <c r="E45" s="68" t="s">
        <v>868</v>
      </c>
      <c r="F45" s="68" t="s">
        <v>778</v>
      </c>
      <c r="G45" s="68" t="s">
        <v>869</v>
      </c>
      <c r="H45" s="68" t="s">
        <v>1365</v>
      </c>
      <c r="I45" s="68" t="s">
        <v>870</v>
      </c>
      <c r="J45" s="68" t="s">
        <v>871</v>
      </c>
      <c r="K45" s="68" t="s">
        <v>862</v>
      </c>
      <c r="M45" s="2"/>
    </row>
    <row r="46" spans="1:13" s="64" customFormat="1" ht="15" customHeight="1">
      <c r="A46" s="69"/>
      <c r="B46" s="69"/>
      <c r="C46" s="79"/>
      <c r="D46" s="79"/>
      <c r="E46" s="70"/>
      <c r="F46" s="70"/>
      <c r="G46" s="70"/>
      <c r="I46" s="70"/>
      <c r="J46" s="70"/>
      <c r="K46" s="70"/>
      <c r="M46" s="3"/>
    </row>
    <row r="47" spans="1:13" ht="15" customHeight="1">
      <c r="M47" s="2"/>
    </row>
    <row r="48" spans="1:13" ht="24" customHeight="1">
      <c r="A48" s="71" t="s">
        <v>826</v>
      </c>
      <c r="C48" s="3">
        <f>'Fund Cover Sheets'!G22</f>
        <v>4315553</v>
      </c>
      <c r="D48" s="3">
        <f>'Fund Cover Sheets'!G23</f>
        <v>2798284</v>
      </c>
      <c r="E48" s="3">
        <f>'Fund Cover Sheets'!G24</f>
        <v>4731040</v>
      </c>
      <c r="F48" s="3">
        <f>'Fund Cover Sheets'!G25</f>
        <v>326761</v>
      </c>
      <c r="G48" s="3">
        <v>0</v>
      </c>
      <c r="H48" s="2">
        <v>0</v>
      </c>
      <c r="I48" s="3">
        <v>0</v>
      </c>
      <c r="J48" s="3">
        <f>'Fund Cover Sheets'!G27</f>
        <v>2631459</v>
      </c>
      <c r="K48" s="3">
        <f>SUM(C48:J48)</f>
        <v>14803097</v>
      </c>
      <c r="M48" s="2"/>
    </row>
    <row r="49" spans="1:13" ht="15" customHeight="1">
      <c r="A49" s="71"/>
      <c r="C49" s="3"/>
      <c r="D49" s="3"/>
      <c r="E49" s="3"/>
      <c r="F49" s="3"/>
      <c r="G49" s="3"/>
      <c r="H49" s="2"/>
      <c r="I49" s="3"/>
      <c r="J49" s="3"/>
      <c r="K49" s="3"/>
      <c r="M49" s="2"/>
    </row>
    <row r="50" spans="1:13" ht="24" customHeight="1">
      <c r="A50" s="71" t="s">
        <v>827</v>
      </c>
      <c r="C50" s="73"/>
      <c r="D50" s="73"/>
      <c r="E50" s="73"/>
      <c r="F50" s="73"/>
      <c r="G50" s="73"/>
      <c r="H50" s="2"/>
      <c r="I50" s="73"/>
      <c r="J50" s="3"/>
      <c r="K50" s="3"/>
      <c r="M50" s="6"/>
    </row>
    <row r="51" spans="1:13" ht="24" customHeight="1">
      <c r="A51" s="71"/>
      <c r="B51" s="1" t="s">
        <v>748</v>
      </c>
      <c r="C51" s="73">
        <v>0</v>
      </c>
      <c r="D51" s="73">
        <v>0</v>
      </c>
      <c r="E51" s="73">
        <f>'Fund Cover Sheets'!G135</f>
        <v>123793</v>
      </c>
      <c r="F51" s="73">
        <f>'Fund Cover Sheets'!G136</f>
        <v>193000</v>
      </c>
      <c r="G51" s="73">
        <f>'Fund Cover Sheets'!G137</f>
        <v>423787</v>
      </c>
      <c r="H51" s="2">
        <v>0</v>
      </c>
      <c r="I51" s="73">
        <v>0</v>
      </c>
      <c r="J51" s="3">
        <v>0</v>
      </c>
      <c r="K51" s="3">
        <f t="shared" ref="K51:K57" si="2">SUM(C51:J51)</f>
        <v>740580</v>
      </c>
      <c r="M51" s="6"/>
    </row>
    <row r="52" spans="1:13" ht="24" customHeight="1">
      <c r="A52" s="72"/>
      <c r="B52" s="69" t="s">
        <v>828</v>
      </c>
      <c r="C52" s="73">
        <f>'Fund Cover Sheets'!G499</f>
        <v>816544</v>
      </c>
      <c r="D52" s="73">
        <f>'Fund Cover Sheets'!G500</f>
        <v>385075</v>
      </c>
      <c r="E52" s="2">
        <f>'Fund Cover Sheets'!G501</f>
        <v>260710</v>
      </c>
      <c r="F52" s="73">
        <f>'Fund Cover Sheets'!G502</f>
        <v>334666</v>
      </c>
      <c r="G52" s="73">
        <v>0</v>
      </c>
      <c r="H52" s="2">
        <v>0</v>
      </c>
      <c r="I52" s="73">
        <v>0</v>
      </c>
      <c r="J52" s="3">
        <f>'Fund Cover Sheets'!G503</f>
        <v>0</v>
      </c>
      <c r="K52" s="3">
        <f t="shared" si="2"/>
        <v>1796995</v>
      </c>
      <c r="M52" s="6"/>
    </row>
    <row r="53" spans="1:13" ht="24" customHeight="1">
      <c r="A53" s="72"/>
      <c r="B53" s="69" t="s">
        <v>623</v>
      </c>
      <c r="C53" s="73">
        <v>0</v>
      </c>
      <c r="D53" s="73">
        <v>0</v>
      </c>
      <c r="E53" s="73">
        <v>0</v>
      </c>
      <c r="F53" s="73">
        <v>0</v>
      </c>
      <c r="G53" s="73">
        <f>'Fund Cover Sheets'!G459</f>
        <v>453855</v>
      </c>
      <c r="H53" s="2">
        <v>0</v>
      </c>
      <c r="I53" s="73">
        <v>0</v>
      </c>
      <c r="J53" s="3">
        <v>0</v>
      </c>
      <c r="K53" s="3">
        <f t="shared" si="2"/>
        <v>453855</v>
      </c>
      <c r="M53" s="6"/>
    </row>
    <row r="54" spans="1:13" ht="24" customHeight="1">
      <c r="A54" s="72"/>
      <c r="B54" s="69" t="s">
        <v>538</v>
      </c>
      <c r="C54" s="73">
        <v>0</v>
      </c>
      <c r="D54" s="73">
        <v>0</v>
      </c>
      <c r="E54" s="73">
        <f>'Fund Cover Sheets'!G709</f>
        <v>3140</v>
      </c>
      <c r="F54" s="73">
        <v>0</v>
      </c>
      <c r="G54" s="73">
        <v>0</v>
      </c>
      <c r="H54" s="2">
        <v>0</v>
      </c>
      <c r="I54" s="73">
        <f>'Fund Cover Sheets'!G710</f>
        <v>159619</v>
      </c>
      <c r="J54" s="3">
        <v>0</v>
      </c>
      <c r="K54" s="3">
        <f t="shared" si="2"/>
        <v>162759</v>
      </c>
      <c r="M54" s="6"/>
    </row>
    <row r="55" spans="1:13" ht="24" customHeight="1">
      <c r="A55" s="72"/>
      <c r="B55" s="69" t="s">
        <v>543</v>
      </c>
      <c r="C55" s="2">
        <v>0</v>
      </c>
      <c r="D55" s="73">
        <v>0</v>
      </c>
      <c r="E55" s="2">
        <f>'Fund Cover Sheets'!G749</f>
        <v>35360</v>
      </c>
      <c r="F55" s="73">
        <v>0</v>
      </c>
      <c r="G55" s="73">
        <f>'Fund Cover Sheets'!G750</f>
        <v>17420</v>
      </c>
      <c r="H55" s="2">
        <v>0</v>
      </c>
      <c r="I55" s="73">
        <v>0</v>
      </c>
      <c r="J55" s="3">
        <v>0</v>
      </c>
      <c r="K55" s="3">
        <f t="shared" si="2"/>
        <v>52780</v>
      </c>
      <c r="M55" s="6"/>
    </row>
    <row r="56" spans="1:13" ht="24" customHeight="1">
      <c r="A56" s="72"/>
      <c r="B56" s="69" t="s">
        <v>829</v>
      </c>
      <c r="C56" s="3">
        <v>0</v>
      </c>
      <c r="D56" s="3">
        <v>0</v>
      </c>
      <c r="E56" s="3">
        <f>'Fund Cover Sheets'!G62</f>
        <v>4833</v>
      </c>
      <c r="F56" s="3">
        <v>0</v>
      </c>
      <c r="G56" s="3">
        <v>0</v>
      </c>
      <c r="H56" s="2">
        <v>0</v>
      </c>
      <c r="I56" s="3">
        <v>0</v>
      </c>
      <c r="J56" s="3">
        <v>0</v>
      </c>
      <c r="K56" s="3">
        <f t="shared" si="2"/>
        <v>4833</v>
      </c>
      <c r="M56" s="6"/>
    </row>
    <row r="57" spans="1:13" ht="24" customHeight="1">
      <c r="A57" s="72"/>
      <c r="B57" s="69" t="s">
        <v>830</v>
      </c>
      <c r="C57" s="3">
        <v>0</v>
      </c>
      <c r="D57" s="3">
        <v>0</v>
      </c>
      <c r="E57" s="3">
        <f>'Fund Cover Sheets'!G98</f>
        <v>17534</v>
      </c>
      <c r="F57" s="3">
        <v>0</v>
      </c>
      <c r="G57" s="3">
        <v>0</v>
      </c>
      <c r="H57" s="2">
        <v>0</v>
      </c>
      <c r="I57" s="73">
        <v>0</v>
      </c>
      <c r="J57" s="2">
        <v>0</v>
      </c>
      <c r="K57" s="3">
        <f t="shared" si="2"/>
        <v>17534</v>
      </c>
      <c r="M57" s="6"/>
    </row>
    <row r="58" spans="1:13">
      <c r="A58" s="72"/>
      <c r="B58" s="69"/>
      <c r="C58" s="3"/>
      <c r="D58" s="3"/>
      <c r="E58" s="3"/>
      <c r="F58" s="3"/>
      <c r="G58" s="3"/>
      <c r="H58" s="2"/>
      <c r="I58" s="73"/>
      <c r="J58" s="2"/>
      <c r="K58" s="3"/>
      <c r="M58" s="6"/>
    </row>
    <row r="59" spans="1:13" ht="24" customHeight="1">
      <c r="A59" s="71" t="s">
        <v>831</v>
      </c>
      <c r="B59" s="64"/>
      <c r="C59" s="73">
        <v>0</v>
      </c>
      <c r="D59" s="73">
        <v>0</v>
      </c>
      <c r="E59" s="73">
        <f>'Fund Cover Sheets'!G321</f>
        <v>525</v>
      </c>
      <c r="F59" s="73">
        <v>0</v>
      </c>
      <c r="G59" s="73">
        <v>0</v>
      </c>
      <c r="H59" s="2">
        <v>0</v>
      </c>
      <c r="I59" s="3">
        <f>'Fund Cover Sheets'!G322</f>
        <v>320150</v>
      </c>
      <c r="J59" s="2">
        <v>0</v>
      </c>
      <c r="K59" s="3">
        <f>SUM(C59:J59)</f>
        <v>320675</v>
      </c>
      <c r="M59" s="6"/>
    </row>
    <row r="60" spans="1:13">
      <c r="A60" s="72"/>
      <c r="B60" s="64"/>
      <c r="C60" s="3"/>
      <c r="D60" s="3"/>
      <c r="E60" s="2"/>
      <c r="F60" s="3"/>
      <c r="G60" s="73"/>
      <c r="H60" s="2"/>
      <c r="I60" s="3"/>
      <c r="J60" s="2"/>
      <c r="K60" s="3"/>
    </row>
    <row r="61" spans="1:13" ht="24" customHeight="1">
      <c r="A61" s="71" t="s">
        <v>832</v>
      </c>
      <c r="B61" s="64"/>
      <c r="C61" s="73"/>
      <c r="D61" s="73"/>
      <c r="E61" s="2"/>
      <c r="F61" s="73"/>
      <c r="G61" s="73"/>
      <c r="H61" s="2"/>
      <c r="I61" s="73"/>
      <c r="J61" s="2"/>
      <c r="K61" s="3"/>
    </row>
    <row r="62" spans="1:13" ht="24" customHeight="1">
      <c r="A62" s="72"/>
      <c r="B62" s="69" t="s">
        <v>967</v>
      </c>
      <c r="C62" s="3">
        <v>0</v>
      </c>
      <c r="D62" s="3">
        <v>0</v>
      </c>
      <c r="E62" s="2">
        <f>'Fund Cover Sheets'!G262+'Fund Cover Sheets'!G267</f>
        <v>18583</v>
      </c>
      <c r="F62" s="3">
        <f>'Fund Cover Sheets'!G268</f>
        <v>2000</v>
      </c>
      <c r="G62" s="3">
        <f>'Fund Cover Sheets'!G263+'Fund Cover Sheets'!G269+'Fund Cover Sheets'!G275</f>
        <v>100000</v>
      </c>
      <c r="H62" s="2">
        <v>0</v>
      </c>
      <c r="I62" s="3">
        <f>'Fund Cover Sheets'!G270+'Fund Cover Sheets'!G276</f>
        <v>73034</v>
      </c>
      <c r="J62" s="3">
        <f>'Fund Cover Sheets'!G277</f>
        <v>0</v>
      </c>
      <c r="K62" s="3">
        <f>SUM(C62:J62)</f>
        <v>193617</v>
      </c>
    </row>
    <row r="63" spans="1:13" ht="24" customHeight="1">
      <c r="A63" s="72"/>
      <c r="B63" s="69" t="s">
        <v>835</v>
      </c>
      <c r="C63" s="3">
        <v>0</v>
      </c>
      <c r="D63" s="73">
        <v>0</v>
      </c>
      <c r="E63" s="73">
        <f>'Fund Cover Sheets'!G211</f>
        <v>61225</v>
      </c>
      <c r="F63" s="73">
        <f>'Fund Cover Sheets'!G212</f>
        <v>15000</v>
      </c>
      <c r="G63" s="73">
        <f>'Fund Cover Sheets'!G213</f>
        <v>3313308</v>
      </c>
      <c r="H63" s="2">
        <v>0</v>
      </c>
      <c r="I63" s="73">
        <f>'Fund Cover Sheets'!G214</f>
        <v>404138</v>
      </c>
      <c r="J63" s="73">
        <f>'Fund Cover Sheets'!G215</f>
        <v>3000</v>
      </c>
      <c r="K63" s="3">
        <f>SUM(C63:J63)</f>
        <v>3796671</v>
      </c>
    </row>
    <row r="64" spans="1:13">
      <c r="A64" s="72"/>
      <c r="B64" s="69"/>
      <c r="C64" s="3"/>
      <c r="D64" s="73"/>
      <c r="E64" s="73"/>
      <c r="F64" s="73"/>
      <c r="G64" s="73"/>
      <c r="H64" s="2"/>
      <c r="I64" s="73"/>
      <c r="J64" s="73"/>
      <c r="K64" s="3"/>
    </row>
    <row r="65" spans="1:11" ht="24" customHeight="1">
      <c r="A65" s="71" t="s">
        <v>836</v>
      </c>
      <c r="B65" s="69"/>
      <c r="C65" s="2"/>
      <c r="D65" s="73"/>
      <c r="E65" s="73"/>
      <c r="F65" s="73"/>
      <c r="G65" s="73"/>
      <c r="H65" s="2"/>
      <c r="I65" s="73"/>
      <c r="J65" s="3"/>
      <c r="K65" s="3"/>
    </row>
    <row r="66" spans="1:11" ht="24" customHeight="1">
      <c r="B66" s="69" t="s">
        <v>621</v>
      </c>
      <c r="C66" s="2">
        <f>'Fund Cover Sheets'!G362</f>
        <v>416844</v>
      </c>
      <c r="D66" s="73">
        <f>'Fund Cover Sheets'!G363</f>
        <v>252493</v>
      </c>
      <c r="E66" s="73">
        <f>'Fund Cover Sheets'!G364</f>
        <v>544927</v>
      </c>
      <c r="F66" s="73">
        <f>'Fund Cover Sheets'!G365</f>
        <v>297660</v>
      </c>
      <c r="G66" s="73">
        <f>'Fund Cover Sheets'!G366</f>
        <v>3482668</v>
      </c>
      <c r="H66" s="2">
        <v>0</v>
      </c>
      <c r="I66" s="73">
        <f>'Fund Cover Sheets'!G367</f>
        <v>1450677</v>
      </c>
      <c r="J66" s="3">
        <v>0</v>
      </c>
      <c r="K66" s="3">
        <f>SUM(C66:J66)</f>
        <v>6445269</v>
      </c>
    </row>
    <row r="67" spans="1:11" ht="24" customHeight="1">
      <c r="B67" s="69" t="s">
        <v>622</v>
      </c>
      <c r="C67" s="2">
        <f>'Fund Cover Sheets'!G408</f>
        <v>216289</v>
      </c>
      <c r="D67" s="2">
        <f>'Fund Cover Sheets'!G409</f>
        <v>110254</v>
      </c>
      <c r="E67" s="2">
        <f>'Fund Cover Sheets'!G410</f>
        <v>119463</v>
      </c>
      <c r="F67" s="73">
        <f>'Fund Cover Sheets'!G411</f>
        <v>84206</v>
      </c>
      <c r="G67" s="73">
        <f>'Fund Cover Sheets'!G412</f>
        <v>460282</v>
      </c>
      <c r="H67" s="2">
        <f>'Fund Cover Sheets'!G413</f>
        <v>33872</v>
      </c>
      <c r="I67" s="73">
        <f>'Fund Cover Sheets'!G414</f>
        <v>1865857</v>
      </c>
      <c r="J67" s="3">
        <f>'Fund Cover Sheets'!G415</f>
        <v>75075</v>
      </c>
      <c r="K67" s="3">
        <f>SUM(C67:J67)</f>
        <v>2965298</v>
      </c>
    </row>
    <row r="68" spans="1:11">
      <c r="B68" s="69"/>
      <c r="C68" s="73"/>
      <c r="D68" s="73"/>
      <c r="E68" s="73"/>
      <c r="F68" s="73"/>
      <c r="G68" s="73"/>
      <c r="H68" s="2"/>
      <c r="I68" s="73"/>
      <c r="J68" s="73"/>
      <c r="K68" s="3"/>
    </row>
    <row r="69" spans="1:11" ht="24" customHeight="1">
      <c r="A69" s="71" t="s">
        <v>837</v>
      </c>
      <c r="B69" s="69"/>
      <c r="C69" s="73"/>
      <c r="D69" s="73"/>
      <c r="E69" s="73"/>
      <c r="F69" s="73"/>
      <c r="G69" s="73"/>
      <c r="H69" s="2"/>
      <c r="I69" s="73"/>
      <c r="J69" s="73"/>
      <c r="K69" s="3"/>
    </row>
    <row r="70" spans="1:11" ht="24" customHeight="1">
      <c r="A70" s="71"/>
      <c r="B70" s="69" t="s">
        <v>614</v>
      </c>
      <c r="C70" s="73">
        <f>'Fund Cover Sheets'!G589</f>
        <v>419134</v>
      </c>
      <c r="D70" s="73">
        <f>'Fund Cover Sheets'!G590</f>
        <v>181638</v>
      </c>
      <c r="E70" s="73">
        <f>'Fund Cover Sheets'!G591</f>
        <v>129171</v>
      </c>
      <c r="F70" s="73">
        <f>'Fund Cover Sheets'!G592</f>
        <v>24000</v>
      </c>
      <c r="G70" s="73">
        <v>0</v>
      </c>
      <c r="H70" s="2">
        <v>0</v>
      </c>
      <c r="I70" s="73">
        <v>0</v>
      </c>
      <c r="J70" s="73">
        <f>'Fund Cover Sheets'!G593</f>
        <v>3000</v>
      </c>
      <c r="K70" s="3">
        <f>SUM(C70:J70)</f>
        <v>756943</v>
      </c>
    </row>
    <row r="71" spans="1:11" ht="24" customHeight="1">
      <c r="A71" s="71"/>
      <c r="B71" s="69" t="s">
        <v>536</v>
      </c>
      <c r="C71" s="73">
        <v>0</v>
      </c>
      <c r="D71" s="73">
        <v>0</v>
      </c>
      <c r="E71" s="73">
        <v>0</v>
      </c>
      <c r="F71" s="73">
        <v>0</v>
      </c>
      <c r="G71" s="73">
        <v>0</v>
      </c>
      <c r="H71" s="2">
        <v>0</v>
      </c>
      <c r="I71" s="73">
        <f>'Fund Cover Sheets'!G632</f>
        <v>752771</v>
      </c>
      <c r="J71" s="73"/>
      <c r="K71" s="3">
        <f>SUM(C71:J71)</f>
        <v>752771</v>
      </c>
    </row>
    <row r="72" spans="1:11" ht="24" customHeight="1">
      <c r="A72" s="71"/>
      <c r="B72" s="69" t="s">
        <v>838</v>
      </c>
      <c r="C72" s="73">
        <v>0</v>
      </c>
      <c r="D72" s="73">
        <v>0</v>
      </c>
      <c r="E72" s="73">
        <f>'Fund Cover Sheets'!G670</f>
        <v>3500</v>
      </c>
      <c r="F72" s="73">
        <f>'Fund Cover Sheets'!G671</f>
        <v>8395</v>
      </c>
      <c r="G72" s="73">
        <v>0</v>
      </c>
      <c r="H72" s="2">
        <v>0</v>
      </c>
      <c r="I72" s="73">
        <v>0</v>
      </c>
      <c r="J72" s="73">
        <v>0</v>
      </c>
      <c r="K72" s="3">
        <f>SUM(C72:J72)</f>
        <v>11895</v>
      </c>
    </row>
    <row r="73" spans="1:11">
      <c r="A73" s="74"/>
      <c r="B73" s="69"/>
      <c r="C73" s="73"/>
      <c r="D73" s="73"/>
      <c r="E73" s="73"/>
      <c r="F73" s="73"/>
      <c r="G73" s="73"/>
      <c r="H73" s="2"/>
      <c r="I73" s="73"/>
      <c r="J73" s="3"/>
      <c r="K73" s="3"/>
    </row>
    <row r="74" spans="1:11" ht="24" customHeight="1" thickBot="1">
      <c r="A74" s="7"/>
      <c r="B74" s="75" t="s">
        <v>897</v>
      </c>
      <c r="C74" s="81">
        <f t="shared" ref="C74:G74" si="3">SUM(C48:C73)</f>
        <v>6184364</v>
      </c>
      <c r="D74" s="81">
        <f t="shared" si="3"/>
        <v>3727744</v>
      </c>
      <c r="E74" s="81">
        <f t="shared" si="3"/>
        <v>6053804</v>
      </c>
      <c r="F74" s="81">
        <f t="shared" si="3"/>
        <v>1285688</v>
      </c>
      <c r="G74" s="81">
        <f t="shared" si="3"/>
        <v>8251320</v>
      </c>
      <c r="H74" s="81">
        <f>SUM(H48:H73)</f>
        <v>33872</v>
      </c>
      <c r="I74" s="81">
        <f>SUM(I48:I73)</f>
        <v>5026246</v>
      </c>
      <c r="J74" s="81">
        <f>SUM(J48:J73)</f>
        <v>2712534</v>
      </c>
      <c r="K74" s="81">
        <f>SUM(K48:K73)</f>
        <v>33275572</v>
      </c>
    </row>
    <row r="75" spans="1:11" ht="15.75" thickTop="1">
      <c r="C75" s="77"/>
      <c r="D75" s="77"/>
      <c r="E75" s="77"/>
      <c r="F75" s="77"/>
      <c r="G75" s="77"/>
      <c r="H75" s="89"/>
      <c r="I75" s="77"/>
    </row>
    <row r="76" spans="1:11">
      <c r="C76" s="77"/>
      <c r="D76" s="77"/>
      <c r="E76" s="77"/>
      <c r="F76" s="77"/>
      <c r="G76" s="77"/>
      <c r="H76" s="89"/>
      <c r="I76" s="77"/>
    </row>
    <row r="77" spans="1:11">
      <c r="C77" s="77"/>
      <c r="D77" s="77"/>
      <c r="E77" s="77"/>
      <c r="F77" s="77"/>
      <c r="G77" s="77"/>
      <c r="H77" s="89"/>
      <c r="I77" s="77"/>
    </row>
    <row r="78" spans="1:11">
      <c r="C78" s="77"/>
      <c r="D78" s="77"/>
      <c r="E78" s="77"/>
      <c r="F78" s="77"/>
      <c r="G78" s="77"/>
      <c r="H78" s="89"/>
      <c r="I78" s="77"/>
    </row>
    <row r="79" spans="1:11">
      <c r="C79" s="77"/>
      <c r="D79" s="77"/>
      <c r="E79" s="77"/>
      <c r="F79" s="77"/>
      <c r="G79" s="77"/>
      <c r="H79" s="89"/>
      <c r="I79" s="77"/>
    </row>
    <row r="80" spans="1:11">
      <c r="C80" s="77"/>
      <c r="D80" s="77"/>
      <c r="E80" s="77"/>
      <c r="F80" s="77"/>
      <c r="G80" s="77"/>
      <c r="H80" s="89"/>
      <c r="I80" s="77"/>
    </row>
    <row r="81" spans="3:9">
      <c r="C81" s="77"/>
      <c r="D81" s="77"/>
      <c r="E81" s="77"/>
      <c r="F81" s="77"/>
      <c r="G81" s="77"/>
      <c r="H81" s="89"/>
      <c r="I81" s="77"/>
    </row>
    <row r="82" spans="3:9">
      <c r="C82" s="77"/>
      <c r="D82" s="77"/>
      <c r="E82" s="77"/>
      <c r="F82" s="77"/>
      <c r="G82" s="77"/>
      <c r="H82" s="89"/>
      <c r="I82" s="77"/>
    </row>
    <row r="83" spans="3:9">
      <c r="C83" s="77"/>
      <c r="D83" s="77"/>
      <c r="E83" s="77"/>
      <c r="F83" s="77"/>
      <c r="G83" s="77"/>
      <c r="H83" s="89"/>
      <c r="I83" s="77"/>
    </row>
    <row r="84" spans="3:9">
      <c r="C84" s="77"/>
      <c r="D84" s="77"/>
      <c r="E84" s="77"/>
      <c r="F84" s="77"/>
      <c r="G84" s="77"/>
      <c r="H84" s="89"/>
      <c r="I84" s="77"/>
    </row>
    <row r="85" spans="3:9">
      <c r="C85" s="77"/>
      <c r="D85" s="77"/>
      <c r="E85" s="77"/>
      <c r="F85" s="77"/>
      <c r="G85" s="77"/>
      <c r="H85" s="89"/>
      <c r="I85" s="77"/>
    </row>
    <row r="86" spans="3:9">
      <c r="C86" s="77"/>
      <c r="D86" s="77"/>
      <c r="E86" s="77"/>
      <c r="F86" s="77"/>
      <c r="G86" s="77"/>
      <c r="H86" s="77"/>
      <c r="I86" s="77"/>
    </row>
    <row r="87" spans="3:9">
      <c r="C87" s="77"/>
      <c r="D87" s="77"/>
      <c r="E87" s="77"/>
      <c r="F87" s="77"/>
      <c r="G87" s="77"/>
      <c r="H87" s="77"/>
      <c r="I87" s="77"/>
    </row>
    <row r="88" spans="3:9">
      <c r="C88" s="77"/>
      <c r="D88" s="77"/>
      <c r="E88" s="77"/>
      <c r="F88" s="77"/>
      <c r="G88" s="77"/>
      <c r="H88" s="77"/>
      <c r="I88" s="77"/>
    </row>
    <row r="89" spans="3:9">
      <c r="C89" s="77"/>
      <c r="D89" s="77"/>
      <c r="E89" s="77"/>
      <c r="F89" s="77"/>
      <c r="G89" s="77"/>
      <c r="H89" s="77"/>
      <c r="I89" s="77"/>
    </row>
    <row r="90" spans="3:9">
      <c r="C90" s="77"/>
      <c r="D90" s="77"/>
      <c r="E90" s="77"/>
      <c r="F90" s="77"/>
      <c r="G90" s="77"/>
      <c r="H90" s="77"/>
      <c r="I90" s="77"/>
    </row>
    <row r="91" spans="3:9">
      <c r="C91" s="77"/>
      <c r="D91" s="77"/>
      <c r="E91" s="77"/>
      <c r="F91" s="77"/>
      <c r="G91" s="77"/>
      <c r="H91" s="77"/>
      <c r="I91" s="77"/>
    </row>
    <row r="92" spans="3:9">
      <c r="C92" s="77"/>
      <c r="D92" s="77"/>
      <c r="E92" s="77"/>
      <c r="F92" s="77"/>
      <c r="G92" s="77"/>
      <c r="H92" s="77"/>
      <c r="I92" s="77"/>
    </row>
    <row r="93" spans="3:9">
      <c r="C93" s="77"/>
      <c r="D93" s="77"/>
      <c r="E93" s="77"/>
      <c r="F93" s="77"/>
      <c r="G93" s="77"/>
      <c r="H93" s="77"/>
      <c r="I93" s="77"/>
    </row>
    <row r="94" spans="3:9">
      <c r="C94" s="77"/>
      <c r="D94" s="77"/>
      <c r="E94" s="77"/>
      <c r="F94" s="77"/>
      <c r="G94" s="77"/>
      <c r="H94" s="77"/>
      <c r="I94" s="77"/>
    </row>
    <row r="95" spans="3:9">
      <c r="C95" s="77"/>
      <c r="D95" s="77"/>
      <c r="E95" s="77"/>
      <c r="F95" s="77"/>
      <c r="G95" s="77"/>
      <c r="H95" s="77"/>
      <c r="I95" s="77"/>
    </row>
    <row r="96" spans="3:9">
      <c r="C96" s="77"/>
      <c r="D96" s="77"/>
      <c r="E96" s="77"/>
      <c r="F96" s="77"/>
      <c r="G96" s="77"/>
      <c r="H96" s="77"/>
      <c r="I96" s="77"/>
    </row>
    <row r="97" spans="3:9">
      <c r="C97" s="77"/>
      <c r="D97" s="77"/>
      <c r="E97" s="77"/>
      <c r="F97" s="77"/>
      <c r="G97" s="77"/>
      <c r="H97" s="77"/>
      <c r="I97" s="77"/>
    </row>
    <row r="98" spans="3:9">
      <c r="C98" s="77"/>
      <c r="D98" s="77"/>
      <c r="E98" s="77"/>
      <c r="F98" s="77"/>
      <c r="G98" s="77"/>
      <c r="H98" s="77"/>
      <c r="I98" s="77"/>
    </row>
    <row r="99" spans="3:9">
      <c r="C99" s="77"/>
      <c r="D99" s="77"/>
      <c r="E99" s="77"/>
      <c r="F99" s="77"/>
      <c r="G99" s="77"/>
      <c r="H99" s="77"/>
      <c r="I99" s="77"/>
    </row>
    <row r="100" spans="3:9">
      <c r="C100" s="77"/>
      <c r="D100" s="77"/>
      <c r="E100" s="77"/>
      <c r="F100" s="77"/>
      <c r="G100" s="77"/>
      <c r="H100" s="77"/>
      <c r="I100" s="77"/>
    </row>
    <row r="101" spans="3:9">
      <c r="C101" s="77"/>
      <c r="D101" s="77"/>
      <c r="E101" s="77"/>
      <c r="F101" s="77"/>
      <c r="G101" s="77"/>
      <c r="H101" s="77"/>
      <c r="I101" s="77"/>
    </row>
    <row r="102" spans="3:9">
      <c r="C102" s="77"/>
      <c r="D102" s="77"/>
      <c r="E102" s="77"/>
      <c r="F102" s="77"/>
      <c r="G102" s="77"/>
      <c r="H102" s="77"/>
      <c r="I102" s="77"/>
    </row>
    <row r="103" spans="3:9">
      <c r="C103" s="77"/>
      <c r="D103" s="77"/>
      <c r="E103" s="77"/>
      <c r="F103" s="77"/>
      <c r="G103" s="77"/>
      <c r="H103" s="77"/>
      <c r="I103" s="77"/>
    </row>
    <row r="104" spans="3:9">
      <c r="C104" s="77"/>
      <c r="D104" s="77"/>
      <c r="E104" s="77"/>
      <c r="F104" s="77"/>
      <c r="G104" s="77"/>
      <c r="H104" s="77"/>
      <c r="I104" s="77"/>
    </row>
    <row r="105" spans="3:9">
      <c r="C105" s="77"/>
      <c r="D105" s="77"/>
      <c r="E105" s="77"/>
      <c r="F105" s="77"/>
      <c r="G105" s="77"/>
      <c r="H105" s="77"/>
      <c r="I105" s="77"/>
    </row>
    <row r="106" spans="3:9">
      <c r="C106" s="77"/>
      <c r="D106" s="77"/>
      <c r="E106" s="77"/>
      <c r="F106" s="77"/>
      <c r="G106" s="77"/>
      <c r="H106" s="77"/>
      <c r="I106" s="77"/>
    </row>
    <row r="107" spans="3:9">
      <c r="C107" s="77"/>
      <c r="D107" s="77"/>
      <c r="E107" s="77"/>
      <c r="F107" s="77"/>
      <c r="G107" s="77"/>
      <c r="H107" s="77"/>
      <c r="I107" s="77"/>
    </row>
    <row r="108" spans="3:9">
      <c r="C108" s="77"/>
      <c r="D108" s="77"/>
      <c r="E108" s="77"/>
      <c r="F108" s="77"/>
      <c r="G108" s="77"/>
      <c r="H108" s="77"/>
      <c r="I108" s="77"/>
    </row>
  </sheetData>
  <mergeCells count="6">
    <mergeCell ref="A41:J41"/>
    <mergeCell ref="A1:M1"/>
    <mergeCell ref="A2:M2"/>
    <mergeCell ref="A3:M3"/>
    <mergeCell ref="A39:J39"/>
    <mergeCell ref="A40:J40"/>
  </mergeCells>
  <printOptions horizontalCentered="1"/>
  <pageMargins left="0" right="0" top="0.25" bottom="0.25" header="0" footer="0"/>
  <pageSetup scale="77" orientation="landscape" r:id="rId1"/>
  <rowBreaks count="1" manualBreakCount="1">
    <brk id="38" max="12" man="1"/>
  </rowBreaks>
</worksheet>
</file>

<file path=xl/worksheets/sheet3.xml><?xml version="1.0" encoding="utf-8"?>
<worksheet xmlns="http://schemas.openxmlformats.org/spreadsheetml/2006/main" xmlns:r="http://schemas.openxmlformats.org/officeDocument/2006/relationships">
  <dimension ref="A1:S98"/>
  <sheetViews>
    <sheetView zoomScale="75" zoomScaleNormal="75" workbookViewId="0">
      <selection activeCell="J11" sqref="J11"/>
    </sheetView>
  </sheetViews>
  <sheetFormatPr defaultColWidth="10.42578125" defaultRowHeight="15"/>
  <cols>
    <col min="1" max="1" width="2.7109375" style="39" customWidth="1"/>
    <col min="2" max="2" width="25.7109375" style="10" customWidth="1"/>
    <col min="3" max="3" width="12.7109375" style="10" customWidth="1"/>
    <col min="4" max="4" width="12.7109375" style="39" customWidth="1"/>
    <col min="5" max="11" width="12.7109375" style="100" customWidth="1"/>
    <col min="12" max="13" width="10.42578125" style="100"/>
    <col min="14" max="14" width="29" style="100" customWidth="1"/>
    <col min="15" max="16384" width="10.42578125" style="100"/>
  </cols>
  <sheetData>
    <row r="1" spans="1:19" ht="24" customHeight="1">
      <c r="A1" s="752" t="s">
        <v>823</v>
      </c>
      <c r="B1" s="752"/>
      <c r="C1" s="752"/>
      <c r="D1" s="752"/>
      <c r="E1" s="752"/>
      <c r="F1" s="752"/>
      <c r="G1" s="752"/>
      <c r="H1" s="752"/>
      <c r="I1" s="752"/>
      <c r="J1" s="752"/>
      <c r="K1" s="752"/>
      <c r="M1" s="118"/>
      <c r="N1" s="117"/>
      <c r="O1" s="117"/>
    </row>
    <row r="2" spans="1:19" ht="24" customHeight="1">
      <c r="A2" s="753" t="s">
        <v>881</v>
      </c>
      <c r="B2" s="753"/>
      <c r="C2" s="753"/>
      <c r="D2" s="753"/>
      <c r="E2" s="753"/>
      <c r="F2" s="753"/>
      <c r="G2" s="753"/>
      <c r="H2" s="753"/>
      <c r="I2" s="753"/>
      <c r="J2" s="753"/>
      <c r="K2" s="753"/>
      <c r="L2" s="101"/>
      <c r="M2" s="101"/>
      <c r="N2" s="101"/>
      <c r="O2" s="101"/>
      <c r="P2" s="101"/>
      <c r="Q2" s="102"/>
      <c r="R2" s="102"/>
      <c r="S2" s="102"/>
    </row>
    <row r="3" spans="1:19" ht="24" customHeight="1">
      <c r="A3" s="752" t="s">
        <v>1369</v>
      </c>
      <c r="B3" s="752"/>
      <c r="C3" s="752"/>
      <c r="D3" s="752"/>
      <c r="E3" s="752"/>
      <c r="F3" s="752"/>
      <c r="G3" s="752"/>
      <c r="H3" s="752"/>
      <c r="I3" s="752"/>
      <c r="J3" s="752"/>
      <c r="K3" s="752"/>
      <c r="L3" s="102"/>
      <c r="M3" s="102"/>
      <c r="N3" s="102"/>
      <c r="O3" s="102"/>
      <c r="P3" s="102"/>
      <c r="Q3" s="102"/>
      <c r="R3" s="102"/>
      <c r="S3" s="102"/>
    </row>
    <row r="4" spans="1:19" ht="15" customHeight="1">
      <c r="A4" s="103"/>
      <c r="B4" s="103"/>
      <c r="C4" s="103"/>
      <c r="D4" s="103"/>
      <c r="E4" s="103"/>
      <c r="F4" s="103"/>
      <c r="G4" s="103"/>
      <c r="H4" s="103"/>
      <c r="L4" s="102"/>
      <c r="M4" s="102"/>
      <c r="N4" s="102"/>
      <c r="O4" s="102"/>
      <c r="P4" s="102"/>
      <c r="Q4" s="102"/>
      <c r="R4" s="102"/>
      <c r="S4" s="102"/>
    </row>
    <row r="5" spans="1:19" ht="15" customHeight="1">
      <c r="B5" s="11"/>
      <c r="C5" s="65"/>
      <c r="D5" s="65"/>
      <c r="E5" s="66" t="s">
        <v>257</v>
      </c>
      <c r="F5" s="65"/>
      <c r="G5" s="1"/>
      <c r="H5" s="1"/>
      <c r="I5" s="1"/>
      <c r="J5" s="1"/>
      <c r="K5" s="1"/>
    </row>
    <row r="6" spans="1:19" ht="15" customHeight="1">
      <c r="C6" s="65" t="s">
        <v>249</v>
      </c>
      <c r="D6" s="65" t="s">
        <v>256</v>
      </c>
      <c r="E6" s="49" t="s">
        <v>763</v>
      </c>
      <c r="F6" s="66" t="s">
        <v>257</v>
      </c>
      <c r="G6" s="66" t="s">
        <v>258</v>
      </c>
      <c r="H6" s="66" t="s">
        <v>926</v>
      </c>
      <c r="I6" s="66" t="s">
        <v>1026</v>
      </c>
      <c r="J6" s="66" t="s">
        <v>1060</v>
      </c>
      <c r="K6" s="66" t="s">
        <v>1061</v>
      </c>
    </row>
    <row r="7" spans="1:19" ht="15" customHeight="1" thickBot="1">
      <c r="B7" s="86" t="s">
        <v>825</v>
      </c>
      <c r="C7" s="68" t="s">
        <v>1</v>
      </c>
      <c r="D7" s="68" t="s">
        <v>1</v>
      </c>
      <c r="E7" s="68" t="s">
        <v>720</v>
      </c>
      <c r="F7" s="68" t="s">
        <v>19</v>
      </c>
      <c r="G7" s="68" t="str">
        <f>'Fund Cover Sheets'!$M$1</f>
        <v>Adopted</v>
      </c>
      <c r="H7" s="68" t="s">
        <v>19</v>
      </c>
      <c r="I7" s="68" t="s">
        <v>19</v>
      </c>
      <c r="J7" s="68" t="s">
        <v>19</v>
      </c>
      <c r="K7" s="68" t="s">
        <v>19</v>
      </c>
    </row>
    <row r="8" spans="1:19" ht="15" customHeight="1">
      <c r="B8" s="21"/>
      <c r="C8" s="70"/>
      <c r="D8" s="70"/>
      <c r="E8" s="70"/>
      <c r="F8" s="70"/>
      <c r="G8" s="70"/>
      <c r="H8" s="70"/>
      <c r="I8" s="70"/>
      <c r="J8" s="70"/>
      <c r="K8" s="70"/>
    </row>
    <row r="9" spans="1:19" ht="24" customHeight="1">
      <c r="A9" s="426" t="s">
        <v>826</v>
      </c>
      <c r="C9" s="2">
        <f>'Fund Cover Sheets'!C32</f>
        <v>3860581</v>
      </c>
      <c r="D9" s="2">
        <f>'Fund Cover Sheets'!D32</f>
        <v>4826059</v>
      </c>
      <c r="E9" s="2">
        <f>'Fund Cover Sheets'!E32</f>
        <v>4110607</v>
      </c>
      <c r="F9" s="2">
        <f>'Fund Cover Sheets'!F32</f>
        <v>5013686</v>
      </c>
      <c r="G9" s="2">
        <f>'Fund Cover Sheets'!G32</f>
        <v>4727411</v>
      </c>
      <c r="H9" s="2">
        <f>'Fund Cover Sheets'!H32</f>
        <v>4193927</v>
      </c>
      <c r="I9" s="2">
        <f>'Fund Cover Sheets'!I32</f>
        <v>3553265</v>
      </c>
      <c r="J9" s="2">
        <f>'Fund Cover Sheets'!J32</f>
        <v>2720236</v>
      </c>
      <c r="K9" s="2">
        <f>'Fund Cover Sheets'!K32</f>
        <v>1685380</v>
      </c>
    </row>
    <row r="10" spans="1:19" ht="15" customHeight="1">
      <c r="A10" s="104"/>
      <c r="C10" s="3"/>
      <c r="D10" s="3"/>
      <c r="E10" s="90"/>
      <c r="F10" s="90"/>
      <c r="G10" s="90"/>
      <c r="H10" s="90"/>
      <c r="I10" s="105"/>
      <c r="J10" s="105"/>
      <c r="K10" s="105"/>
    </row>
    <row r="11" spans="1:19" ht="15" customHeight="1">
      <c r="A11" s="104"/>
      <c r="C11" s="3"/>
      <c r="D11" s="3"/>
      <c r="E11" s="90"/>
      <c r="F11" s="90"/>
      <c r="G11" s="90"/>
      <c r="H11" s="90"/>
      <c r="I11" s="105"/>
      <c r="J11" s="105"/>
      <c r="K11" s="105"/>
    </row>
    <row r="12" spans="1:19" ht="15" customHeight="1">
      <c r="A12" s="104"/>
      <c r="C12" s="73"/>
      <c r="D12" s="73"/>
      <c r="E12" s="90"/>
      <c r="F12" s="90"/>
      <c r="G12" s="90"/>
      <c r="H12" s="90"/>
      <c r="I12" s="105"/>
      <c r="J12" s="105"/>
      <c r="K12" s="105"/>
    </row>
    <row r="13" spans="1:19" ht="24" customHeight="1">
      <c r="A13" s="71" t="s">
        <v>827</v>
      </c>
      <c r="B13" s="1"/>
      <c r="C13" s="73"/>
      <c r="D13" s="73"/>
      <c r="E13" s="90"/>
      <c r="F13" s="90"/>
      <c r="G13" s="90"/>
      <c r="H13" s="90"/>
      <c r="I13" s="105"/>
      <c r="J13" s="105"/>
      <c r="K13" s="105"/>
    </row>
    <row r="14" spans="1:19" ht="24" customHeight="1">
      <c r="A14" s="71"/>
      <c r="B14" s="1" t="s">
        <v>748</v>
      </c>
      <c r="C14" s="2">
        <f>'Fund Cover Sheets'!C142</f>
        <v>1030456</v>
      </c>
      <c r="D14" s="2">
        <f>'Fund Cover Sheets'!D142</f>
        <v>920282</v>
      </c>
      <c r="E14" s="2">
        <f>'Fund Cover Sheets'!E142</f>
        <v>589656</v>
      </c>
      <c r="F14" s="2">
        <f>'Fund Cover Sheets'!F142</f>
        <v>712082</v>
      </c>
      <c r="G14" s="2">
        <f>'Fund Cover Sheets'!G142</f>
        <v>484079</v>
      </c>
      <c r="H14" s="2">
        <f>'Fund Cover Sheets'!H142</f>
        <v>260821</v>
      </c>
      <c r="I14" s="2">
        <f>'Fund Cover Sheets'!I142</f>
        <v>80167</v>
      </c>
      <c r="J14" s="2">
        <f>'Fund Cover Sheets'!J142</f>
        <v>-50000</v>
      </c>
      <c r="K14" s="2">
        <f>'Fund Cover Sheets'!K142</f>
        <v>-50000</v>
      </c>
    </row>
    <row r="15" spans="1:19" s="107" customFormat="1" ht="24" customHeight="1">
      <c r="A15" s="72"/>
      <c r="B15" s="69" t="s">
        <v>828</v>
      </c>
      <c r="C15" s="106">
        <f>'Fund Cover Sheets'!C508</f>
        <v>546485</v>
      </c>
      <c r="D15" s="106">
        <f>'Fund Cover Sheets'!D508</f>
        <v>557536</v>
      </c>
      <c r="E15" s="106">
        <f>'Fund Cover Sheets'!E508</f>
        <v>269391</v>
      </c>
      <c r="F15" s="106">
        <f>'Fund Cover Sheets'!F508</f>
        <v>411262</v>
      </c>
      <c r="G15" s="106">
        <f>'Fund Cover Sheets'!G508</f>
        <v>269255</v>
      </c>
      <c r="H15" s="106">
        <f>'Fund Cover Sheets'!H508</f>
        <v>275713</v>
      </c>
      <c r="I15" s="106">
        <f>'Fund Cover Sheets'!I508</f>
        <v>283303</v>
      </c>
      <c r="J15" s="106">
        <f>'Fund Cover Sheets'!J508</f>
        <v>291329</v>
      </c>
      <c r="K15" s="106">
        <f>'Fund Cover Sheets'!K508</f>
        <v>299809</v>
      </c>
    </row>
    <row r="16" spans="1:19" s="107" customFormat="1" ht="24" customHeight="1">
      <c r="A16" s="72"/>
      <c r="B16" s="69" t="s">
        <v>623</v>
      </c>
      <c r="C16" s="2">
        <f>'Fund Cover Sheets'!C464</f>
        <v>187984</v>
      </c>
      <c r="D16" s="2">
        <f>'Fund Cover Sheets'!D464</f>
        <v>117430</v>
      </c>
      <c r="E16" s="2">
        <f>'Fund Cover Sheets'!E464</f>
        <v>-185167</v>
      </c>
      <c r="F16" s="2">
        <f>'Fund Cover Sheets'!F464</f>
        <v>185175</v>
      </c>
      <c r="G16" s="2">
        <f>'Fund Cover Sheets'!G464</f>
        <v>220320</v>
      </c>
      <c r="H16" s="2">
        <f>'Fund Cover Sheets'!H464</f>
        <v>-73512</v>
      </c>
      <c r="I16" s="2">
        <f>'Fund Cover Sheets'!I464</f>
        <v>290754</v>
      </c>
      <c r="J16" s="2">
        <f>'Fund Cover Sheets'!J464</f>
        <v>325754</v>
      </c>
      <c r="K16" s="2">
        <f>'Fund Cover Sheets'!K464</f>
        <v>360754</v>
      </c>
    </row>
    <row r="17" spans="1:11" ht="24" customHeight="1">
      <c r="A17" s="72"/>
      <c r="B17" s="69" t="s">
        <v>538</v>
      </c>
      <c r="C17" s="2">
        <f>'Fund Cover Sheets'!C717</f>
        <v>-534087</v>
      </c>
      <c r="D17" s="2">
        <f>'Fund Cover Sheets'!D717</f>
        <v>-604820</v>
      </c>
      <c r="E17" s="2">
        <f>'Fund Cover Sheets'!E717</f>
        <v>-594959</v>
      </c>
      <c r="F17" s="2">
        <f>'Fund Cover Sheets'!F717</f>
        <v>-557792</v>
      </c>
      <c r="G17" s="2">
        <f>'Fund Cover Sheets'!G717</f>
        <v>-520551</v>
      </c>
      <c r="H17" s="2">
        <f>'Fund Cover Sheets'!H717</f>
        <v>-473366</v>
      </c>
      <c r="I17" s="2">
        <f>'Fund Cover Sheets'!I717</f>
        <v>-425864</v>
      </c>
      <c r="J17" s="2">
        <f>'Fund Cover Sheets'!J717</f>
        <v>-438849</v>
      </c>
      <c r="K17" s="2">
        <f>'Fund Cover Sheets'!K717</f>
        <v>-450300</v>
      </c>
    </row>
    <row r="18" spans="1:11" ht="24" customHeight="1">
      <c r="A18" s="72"/>
      <c r="B18" s="69" t="s">
        <v>543</v>
      </c>
      <c r="C18" s="2">
        <f>'Fund Cover Sheets'!C756</f>
        <v>231529</v>
      </c>
      <c r="D18" s="2">
        <f>'Fund Cover Sheets'!D756</f>
        <v>239096</v>
      </c>
      <c r="E18" s="2">
        <f>'Fund Cover Sheets'!E756</f>
        <v>-58049</v>
      </c>
      <c r="F18" s="2">
        <f>'Fund Cover Sheets'!F756</f>
        <v>-105516</v>
      </c>
      <c r="G18" s="2">
        <f>'Fund Cover Sheets'!G756</f>
        <v>-88246</v>
      </c>
      <c r="H18" s="2">
        <f>'Fund Cover Sheets'!H756</f>
        <v>-70981</v>
      </c>
      <c r="I18" s="2">
        <f>'Fund Cover Sheets'!I756</f>
        <v>-48726</v>
      </c>
      <c r="J18" s="2">
        <f>'Fund Cover Sheets'!J756</f>
        <v>-26471</v>
      </c>
      <c r="K18" s="2">
        <f>'Fund Cover Sheets'!K756</f>
        <v>784</v>
      </c>
    </row>
    <row r="19" spans="1:11" ht="24" customHeight="1">
      <c r="A19" s="72"/>
      <c r="B19" s="69" t="s">
        <v>829</v>
      </c>
      <c r="C19" s="2">
        <f>'Fund Cover Sheets'!C67</f>
        <v>11134</v>
      </c>
      <c r="D19" s="2">
        <f>'Fund Cover Sheets'!D67</f>
        <v>15462</v>
      </c>
      <c r="E19" s="2">
        <f>'Fund Cover Sheets'!E67</f>
        <v>-7693</v>
      </c>
      <c r="F19" s="2">
        <f>'Fund Cover Sheets'!F67</f>
        <v>-12140</v>
      </c>
      <c r="G19" s="2">
        <f>'Fund Cover Sheets'!G67</f>
        <v>-9900</v>
      </c>
      <c r="H19" s="2">
        <f>'Fund Cover Sheets'!H67</f>
        <v>-8627</v>
      </c>
      <c r="I19" s="2">
        <f>'Fund Cover Sheets'!I67</f>
        <v>-7354</v>
      </c>
      <c r="J19" s="2">
        <f>'Fund Cover Sheets'!J67</f>
        <v>-6081</v>
      </c>
      <c r="K19" s="2">
        <f>'Fund Cover Sheets'!K67</f>
        <v>-4808</v>
      </c>
    </row>
    <row r="20" spans="1:11" ht="24" customHeight="1">
      <c r="A20" s="72"/>
      <c r="B20" s="69" t="s">
        <v>830</v>
      </c>
      <c r="C20" s="89">
        <f>'Fund Cover Sheets'!C103</f>
        <v>2574</v>
      </c>
      <c r="D20" s="89">
        <f>'Fund Cover Sheets'!D103</f>
        <v>-20108</v>
      </c>
      <c r="E20" s="89">
        <f>'Fund Cover Sheets'!E103</f>
        <v>-49980</v>
      </c>
      <c r="F20" s="89">
        <f>'Fund Cover Sheets'!F103</f>
        <v>-39357</v>
      </c>
      <c r="G20" s="89">
        <f>'Fund Cover Sheets'!G103</f>
        <v>-36499</v>
      </c>
      <c r="H20" s="89">
        <f>'Fund Cover Sheets'!H103</f>
        <v>-35948</v>
      </c>
      <c r="I20" s="89">
        <f>'Fund Cover Sheets'!I103</f>
        <v>-29397</v>
      </c>
      <c r="J20" s="89">
        <f>'Fund Cover Sheets'!J103</f>
        <v>-22846</v>
      </c>
      <c r="K20" s="89">
        <f>'Fund Cover Sheets'!K103</f>
        <v>-16295</v>
      </c>
    </row>
    <row r="21" spans="1:11">
      <c r="A21" s="72"/>
      <c r="B21" s="69"/>
      <c r="C21" s="73"/>
      <c r="D21" s="73"/>
      <c r="E21" s="73"/>
      <c r="F21" s="73"/>
      <c r="G21" s="73"/>
      <c r="H21" s="73"/>
      <c r="I21" s="73"/>
      <c r="J21" s="73"/>
      <c r="K21" s="73"/>
    </row>
    <row r="22" spans="1:11">
      <c r="A22" s="72"/>
      <c r="B22" s="69"/>
      <c r="C22" s="73"/>
      <c r="D22" s="73"/>
      <c r="E22" s="73"/>
      <c r="F22" s="73"/>
      <c r="G22" s="73"/>
      <c r="H22" s="73"/>
      <c r="I22" s="73"/>
      <c r="J22" s="73"/>
      <c r="K22" s="73"/>
    </row>
    <row r="23" spans="1:11">
      <c r="A23" s="72"/>
      <c r="B23" s="69"/>
      <c r="C23" s="89"/>
      <c r="D23" s="89"/>
      <c r="E23" s="89"/>
      <c r="F23" s="89"/>
      <c r="G23" s="89"/>
      <c r="H23" s="89"/>
      <c r="I23" s="89"/>
      <c r="J23" s="89"/>
      <c r="K23" s="89"/>
    </row>
    <row r="24" spans="1:11" ht="24" customHeight="1">
      <c r="A24" s="71" t="s">
        <v>831</v>
      </c>
      <c r="B24" s="64"/>
      <c r="C24" s="89">
        <f>'Fund Cover Sheets'!C328</f>
        <v>5319</v>
      </c>
      <c r="D24" s="89">
        <f>'Fund Cover Sheets'!D328</f>
        <v>7842</v>
      </c>
      <c r="E24" s="89">
        <f>'Fund Cover Sheets'!E328</f>
        <v>0</v>
      </c>
      <c r="F24" s="89">
        <f>'Fund Cover Sheets'!F328</f>
        <v>0</v>
      </c>
      <c r="G24" s="89">
        <f>'Fund Cover Sheets'!G328</f>
        <v>0</v>
      </c>
      <c r="H24" s="89">
        <f>'Fund Cover Sheets'!H328</f>
        <v>0</v>
      </c>
      <c r="I24" s="89">
        <f>'Fund Cover Sheets'!I328</f>
        <v>0</v>
      </c>
      <c r="J24" s="89">
        <f>'Fund Cover Sheets'!J328</f>
        <v>0</v>
      </c>
      <c r="K24" s="89">
        <f>'Fund Cover Sheets'!K328</f>
        <v>0</v>
      </c>
    </row>
    <row r="25" spans="1:11">
      <c r="A25" s="71"/>
      <c r="B25" s="64"/>
      <c r="C25" s="89"/>
      <c r="D25" s="89"/>
      <c r="E25" s="89"/>
      <c r="F25" s="89"/>
      <c r="G25" s="89"/>
      <c r="H25" s="89"/>
      <c r="I25" s="89"/>
      <c r="J25" s="89"/>
      <c r="K25" s="89"/>
    </row>
    <row r="26" spans="1:11">
      <c r="A26" s="71"/>
      <c r="B26" s="64"/>
      <c r="C26" s="89"/>
      <c r="D26" s="89"/>
      <c r="E26" s="89"/>
      <c r="F26" s="89"/>
      <c r="G26" s="89"/>
      <c r="H26" s="89"/>
      <c r="I26" s="89"/>
      <c r="J26" s="89"/>
      <c r="K26" s="89"/>
    </row>
    <row r="27" spans="1:11">
      <c r="A27" s="72"/>
      <c r="B27" s="64"/>
      <c r="C27" s="89"/>
      <c r="D27" s="89"/>
      <c r="E27" s="89"/>
      <c r="F27" s="89"/>
      <c r="G27" s="89"/>
      <c r="H27" s="89"/>
      <c r="I27" s="89"/>
      <c r="J27" s="89"/>
      <c r="K27" s="89"/>
    </row>
    <row r="28" spans="1:11" ht="24" customHeight="1">
      <c r="A28" s="71" t="s">
        <v>832</v>
      </c>
      <c r="B28" s="64"/>
      <c r="C28" s="89"/>
      <c r="D28" s="89"/>
      <c r="E28" s="89"/>
      <c r="F28" s="89"/>
      <c r="G28" s="89"/>
      <c r="H28" s="89"/>
      <c r="I28" s="89"/>
      <c r="J28" s="89"/>
      <c r="K28" s="89"/>
    </row>
    <row r="29" spans="1:11" ht="24" customHeight="1">
      <c r="A29" s="72"/>
      <c r="B29" s="69" t="s">
        <v>967</v>
      </c>
      <c r="C29" s="89">
        <f>'Fund Cover Sheets'!C290</f>
        <v>147746</v>
      </c>
      <c r="D29" s="89">
        <f>'Fund Cover Sheets'!D290</f>
        <v>105577</v>
      </c>
      <c r="E29" s="89">
        <f>'Fund Cover Sheets'!E290</f>
        <v>-1224</v>
      </c>
      <c r="F29" s="89">
        <f>'Fund Cover Sheets'!F290</f>
        <v>52734</v>
      </c>
      <c r="G29" s="89">
        <f>'Fund Cover Sheets'!G290</f>
        <v>0</v>
      </c>
      <c r="H29" s="89">
        <f>'Fund Cover Sheets'!H290</f>
        <v>106</v>
      </c>
      <c r="I29" s="89">
        <f>'Fund Cover Sheets'!I290</f>
        <v>212</v>
      </c>
      <c r="J29" s="89">
        <f>'Fund Cover Sheets'!J290</f>
        <v>318</v>
      </c>
      <c r="K29" s="89">
        <f>'Fund Cover Sheets'!K290</f>
        <v>424</v>
      </c>
    </row>
    <row r="30" spans="1:11" ht="24" customHeight="1">
      <c r="A30" s="72"/>
      <c r="B30" s="69" t="s">
        <v>835</v>
      </c>
      <c r="C30" s="89">
        <f>'Fund Cover Sheets'!C224</f>
        <v>676555</v>
      </c>
      <c r="D30" s="89">
        <f>'Fund Cover Sheets'!D224</f>
        <v>4684706</v>
      </c>
      <c r="E30" s="89">
        <f>'Fund Cover Sheets'!E224</f>
        <v>831196</v>
      </c>
      <c r="F30" s="89">
        <f>'Fund Cover Sheets'!F224</f>
        <v>2622218</v>
      </c>
      <c r="G30" s="89">
        <f>'Fund Cover Sheets'!G224</f>
        <v>649209</v>
      </c>
      <c r="H30" s="89">
        <f>'Fund Cover Sheets'!H224</f>
        <v>200850</v>
      </c>
      <c r="I30" s="89">
        <f>'Fund Cover Sheets'!I224</f>
        <v>5262</v>
      </c>
      <c r="J30" s="89">
        <f>'Fund Cover Sheets'!J224</f>
        <v>5262</v>
      </c>
      <c r="K30" s="89">
        <f>'Fund Cover Sheets'!K224</f>
        <v>5262</v>
      </c>
    </row>
    <row r="31" spans="1:11">
      <c r="A31" s="72"/>
      <c r="B31" s="69"/>
      <c r="C31" s="89"/>
      <c r="D31" s="89"/>
      <c r="E31" s="89"/>
      <c r="F31" s="89"/>
      <c r="G31" s="89"/>
      <c r="H31" s="89"/>
      <c r="I31" s="89"/>
      <c r="J31" s="89"/>
      <c r="K31" s="89"/>
    </row>
    <row r="32" spans="1:11">
      <c r="A32" s="72"/>
      <c r="B32" s="69"/>
      <c r="C32" s="89"/>
      <c r="D32" s="89"/>
      <c r="E32" s="89"/>
      <c r="F32" s="89"/>
      <c r="G32" s="89"/>
      <c r="H32" s="89"/>
      <c r="I32" s="89"/>
      <c r="J32" s="89"/>
      <c r="K32" s="89"/>
    </row>
    <row r="33" spans="1:11">
      <c r="A33" s="1"/>
      <c r="B33" s="69"/>
      <c r="C33" s="89"/>
      <c r="D33" s="89"/>
      <c r="E33" s="89"/>
      <c r="F33" s="89"/>
      <c r="G33" s="89"/>
      <c r="H33" s="89"/>
      <c r="I33" s="89"/>
      <c r="J33" s="89"/>
      <c r="K33" s="89"/>
    </row>
    <row r="34" spans="1:11" ht="24" customHeight="1">
      <c r="A34" s="71" t="s">
        <v>882</v>
      </c>
      <c r="B34" s="69"/>
      <c r="C34" s="89"/>
      <c r="D34" s="89"/>
      <c r="E34" s="89"/>
      <c r="F34" s="89"/>
      <c r="G34" s="89"/>
      <c r="H34" s="89"/>
      <c r="I34" s="89"/>
      <c r="J34" s="89"/>
      <c r="K34" s="89"/>
    </row>
    <row r="35" spans="1:11" ht="24" customHeight="1">
      <c r="A35" s="1"/>
      <c r="B35" s="69" t="s">
        <v>621</v>
      </c>
      <c r="C35" s="89">
        <f>'Fund Cover Sheets'!C373</f>
        <v>1350923</v>
      </c>
      <c r="D35" s="89">
        <f>'Fund Cover Sheets'!D373</f>
        <v>1099988</v>
      </c>
      <c r="E35" s="89">
        <f>'Fund Cover Sheets'!E373</f>
        <v>558007</v>
      </c>
      <c r="F35" s="89">
        <f>'Fund Cover Sheets'!F373</f>
        <v>4410766</v>
      </c>
      <c r="G35" s="89">
        <f>'Fund Cover Sheets'!G373</f>
        <v>1760405</v>
      </c>
      <c r="H35" s="89">
        <f>'Fund Cover Sheets'!H373</f>
        <v>1613275</v>
      </c>
      <c r="I35" s="89">
        <f>'Fund Cover Sheets'!I373</f>
        <v>1189883</v>
      </c>
      <c r="J35" s="89">
        <f>'Fund Cover Sheets'!J373</f>
        <v>269905</v>
      </c>
      <c r="K35" s="89">
        <f>'Fund Cover Sheets'!K373</f>
        <v>447598</v>
      </c>
    </row>
    <row r="36" spans="1:11" ht="24" customHeight="1">
      <c r="A36" s="1"/>
      <c r="B36" s="69" t="s">
        <v>622</v>
      </c>
      <c r="C36" s="89">
        <f>'Fund Cover Sheets'!C420</f>
        <v>2879170</v>
      </c>
      <c r="D36" s="89">
        <f>'Fund Cover Sheets'!D420</f>
        <v>1829603</v>
      </c>
      <c r="E36" s="89">
        <f>'Fund Cover Sheets'!E420</f>
        <v>1368893</v>
      </c>
      <c r="F36" s="89">
        <f>'Fund Cover Sheets'!F420</f>
        <v>1407327</v>
      </c>
      <c r="G36" s="89">
        <f>'Fund Cover Sheets'!G420</f>
        <v>977023</v>
      </c>
      <c r="H36" s="89">
        <f>'Fund Cover Sheets'!H420</f>
        <v>564102</v>
      </c>
      <c r="I36" s="89">
        <f>'Fund Cover Sheets'!I420</f>
        <v>145205</v>
      </c>
      <c r="J36" s="89">
        <f>'Fund Cover Sheets'!J420</f>
        <v>272372</v>
      </c>
      <c r="K36" s="89">
        <f>'Fund Cover Sheets'!K420</f>
        <v>487025</v>
      </c>
    </row>
    <row r="37" spans="1:11">
      <c r="A37" s="1"/>
      <c r="B37" s="69"/>
      <c r="C37" s="89"/>
      <c r="D37" s="89"/>
      <c r="E37" s="89"/>
      <c r="F37" s="89"/>
      <c r="G37" s="89"/>
      <c r="H37" s="89"/>
      <c r="I37" s="89"/>
      <c r="J37" s="89"/>
      <c r="K37" s="89"/>
    </row>
    <row r="38" spans="1:11">
      <c r="A38" s="1"/>
      <c r="B38" s="69"/>
      <c r="C38" s="89"/>
      <c r="D38" s="89"/>
      <c r="E38" s="89"/>
      <c r="F38" s="89"/>
      <c r="G38" s="89"/>
      <c r="H38" s="89"/>
      <c r="I38" s="89"/>
      <c r="J38" s="89"/>
      <c r="K38" s="89"/>
    </row>
    <row r="39" spans="1:11">
      <c r="A39" s="1"/>
      <c r="B39" s="69"/>
      <c r="C39" s="89"/>
      <c r="D39" s="89"/>
      <c r="E39" s="89"/>
      <c r="F39" s="89"/>
      <c r="G39" s="89"/>
      <c r="H39" s="89"/>
      <c r="I39" s="89"/>
      <c r="J39" s="89"/>
      <c r="K39" s="89"/>
    </row>
    <row r="40" spans="1:11" ht="24" customHeight="1">
      <c r="A40" s="71" t="s">
        <v>837</v>
      </c>
      <c r="B40" s="69"/>
      <c r="C40" s="89"/>
      <c r="D40" s="89"/>
      <c r="E40" s="89"/>
      <c r="F40" s="89"/>
      <c r="G40" s="89"/>
      <c r="H40" s="89"/>
      <c r="I40" s="89"/>
      <c r="J40" s="89"/>
      <c r="K40" s="89"/>
    </row>
    <row r="41" spans="1:11" ht="24" customHeight="1">
      <c r="A41" s="71"/>
      <c r="B41" s="69" t="s">
        <v>614</v>
      </c>
      <c r="C41" s="89">
        <f>'Fund Cover Sheets'!C598</f>
        <v>471076</v>
      </c>
      <c r="D41" s="89">
        <f>'Fund Cover Sheets'!D598</f>
        <v>466683</v>
      </c>
      <c r="E41" s="89">
        <f>'Fund Cover Sheets'!E598</f>
        <v>392989</v>
      </c>
      <c r="F41" s="89">
        <f>'Fund Cover Sheets'!F598</f>
        <v>460782</v>
      </c>
      <c r="G41" s="89">
        <f>'Fund Cover Sheets'!G598</f>
        <v>435726</v>
      </c>
      <c r="H41" s="89">
        <f>'Fund Cover Sheets'!H598</f>
        <v>398385</v>
      </c>
      <c r="I41" s="89">
        <f>'Fund Cover Sheets'!I598</f>
        <v>350850</v>
      </c>
      <c r="J41" s="89">
        <f>'Fund Cover Sheets'!J598</f>
        <v>292282</v>
      </c>
      <c r="K41" s="89">
        <f>'Fund Cover Sheets'!K598</f>
        <v>221789</v>
      </c>
    </row>
    <row r="42" spans="1:11" ht="24" customHeight="1">
      <c r="A42" s="71"/>
      <c r="B42" s="69" t="s">
        <v>536</v>
      </c>
      <c r="C42" s="89">
        <f>'Fund Cover Sheets'!C637</f>
        <v>0</v>
      </c>
      <c r="D42" s="89">
        <f>'Fund Cover Sheets'!D637</f>
        <v>0</v>
      </c>
      <c r="E42" s="89">
        <f>'Fund Cover Sheets'!E637</f>
        <v>30</v>
      </c>
      <c r="F42" s="89">
        <f>'Fund Cover Sheets'!F637</f>
        <v>0</v>
      </c>
      <c r="G42" s="89">
        <f>'Fund Cover Sheets'!G637</f>
        <v>0</v>
      </c>
      <c r="H42" s="89">
        <f>'Fund Cover Sheets'!H637</f>
        <v>0</v>
      </c>
      <c r="I42" s="89">
        <f>'Fund Cover Sheets'!I637</f>
        <v>0</v>
      </c>
      <c r="J42" s="89">
        <f>'Fund Cover Sheets'!J637</f>
        <v>0</v>
      </c>
      <c r="K42" s="89">
        <f>'Fund Cover Sheets'!K637</f>
        <v>0</v>
      </c>
    </row>
    <row r="43" spans="1:11" ht="24" customHeight="1">
      <c r="A43" s="71"/>
      <c r="B43" s="69" t="s">
        <v>838</v>
      </c>
      <c r="C43" s="89">
        <f>'Fund Cover Sheets'!C676</f>
        <v>26870</v>
      </c>
      <c r="D43" s="89">
        <f>'Fund Cover Sheets'!D676</f>
        <v>12714</v>
      </c>
      <c r="E43" s="89">
        <f>'Fund Cover Sheets'!E676</f>
        <v>-10</v>
      </c>
      <c r="F43" s="89">
        <f>'Fund Cover Sheets'!F676</f>
        <v>20829</v>
      </c>
      <c r="G43" s="89">
        <f>'Fund Cover Sheets'!G676</f>
        <v>28944</v>
      </c>
      <c r="H43" s="89">
        <f>'Fund Cover Sheets'!H676</f>
        <v>28954</v>
      </c>
      <c r="I43" s="89">
        <f>'Fund Cover Sheets'!I676</f>
        <v>28954</v>
      </c>
      <c r="J43" s="89">
        <f>'Fund Cover Sheets'!J676</f>
        <v>28954</v>
      </c>
      <c r="K43" s="89">
        <f>'Fund Cover Sheets'!K676</f>
        <v>28954</v>
      </c>
    </row>
    <row r="44" spans="1:11">
      <c r="A44" s="71"/>
      <c r="B44" s="69"/>
      <c r="C44" s="89"/>
      <c r="D44" s="89"/>
      <c r="E44" s="89"/>
      <c r="F44" s="89"/>
      <c r="G44" s="89"/>
      <c r="H44" s="89"/>
      <c r="I44" s="89"/>
      <c r="J44" s="89"/>
      <c r="K44" s="89"/>
    </row>
    <row r="45" spans="1:11">
      <c r="B45" s="74"/>
      <c r="C45" s="108"/>
      <c r="D45" s="109"/>
      <c r="E45" s="109"/>
      <c r="F45" s="109"/>
      <c r="G45" s="106"/>
      <c r="H45" s="106"/>
      <c r="I45" s="105"/>
      <c r="J45" s="105"/>
      <c r="K45" s="105"/>
    </row>
    <row r="46" spans="1:11" ht="24" customHeight="1" thickBot="1">
      <c r="B46" s="96" t="s">
        <v>880</v>
      </c>
      <c r="C46" s="98">
        <f t="shared" ref="C46:K46" si="0">SUM(C9:C45)</f>
        <v>10894315</v>
      </c>
      <c r="D46" s="98">
        <f t="shared" si="0"/>
        <v>14258050</v>
      </c>
      <c r="E46" s="98">
        <f t="shared" si="0"/>
        <v>7223687</v>
      </c>
      <c r="F46" s="98">
        <f t="shared" si="0"/>
        <v>14582056</v>
      </c>
      <c r="G46" s="98">
        <f t="shared" si="0"/>
        <v>8897176</v>
      </c>
      <c r="H46" s="98">
        <f t="shared" si="0"/>
        <v>6873699</v>
      </c>
      <c r="I46" s="98">
        <f t="shared" si="0"/>
        <v>5416514</v>
      </c>
      <c r="J46" s="98">
        <f t="shared" si="0"/>
        <v>3662165</v>
      </c>
      <c r="K46" s="98">
        <f t="shared" si="0"/>
        <v>3016376</v>
      </c>
    </row>
    <row r="47" spans="1:11" ht="15.75" thickTop="1">
      <c r="B47" s="1"/>
      <c r="C47" s="45"/>
      <c r="D47" s="105"/>
      <c r="E47" s="105"/>
      <c r="F47" s="105"/>
      <c r="G47" s="105"/>
      <c r="H47" s="105"/>
      <c r="I47" s="105"/>
      <c r="J47" s="105"/>
      <c r="K47" s="105"/>
    </row>
    <row r="48" spans="1:11">
      <c r="A48" s="110" t="s">
        <v>883</v>
      </c>
      <c r="B48" s="111" t="s">
        <v>982</v>
      </c>
      <c r="C48" s="45"/>
      <c r="D48" s="105"/>
      <c r="E48" s="105"/>
      <c r="F48" s="105"/>
      <c r="G48" s="105"/>
      <c r="H48" s="105"/>
      <c r="I48" s="105"/>
      <c r="J48" s="105"/>
      <c r="K48" s="105"/>
    </row>
    <row r="49" spans="1:11">
      <c r="B49" s="1"/>
      <c r="C49" s="45"/>
      <c r="D49" s="105"/>
      <c r="E49" s="105"/>
      <c r="F49" s="105"/>
      <c r="G49" s="105"/>
      <c r="H49" s="105"/>
      <c r="I49" s="105"/>
      <c r="J49" s="105"/>
      <c r="K49" s="105"/>
    </row>
    <row r="50" spans="1:11">
      <c r="B50" s="1"/>
      <c r="C50" s="45"/>
      <c r="D50" s="105"/>
      <c r="E50" s="105"/>
      <c r="F50" s="105"/>
      <c r="G50" s="105"/>
      <c r="H50" s="105"/>
      <c r="I50" s="105"/>
      <c r="J50" s="105"/>
      <c r="K50" s="105"/>
    </row>
    <row r="51" spans="1:11">
      <c r="B51" s="1"/>
      <c r="C51" s="45"/>
      <c r="D51" s="105"/>
      <c r="E51" s="105"/>
      <c r="F51" s="105"/>
      <c r="G51" s="105"/>
      <c r="H51" s="105"/>
      <c r="I51" s="105"/>
      <c r="J51" s="105"/>
      <c r="K51" s="105"/>
    </row>
    <row r="52" spans="1:11">
      <c r="C52" s="45"/>
      <c r="D52" s="105"/>
      <c r="E52" s="105"/>
      <c r="F52" s="105"/>
      <c r="G52" s="105"/>
      <c r="H52" s="105"/>
      <c r="I52" s="105"/>
      <c r="J52" s="105"/>
      <c r="K52" s="105"/>
    </row>
    <row r="53" spans="1:11">
      <c r="C53" s="45"/>
      <c r="D53" s="105"/>
      <c r="E53" s="105"/>
      <c r="F53" s="105"/>
      <c r="G53" s="105"/>
      <c r="H53" s="105"/>
      <c r="I53" s="105"/>
      <c r="J53" s="105"/>
      <c r="K53" s="105"/>
    </row>
    <row r="54" spans="1:11">
      <c r="C54" s="45"/>
      <c r="D54" s="105"/>
      <c r="E54" s="105"/>
      <c r="F54" s="105"/>
      <c r="G54" s="105"/>
      <c r="H54" s="105"/>
      <c r="I54" s="105"/>
      <c r="J54" s="105"/>
      <c r="K54" s="105"/>
    </row>
    <row r="55" spans="1:11">
      <c r="C55" s="45"/>
      <c r="D55" s="105"/>
      <c r="E55" s="105"/>
      <c r="F55" s="105"/>
      <c r="G55" s="105"/>
      <c r="H55" s="105"/>
      <c r="I55" s="105"/>
      <c r="J55" s="105"/>
      <c r="K55" s="105"/>
    </row>
    <row r="56" spans="1:11">
      <c r="C56" s="45"/>
      <c r="D56" s="105"/>
      <c r="E56" s="105"/>
      <c r="F56" s="105"/>
      <c r="G56" s="105"/>
      <c r="H56" s="105"/>
      <c r="I56" s="105"/>
      <c r="J56" s="105"/>
      <c r="K56" s="105"/>
    </row>
    <row r="57" spans="1:11">
      <c r="C57" s="45"/>
      <c r="D57" s="105"/>
      <c r="E57" s="105"/>
      <c r="F57" s="105"/>
      <c r="G57" s="105"/>
      <c r="H57" s="105"/>
      <c r="I57" s="105"/>
      <c r="J57" s="105"/>
      <c r="K57" s="105"/>
    </row>
    <row r="58" spans="1:11">
      <c r="C58" s="45"/>
      <c r="D58" s="105"/>
      <c r="E58" s="105"/>
      <c r="F58" s="105"/>
      <c r="G58" s="105"/>
      <c r="H58" s="105"/>
      <c r="I58" s="105"/>
      <c r="J58" s="105"/>
      <c r="K58" s="105"/>
    </row>
    <row r="59" spans="1:11">
      <c r="C59" s="45"/>
      <c r="D59" s="105"/>
      <c r="E59" s="105"/>
      <c r="F59" s="105"/>
      <c r="G59" s="105"/>
      <c r="H59" s="105"/>
      <c r="I59" s="105"/>
      <c r="J59" s="105"/>
      <c r="K59" s="105"/>
    </row>
    <row r="60" spans="1:11">
      <c r="A60" s="100"/>
      <c r="B60" s="100"/>
      <c r="C60" s="45"/>
      <c r="D60" s="105"/>
      <c r="E60" s="105"/>
      <c r="F60" s="105"/>
      <c r="G60" s="105"/>
      <c r="H60" s="105"/>
      <c r="I60" s="105"/>
      <c r="J60" s="105"/>
      <c r="K60" s="105"/>
    </row>
    <row r="61" spans="1:11">
      <c r="A61" s="100"/>
      <c r="B61" s="100"/>
      <c r="C61" s="45"/>
      <c r="D61" s="105"/>
      <c r="E61" s="105"/>
      <c r="F61" s="105"/>
      <c r="G61" s="105"/>
      <c r="H61" s="105"/>
      <c r="I61" s="105"/>
      <c r="J61" s="105"/>
      <c r="K61" s="105"/>
    </row>
    <row r="62" spans="1:11">
      <c r="A62" s="100"/>
      <c r="B62" s="100"/>
      <c r="C62" s="45"/>
      <c r="D62" s="105"/>
      <c r="E62" s="105"/>
      <c r="F62" s="105"/>
      <c r="G62" s="105"/>
      <c r="H62" s="105"/>
      <c r="I62" s="105"/>
      <c r="J62" s="105"/>
      <c r="K62" s="105"/>
    </row>
    <row r="63" spans="1:11">
      <c r="A63" s="100"/>
      <c r="B63" s="100"/>
      <c r="C63" s="45"/>
      <c r="D63" s="105"/>
      <c r="E63" s="105"/>
      <c r="F63" s="105"/>
      <c r="G63" s="105"/>
      <c r="H63" s="105"/>
      <c r="I63" s="105"/>
      <c r="J63" s="105"/>
      <c r="K63" s="105"/>
    </row>
    <row r="64" spans="1:11">
      <c r="A64" s="100"/>
      <c r="B64" s="100"/>
      <c r="C64" s="45"/>
      <c r="D64" s="105"/>
      <c r="E64" s="105"/>
      <c r="F64" s="105"/>
      <c r="G64" s="105"/>
      <c r="H64" s="105"/>
      <c r="I64" s="105"/>
      <c r="J64" s="105"/>
      <c r="K64" s="105"/>
    </row>
    <row r="65" spans="1:11">
      <c r="A65" s="100"/>
      <c r="B65" s="100"/>
      <c r="C65" s="45"/>
      <c r="D65" s="105"/>
      <c r="E65" s="105"/>
      <c r="F65" s="105"/>
      <c r="G65" s="105"/>
      <c r="H65" s="105"/>
      <c r="I65" s="105"/>
      <c r="J65" s="105"/>
      <c r="K65" s="105"/>
    </row>
    <row r="66" spans="1:11">
      <c r="A66" s="100"/>
      <c r="B66" s="100"/>
      <c r="C66" s="45"/>
      <c r="D66" s="105"/>
      <c r="E66" s="105"/>
      <c r="F66" s="105"/>
      <c r="G66" s="105"/>
      <c r="H66" s="105"/>
      <c r="I66" s="105"/>
      <c r="J66" s="105"/>
      <c r="K66" s="105"/>
    </row>
    <row r="67" spans="1:11">
      <c r="A67" s="100"/>
      <c r="B67" s="100"/>
      <c r="C67" s="45"/>
      <c r="D67" s="105"/>
      <c r="E67" s="105"/>
      <c r="F67" s="105"/>
      <c r="G67" s="105"/>
      <c r="H67" s="105"/>
      <c r="I67" s="105"/>
      <c r="J67" s="105"/>
      <c r="K67" s="105"/>
    </row>
    <row r="68" spans="1:11">
      <c r="A68" s="100"/>
      <c r="B68" s="100"/>
      <c r="C68" s="45"/>
      <c r="D68" s="105"/>
      <c r="E68" s="105"/>
      <c r="F68" s="105"/>
      <c r="G68" s="105"/>
      <c r="H68" s="105"/>
      <c r="I68" s="105"/>
      <c r="J68" s="105"/>
      <c r="K68" s="105"/>
    </row>
    <row r="69" spans="1:11">
      <c r="A69" s="100"/>
      <c r="B69" s="100"/>
      <c r="C69" s="45"/>
      <c r="D69" s="105"/>
      <c r="E69" s="105"/>
      <c r="F69" s="105"/>
      <c r="G69" s="105"/>
      <c r="H69" s="105"/>
      <c r="I69" s="105"/>
      <c r="J69" s="105"/>
      <c r="K69" s="105"/>
    </row>
    <row r="70" spans="1:11">
      <c r="A70" s="100"/>
      <c r="B70" s="100"/>
      <c r="C70" s="45"/>
      <c r="D70" s="105"/>
      <c r="E70" s="105"/>
      <c r="F70" s="105"/>
      <c r="G70" s="105"/>
      <c r="H70" s="105"/>
      <c r="I70" s="105"/>
      <c r="J70" s="105"/>
      <c r="K70" s="105"/>
    </row>
    <row r="71" spans="1:11">
      <c r="A71" s="100"/>
      <c r="B71" s="100"/>
      <c r="C71" s="45"/>
      <c r="D71" s="105"/>
      <c r="E71" s="105"/>
      <c r="F71" s="105"/>
      <c r="G71" s="105"/>
      <c r="H71" s="105"/>
      <c r="I71" s="105"/>
      <c r="J71" s="105"/>
      <c r="K71" s="105"/>
    </row>
    <row r="72" spans="1:11">
      <c r="A72" s="100"/>
      <c r="B72" s="100"/>
      <c r="E72" s="39"/>
      <c r="F72" s="39"/>
      <c r="G72" s="39"/>
      <c r="H72" s="39"/>
      <c r="I72" s="39"/>
      <c r="J72" s="39"/>
      <c r="K72" s="39"/>
    </row>
    <row r="73" spans="1:11">
      <c r="A73" s="100"/>
      <c r="B73" s="100"/>
      <c r="E73" s="39"/>
      <c r="F73" s="39"/>
      <c r="G73" s="39"/>
      <c r="H73" s="39"/>
      <c r="I73" s="39"/>
      <c r="J73" s="39"/>
      <c r="K73" s="39"/>
    </row>
    <row r="74" spans="1:11">
      <c r="A74" s="100"/>
      <c r="B74" s="100"/>
      <c r="E74" s="39"/>
      <c r="F74" s="39"/>
      <c r="G74" s="39"/>
      <c r="H74" s="39"/>
      <c r="I74" s="39"/>
      <c r="J74" s="39"/>
      <c r="K74" s="39"/>
    </row>
    <row r="75" spans="1:11">
      <c r="A75" s="100"/>
      <c r="B75" s="100"/>
      <c r="E75" s="39"/>
      <c r="F75" s="39"/>
      <c r="G75" s="39"/>
      <c r="H75" s="39"/>
      <c r="I75" s="39"/>
      <c r="J75" s="39"/>
      <c r="K75" s="39"/>
    </row>
    <row r="76" spans="1:11">
      <c r="A76" s="100"/>
      <c r="B76" s="100"/>
      <c r="C76" s="100"/>
      <c r="D76" s="100"/>
      <c r="E76" s="39"/>
      <c r="F76" s="39"/>
      <c r="G76" s="39"/>
      <c r="H76" s="39"/>
      <c r="I76" s="39"/>
      <c r="J76" s="39"/>
      <c r="K76" s="39"/>
    </row>
    <row r="77" spans="1:11">
      <c r="A77" s="100"/>
      <c r="B77" s="100"/>
      <c r="C77" s="100"/>
      <c r="D77" s="100"/>
      <c r="E77" s="39"/>
      <c r="F77" s="39"/>
      <c r="G77" s="39"/>
      <c r="H77" s="39"/>
      <c r="I77" s="39"/>
      <c r="J77" s="39"/>
      <c r="K77" s="39"/>
    </row>
    <row r="78" spans="1:11">
      <c r="A78" s="100"/>
      <c r="B78" s="100"/>
      <c r="C78" s="100"/>
      <c r="D78" s="100"/>
      <c r="E78" s="39"/>
      <c r="F78" s="39"/>
      <c r="G78" s="39"/>
      <c r="H78" s="39"/>
      <c r="I78" s="39"/>
      <c r="J78" s="39"/>
      <c r="K78" s="39"/>
    </row>
    <row r="79" spans="1:11">
      <c r="A79" s="100"/>
      <c r="B79" s="100"/>
      <c r="C79" s="100"/>
      <c r="D79" s="100"/>
      <c r="E79" s="39"/>
      <c r="F79" s="39"/>
      <c r="G79" s="39"/>
      <c r="H79" s="39"/>
      <c r="I79" s="39"/>
      <c r="J79" s="39"/>
      <c r="K79" s="39"/>
    </row>
    <row r="80" spans="1:11">
      <c r="A80" s="100"/>
      <c r="B80" s="100"/>
      <c r="C80" s="100"/>
      <c r="D80" s="100"/>
      <c r="E80" s="39"/>
      <c r="F80" s="39"/>
      <c r="G80" s="39"/>
      <c r="H80" s="39"/>
      <c r="I80" s="39"/>
      <c r="J80" s="39"/>
      <c r="K80" s="39"/>
    </row>
    <row r="81" spans="1:11">
      <c r="A81" s="100"/>
      <c r="B81" s="100"/>
      <c r="C81" s="100"/>
      <c r="D81" s="100"/>
      <c r="E81" s="39"/>
      <c r="F81" s="39"/>
      <c r="G81" s="39"/>
      <c r="H81" s="39"/>
      <c r="I81" s="39"/>
      <c r="J81" s="39"/>
      <c r="K81" s="39"/>
    </row>
    <row r="82" spans="1:11">
      <c r="A82" s="100"/>
      <c r="B82" s="100"/>
      <c r="C82" s="100"/>
      <c r="D82" s="100"/>
      <c r="E82" s="39"/>
      <c r="F82" s="39"/>
      <c r="G82" s="39"/>
      <c r="H82" s="39"/>
      <c r="I82" s="39"/>
      <c r="J82" s="39"/>
      <c r="K82" s="39"/>
    </row>
    <row r="83" spans="1:11">
      <c r="A83" s="100"/>
      <c r="B83" s="100"/>
      <c r="C83" s="100"/>
      <c r="D83" s="100"/>
      <c r="E83" s="39"/>
      <c r="F83" s="39"/>
      <c r="G83" s="39"/>
      <c r="H83" s="39"/>
      <c r="I83" s="39"/>
      <c r="J83" s="39"/>
      <c r="K83" s="39"/>
    </row>
    <row r="84" spans="1:11">
      <c r="A84" s="100"/>
      <c r="B84" s="100"/>
      <c r="C84" s="100"/>
      <c r="D84" s="100"/>
      <c r="E84" s="39"/>
      <c r="F84" s="39"/>
      <c r="G84" s="39"/>
      <c r="H84" s="39"/>
      <c r="I84" s="39"/>
      <c r="J84" s="39"/>
      <c r="K84" s="39"/>
    </row>
    <row r="85" spans="1:11">
      <c r="A85" s="100"/>
      <c r="B85" s="100"/>
      <c r="C85" s="100"/>
      <c r="D85" s="100"/>
      <c r="E85" s="39"/>
      <c r="F85" s="39"/>
      <c r="G85" s="39"/>
      <c r="H85" s="39"/>
      <c r="I85" s="39"/>
      <c r="J85" s="39"/>
      <c r="K85" s="39"/>
    </row>
    <row r="86" spans="1:11">
      <c r="A86" s="100"/>
      <c r="B86" s="100"/>
      <c r="C86" s="100"/>
      <c r="D86" s="100"/>
      <c r="E86" s="39"/>
      <c r="F86" s="39"/>
      <c r="G86" s="39"/>
      <c r="H86" s="39"/>
      <c r="I86" s="39"/>
      <c r="J86" s="39"/>
      <c r="K86" s="39"/>
    </row>
    <row r="87" spans="1:11">
      <c r="A87" s="100"/>
      <c r="B87" s="100"/>
      <c r="C87" s="100"/>
      <c r="D87" s="100"/>
      <c r="E87" s="39"/>
      <c r="F87" s="39"/>
      <c r="G87" s="39"/>
      <c r="H87" s="39"/>
      <c r="I87" s="39"/>
      <c r="J87" s="39"/>
      <c r="K87" s="39"/>
    </row>
    <row r="88" spans="1:11">
      <c r="A88" s="100"/>
      <c r="B88" s="100"/>
      <c r="C88" s="100"/>
      <c r="D88" s="100"/>
      <c r="E88" s="39"/>
      <c r="F88" s="39"/>
      <c r="G88" s="39"/>
      <c r="H88" s="39"/>
      <c r="I88" s="39"/>
      <c r="J88" s="39"/>
      <c r="K88" s="39"/>
    </row>
    <row r="89" spans="1:11">
      <c r="A89" s="100"/>
      <c r="B89" s="100"/>
      <c r="C89" s="100"/>
      <c r="D89" s="100"/>
      <c r="E89" s="39"/>
      <c r="F89" s="39"/>
      <c r="G89" s="39"/>
      <c r="H89" s="39"/>
      <c r="I89" s="39"/>
      <c r="J89" s="39"/>
      <c r="K89" s="39"/>
    </row>
    <row r="90" spans="1:11">
      <c r="A90" s="100"/>
      <c r="B90" s="100"/>
      <c r="C90" s="100"/>
      <c r="D90" s="100"/>
      <c r="E90" s="39"/>
      <c r="F90" s="39"/>
      <c r="G90" s="39"/>
      <c r="H90" s="39"/>
      <c r="I90" s="39"/>
      <c r="J90" s="39"/>
      <c r="K90" s="39"/>
    </row>
    <row r="91" spans="1:11">
      <c r="A91" s="100"/>
      <c r="B91" s="100"/>
      <c r="C91" s="100"/>
      <c r="D91" s="100"/>
      <c r="E91" s="39"/>
      <c r="F91" s="39"/>
      <c r="G91" s="39"/>
      <c r="H91" s="39"/>
      <c r="I91" s="39"/>
      <c r="J91" s="39"/>
      <c r="K91" s="39"/>
    </row>
    <row r="92" spans="1:11">
      <c r="A92" s="100"/>
      <c r="B92" s="100"/>
      <c r="C92" s="100"/>
      <c r="D92" s="100"/>
      <c r="E92" s="39"/>
      <c r="F92" s="39"/>
      <c r="G92" s="39"/>
      <c r="H92" s="39"/>
      <c r="I92" s="39"/>
      <c r="J92" s="39"/>
      <c r="K92" s="39"/>
    </row>
    <row r="93" spans="1:11">
      <c r="A93" s="100"/>
      <c r="B93" s="100"/>
      <c r="C93" s="100"/>
      <c r="D93" s="100"/>
      <c r="E93" s="39"/>
      <c r="F93" s="39"/>
      <c r="G93" s="39"/>
      <c r="H93" s="39"/>
      <c r="I93" s="39"/>
      <c r="J93" s="39"/>
      <c r="K93" s="39"/>
    </row>
    <row r="94" spans="1:11">
      <c r="A94" s="100"/>
      <c r="B94" s="100"/>
      <c r="C94" s="100"/>
      <c r="D94" s="100"/>
      <c r="E94" s="39"/>
      <c r="F94" s="39"/>
      <c r="G94" s="39"/>
      <c r="H94" s="39"/>
      <c r="I94" s="39"/>
      <c r="J94" s="39"/>
      <c r="K94" s="39"/>
    </row>
    <row r="95" spans="1:11">
      <c r="A95" s="100"/>
      <c r="B95" s="100"/>
      <c r="C95" s="100"/>
      <c r="D95" s="100"/>
      <c r="E95" s="39"/>
      <c r="F95" s="39"/>
      <c r="G95" s="39"/>
      <c r="H95" s="39"/>
      <c r="I95" s="39"/>
      <c r="J95" s="39"/>
      <c r="K95" s="39"/>
    </row>
    <row r="96" spans="1:11">
      <c r="A96" s="100"/>
      <c r="B96" s="100"/>
      <c r="C96" s="100"/>
      <c r="D96" s="100"/>
      <c r="E96" s="39"/>
      <c r="F96" s="39"/>
      <c r="G96" s="39"/>
      <c r="H96" s="39"/>
      <c r="I96" s="39"/>
      <c r="J96" s="39"/>
      <c r="K96" s="39"/>
    </row>
    <row r="97" spans="1:11">
      <c r="A97" s="100"/>
      <c r="B97" s="100"/>
      <c r="C97" s="100"/>
      <c r="D97" s="100"/>
      <c r="E97" s="39"/>
      <c r="F97" s="39"/>
      <c r="G97" s="39"/>
      <c r="H97" s="39"/>
      <c r="I97" s="39"/>
      <c r="J97" s="39"/>
      <c r="K97" s="39"/>
    </row>
    <row r="98" spans="1:11">
      <c r="A98" s="100"/>
      <c r="B98" s="100"/>
      <c r="C98" s="100"/>
      <c r="D98" s="100"/>
      <c r="E98" s="39"/>
      <c r="F98" s="39"/>
      <c r="G98" s="39"/>
      <c r="H98" s="39"/>
      <c r="I98" s="39"/>
      <c r="J98" s="39"/>
      <c r="K98" s="39"/>
    </row>
  </sheetData>
  <mergeCells count="3">
    <mergeCell ref="A1:K1"/>
    <mergeCell ref="A2:K2"/>
    <mergeCell ref="A3:K3"/>
  </mergeCells>
  <printOptions horizontalCentered="1"/>
  <pageMargins left="0.5" right="0.1" top="0.5" bottom="0" header="0" footer="0"/>
  <pageSetup scale="72" orientation="portrait" r:id="rId1"/>
</worksheet>
</file>

<file path=xl/worksheets/sheet4.xml><?xml version="1.0" encoding="utf-8"?>
<worksheet xmlns="http://schemas.openxmlformats.org/spreadsheetml/2006/main" xmlns:r="http://schemas.openxmlformats.org/officeDocument/2006/relationships">
  <dimension ref="A1:M62"/>
  <sheetViews>
    <sheetView zoomScaleNormal="100" workbookViewId="0">
      <selection activeCell="N2" sqref="N2"/>
    </sheetView>
  </sheetViews>
  <sheetFormatPr defaultColWidth="10.42578125" defaultRowHeight="15"/>
  <cols>
    <col min="1" max="1" width="2.7109375" style="39" customWidth="1"/>
    <col min="2" max="2" width="26.7109375" style="10" customWidth="1"/>
    <col min="3" max="3" width="2.7109375" style="10" customWidth="1"/>
    <col min="4" max="4" width="12.7109375" style="10" customWidth="1"/>
    <col min="5" max="5" width="2.7109375" style="10" customWidth="1"/>
    <col min="6" max="6" width="12.7109375" style="10" customWidth="1"/>
    <col min="7" max="7" width="2.7109375" style="10" customWidth="1"/>
    <col min="8" max="8" width="12.7109375" style="10" customWidth="1"/>
    <col min="9" max="9" width="2.7109375" style="10" customWidth="1"/>
    <col min="10" max="10" width="12.7109375" style="10" customWidth="1"/>
    <col min="11" max="11" width="2.7109375" style="10" customWidth="1"/>
    <col min="12" max="12" width="12.7109375" style="39" customWidth="1"/>
    <col min="13" max="13" width="6.85546875" style="84" customWidth="1"/>
    <col min="14" max="16384" width="10.42578125" style="39"/>
  </cols>
  <sheetData>
    <row r="1" spans="1:13" ht="18.75">
      <c r="B1" s="752" t="s">
        <v>823</v>
      </c>
      <c r="C1" s="752"/>
      <c r="D1" s="752"/>
      <c r="E1" s="752"/>
      <c r="F1" s="752"/>
      <c r="G1" s="752"/>
      <c r="H1" s="752"/>
      <c r="I1" s="752"/>
      <c r="J1" s="752"/>
      <c r="K1" s="752"/>
      <c r="L1" s="752"/>
    </row>
    <row r="2" spans="1:13" ht="22.5">
      <c r="B2" s="753" t="s">
        <v>1371</v>
      </c>
      <c r="C2" s="753"/>
      <c r="D2" s="753"/>
      <c r="E2" s="753"/>
      <c r="F2" s="753"/>
      <c r="G2" s="753"/>
      <c r="H2" s="753"/>
      <c r="I2" s="753"/>
      <c r="J2" s="753"/>
      <c r="K2" s="753"/>
      <c r="L2" s="753"/>
    </row>
    <row r="3" spans="1:13" ht="18.75">
      <c r="B3" s="752" t="s">
        <v>872</v>
      </c>
      <c r="C3" s="752"/>
      <c r="D3" s="752"/>
      <c r="E3" s="752"/>
      <c r="F3" s="752"/>
      <c r="G3" s="752"/>
      <c r="H3" s="752"/>
      <c r="I3" s="752"/>
      <c r="J3" s="752"/>
      <c r="K3" s="752"/>
      <c r="L3" s="752"/>
    </row>
    <row r="4" spans="1:13">
      <c r="B4" s="11"/>
      <c r="C4" s="11"/>
      <c r="D4" s="11"/>
      <c r="E4" s="11"/>
      <c r="F4" s="11"/>
      <c r="G4" s="11"/>
      <c r="H4" s="11"/>
      <c r="I4" s="11"/>
      <c r="J4" s="11"/>
      <c r="K4" s="11"/>
      <c r="L4" s="85"/>
    </row>
    <row r="5" spans="1:13">
      <c r="C5" s="11"/>
      <c r="D5" s="11" t="s">
        <v>873</v>
      </c>
      <c r="E5" s="11"/>
      <c r="F5" s="12" t="s">
        <v>874</v>
      </c>
      <c r="G5" s="11"/>
      <c r="H5" s="11" t="s">
        <v>875</v>
      </c>
      <c r="I5" s="12"/>
      <c r="J5" s="12" t="s">
        <v>876</v>
      </c>
      <c r="K5" s="12"/>
      <c r="L5" s="12" t="s">
        <v>877</v>
      </c>
    </row>
    <row r="6" spans="1:13" ht="15.75" thickBot="1">
      <c r="B6" s="86" t="s">
        <v>825</v>
      </c>
      <c r="C6" s="87"/>
      <c r="D6" s="87" t="s">
        <v>551</v>
      </c>
      <c r="E6" s="86"/>
      <c r="F6" s="86" t="s">
        <v>878</v>
      </c>
      <c r="G6" s="86"/>
      <c r="H6" s="86" t="s">
        <v>548</v>
      </c>
      <c r="I6" s="86"/>
      <c r="J6" s="86" t="s">
        <v>879</v>
      </c>
      <c r="K6" s="86"/>
      <c r="L6" s="86" t="s">
        <v>551</v>
      </c>
    </row>
    <row r="7" spans="1:13">
      <c r="B7" s="21"/>
      <c r="C7" s="88"/>
      <c r="D7" s="88"/>
      <c r="E7" s="21"/>
      <c r="F7" s="21"/>
      <c r="G7" s="21"/>
      <c r="H7" s="21"/>
      <c r="I7" s="21"/>
      <c r="J7" s="21"/>
      <c r="K7" s="21"/>
      <c r="L7" s="21"/>
    </row>
    <row r="8" spans="1:13" ht="24" customHeight="1">
      <c r="A8" s="71" t="s">
        <v>826</v>
      </c>
      <c r="B8" s="1"/>
      <c r="C8" s="77"/>
      <c r="D8" s="89">
        <f>'Fund Cover Sheets'!F32</f>
        <v>5013686</v>
      </c>
      <c r="E8" s="89"/>
      <c r="F8" s="89">
        <f>'Fund Cover Sheets'!G20</f>
        <v>14516822</v>
      </c>
      <c r="G8" s="89"/>
      <c r="H8" s="89">
        <f>'Fund Cover Sheets'!G28</f>
        <v>14803097</v>
      </c>
      <c r="I8" s="89"/>
      <c r="J8" s="89">
        <f>F8-H8</f>
        <v>-286275</v>
      </c>
      <c r="K8" s="89"/>
      <c r="L8" s="90">
        <f>D8+J8</f>
        <v>4727411</v>
      </c>
      <c r="M8" s="91"/>
    </row>
    <row r="9" spans="1:13">
      <c r="A9" s="71"/>
      <c r="B9" s="1"/>
      <c r="C9" s="92"/>
      <c r="D9" s="73"/>
      <c r="E9" s="73"/>
      <c r="F9" s="73"/>
      <c r="G9" s="73"/>
      <c r="H9" s="73"/>
      <c r="I9" s="73"/>
      <c r="J9" s="73"/>
      <c r="K9" s="73"/>
      <c r="L9" s="90"/>
      <c r="M9" s="91"/>
    </row>
    <row r="10" spans="1:13" ht="24" customHeight="1">
      <c r="A10" s="71" t="s">
        <v>827</v>
      </c>
      <c r="B10" s="1"/>
      <c r="C10" s="92"/>
      <c r="D10" s="73"/>
      <c r="E10" s="73"/>
      <c r="F10" s="73"/>
      <c r="G10" s="73"/>
      <c r="H10" s="73"/>
      <c r="I10" s="73"/>
      <c r="J10" s="73"/>
      <c r="K10" s="73"/>
      <c r="L10" s="90"/>
      <c r="M10" s="91"/>
    </row>
    <row r="11" spans="1:13" ht="24" customHeight="1">
      <c r="A11" s="71"/>
      <c r="B11" s="1" t="s">
        <v>748</v>
      </c>
      <c r="C11" s="92"/>
      <c r="D11" s="73">
        <f>'Fund Cover Sheets'!F142</f>
        <v>712082</v>
      </c>
      <c r="E11" s="73"/>
      <c r="F11" s="73">
        <f>'Fund Cover Sheets'!G132</f>
        <v>512577</v>
      </c>
      <c r="G11" s="73"/>
      <c r="H11" s="89">
        <f>'Fund Cover Sheets'!G138</f>
        <v>740580</v>
      </c>
      <c r="I11" s="73"/>
      <c r="J11" s="89">
        <f t="shared" ref="J11:J17" si="0">F11-H11</f>
        <v>-228003</v>
      </c>
      <c r="K11" s="73"/>
      <c r="L11" s="90">
        <f t="shared" ref="L11:L19" si="1">D11+J11</f>
        <v>484079</v>
      </c>
      <c r="M11" s="91"/>
    </row>
    <row r="12" spans="1:13" ht="24" customHeight="1">
      <c r="A12" s="72"/>
      <c r="B12" s="69" t="s">
        <v>828</v>
      </c>
      <c r="C12" s="92"/>
      <c r="D12" s="73">
        <f>'Fund Cover Sheets'!F508</f>
        <v>411262</v>
      </c>
      <c r="E12" s="73"/>
      <c r="F12" s="73">
        <f>'Fund Cover Sheets'!G496</f>
        <v>1654988</v>
      </c>
      <c r="G12" s="73"/>
      <c r="H12" s="89">
        <f>'Fund Cover Sheets'!G504</f>
        <v>1796995</v>
      </c>
      <c r="I12" s="73"/>
      <c r="J12" s="89">
        <f t="shared" si="0"/>
        <v>-142007</v>
      </c>
      <c r="K12" s="73"/>
      <c r="L12" s="90">
        <f t="shared" si="1"/>
        <v>269255</v>
      </c>
      <c r="M12" s="91"/>
    </row>
    <row r="13" spans="1:13" ht="24" customHeight="1">
      <c r="A13" s="72"/>
      <c r="B13" s="69" t="s">
        <v>623</v>
      </c>
      <c r="C13" s="92"/>
      <c r="D13" s="73">
        <f>'Fund Cover Sheets'!F464</f>
        <v>185175</v>
      </c>
      <c r="E13" s="73"/>
      <c r="F13" s="73">
        <f>'Fund Cover Sheets'!G455</f>
        <v>489000</v>
      </c>
      <c r="G13" s="73"/>
      <c r="H13" s="73">
        <f>'Fund Cover Sheets'!G460</f>
        <v>453855</v>
      </c>
      <c r="I13" s="73"/>
      <c r="J13" s="89">
        <f t="shared" si="0"/>
        <v>35145</v>
      </c>
      <c r="K13" s="73"/>
      <c r="L13" s="90">
        <f t="shared" si="1"/>
        <v>220320</v>
      </c>
      <c r="M13" s="91"/>
    </row>
    <row r="14" spans="1:13" ht="24" customHeight="1">
      <c r="A14" s="72"/>
      <c r="B14" s="69" t="s">
        <v>538</v>
      </c>
      <c r="C14" s="92"/>
      <c r="D14" s="73">
        <f>'Fund Cover Sheets'!F717</f>
        <v>-557792</v>
      </c>
      <c r="E14" s="93"/>
      <c r="F14" s="73">
        <f>'Fund Cover Sheets'!G706</f>
        <v>200000</v>
      </c>
      <c r="G14" s="93"/>
      <c r="H14" s="73">
        <f>'Fund Cover Sheets'!G713</f>
        <v>162759</v>
      </c>
      <c r="I14" s="93"/>
      <c r="J14" s="89">
        <f t="shared" si="0"/>
        <v>37241</v>
      </c>
      <c r="K14" s="93"/>
      <c r="L14" s="90">
        <f t="shared" si="1"/>
        <v>-520551</v>
      </c>
      <c r="M14" s="91"/>
    </row>
    <row r="15" spans="1:13" ht="24" customHeight="1">
      <c r="A15" s="72"/>
      <c r="B15" s="69" t="s">
        <v>543</v>
      </c>
      <c r="C15" s="92"/>
      <c r="D15" s="73">
        <f>'Fund Cover Sheets'!F756</f>
        <v>-105516</v>
      </c>
      <c r="E15" s="94"/>
      <c r="F15" s="73">
        <f>'Fund Cover Sheets'!G746</f>
        <v>70050</v>
      </c>
      <c r="G15" s="94"/>
      <c r="H15" s="73">
        <f>'Fund Cover Sheets'!G752</f>
        <v>52780</v>
      </c>
      <c r="I15" s="94"/>
      <c r="J15" s="89">
        <f t="shared" si="0"/>
        <v>17270</v>
      </c>
      <c r="K15" s="94"/>
      <c r="L15" s="90">
        <f t="shared" si="1"/>
        <v>-88246</v>
      </c>
      <c r="M15" s="91"/>
    </row>
    <row r="16" spans="1:13" ht="24" customHeight="1">
      <c r="A16" s="72"/>
      <c r="B16" s="69" t="s">
        <v>829</v>
      </c>
      <c r="C16" s="83"/>
      <c r="D16" s="73">
        <f>'Fund Cover Sheets'!F67</f>
        <v>-12140</v>
      </c>
      <c r="E16" s="3"/>
      <c r="F16" s="3">
        <f>'Fund Cover Sheets'!G59</f>
        <v>7073</v>
      </c>
      <c r="G16" s="3"/>
      <c r="H16" s="3">
        <f>'Fund Cover Sheets'!G63</f>
        <v>4833</v>
      </c>
      <c r="I16" s="3"/>
      <c r="J16" s="89">
        <f t="shared" si="0"/>
        <v>2240</v>
      </c>
      <c r="K16" s="3"/>
      <c r="L16" s="90">
        <f t="shared" si="1"/>
        <v>-9900</v>
      </c>
      <c r="M16" s="91"/>
    </row>
    <row r="17" spans="1:13" ht="24" customHeight="1">
      <c r="A17" s="72"/>
      <c r="B17" s="69" t="s">
        <v>830</v>
      </c>
      <c r="C17" s="83"/>
      <c r="D17" s="73">
        <f>'Fund Cover Sheets'!F103</f>
        <v>-39357</v>
      </c>
      <c r="E17" s="8"/>
      <c r="F17" s="3">
        <f>'Fund Cover Sheets'!G95</f>
        <v>20392</v>
      </c>
      <c r="G17" s="8"/>
      <c r="H17" s="3">
        <f>'Fund Cover Sheets'!G99</f>
        <v>17534</v>
      </c>
      <c r="I17" s="8"/>
      <c r="J17" s="89">
        <f t="shared" si="0"/>
        <v>2858</v>
      </c>
      <c r="K17" s="8"/>
      <c r="L17" s="90">
        <f t="shared" si="1"/>
        <v>-36499</v>
      </c>
      <c r="M17" s="91"/>
    </row>
    <row r="18" spans="1:13">
      <c r="A18" s="72"/>
      <c r="B18" s="69"/>
      <c r="C18" s="83"/>
      <c r="D18" s="3"/>
      <c r="E18" s="3"/>
      <c r="F18" s="3"/>
      <c r="G18" s="3"/>
      <c r="H18" s="3"/>
      <c r="I18" s="3"/>
      <c r="J18" s="89"/>
      <c r="K18" s="3"/>
      <c r="L18" s="90"/>
      <c r="M18" s="91"/>
    </row>
    <row r="19" spans="1:13" ht="24" customHeight="1">
      <c r="A19" s="71" t="s">
        <v>831</v>
      </c>
      <c r="B19" s="64"/>
      <c r="C19" s="92"/>
      <c r="D19" s="73">
        <f>'Fund Cover Sheets'!F328</f>
        <v>0</v>
      </c>
      <c r="E19" s="73"/>
      <c r="F19" s="73">
        <f>'Fund Cover Sheets'!G318</f>
        <v>320675</v>
      </c>
      <c r="G19" s="73"/>
      <c r="H19" s="73">
        <f>'Fund Cover Sheets'!G324</f>
        <v>320675</v>
      </c>
      <c r="I19" s="73"/>
      <c r="J19" s="89">
        <f>F19-H19</f>
        <v>0</v>
      </c>
      <c r="K19" s="73"/>
      <c r="L19" s="90">
        <f t="shared" si="1"/>
        <v>0</v>
      </c>
      <c r="M19" s="91"/>
    </row>
    <row r="20" spans="1:13">
      <c r="A20" s="72"/>
      <c r="B20" s="64"/>
      <c r="C20" s="83"/>
      <c r="D20" s="3"/>
      <c r="E20" s="95"/>
      <c r="F20" s="3"/>
      <c r="G20" s="95"/>
      <c r="H20" s="95"/>
      <c r="I20" s="95"/>
      <c r="J20" s="89"/>
      <c r="K20" s="95"/>
      <c r="L20" s="90"/>
      <c r="M20" s="91"/>
    </row>
    <row r="21" spans="1:13" ht="24" customHeight="1">
      <c r="A21" s="71" t="s">
        <v>832</v>
      </c>
      <c r="B21" s="64"/>
      <c r="C21" s="83"/>
      <c r="D21" s="3"/>
      <c r="E21" s="3"/>
      <c r="F21" s="3"/>
      <c r="G21" s="3"/>
      <c r="H21" s="3"/>
      <c r="I21" s="3"/>
      <c r="J21" s="89"/>
      <c r="K21" s="3"/>
      <c r="L21" s="90"/>
      <c r="M21" s="91"/>
    </row>
    <row r="22" spans="1:13" ht="24" customHeight="1">
      <c r="A22" s="72"/>
      <c r="B22" s="69" t="s">
        <v>967</v>
      </c>
      <c r="C22" s="83"/>
      <c r="D22" s="3">
        <f>'Fund Cover Sheets'!F290</f>
        <v>52734</v>
      </c>
      <c r="E22" s="3"/>
      <c r="F22" s="3">
        <f>'Fund Cover Sheets'!G259</f>
        <v>140883</v>
      </c>
      <c r="G22" s="3"/>
      <c r="H22" s="3">
        <f>'Fund Cover Sheets'!G280</f>
        <v>193617</v>
      </c>
      <c r="I22" s="3"/>
      <c r="J22" s="89">
        <f>F22-H22</f>
        <v>-52734</v>
      </c>
      <c r="K22" s="3"/>
      <c r="L22" s="90">
        <f>D22+J22</f>
        <v>0</v>
      </c>
      <c r="M22" s="91"/>
    </row>
    <row r="23" spans="1:13" s="10" customFormat="1" ht="24" customHeight="1">
      <c r="A23" s="72"/>
      <c r="B23" s="69" t="s">
        <v>835</v>
      </c>
      <c r="C23" s="6"/>
      <c r="D23" s="3">
        <f>'Fund Cover Sheets'!F224</f>
        <v>2622218</v>
      </c>
      <c r="E23" s="2"/>
      <c r="F23" s="2">
        <f>'Fund Cover Sheets'!G208</f>
        <v>1823662</v>
      </c>
      <c r="G23" s="2"/>
      <c r="H23" s="2">
        <f>'Fund Cover Sheets'!G216</f>
        <v>3796671</v>
      </c>
      <c r="I23" s="2"/>
      <c r="J23" s="89">
        <f>F23-H23</f>
        <v>-1973009</v>
      </c>
      <c r="K23" s="2"/>
      <c r="L23" s="90">
        <f>D23+J23</f>
        <v>649209</v>
      </c>
      <c r="M23" s="80"/>
    </row>
    <row r="24" spans="1:13">
      <c r="A24" s="1"/>
      <c r="B24" s="69"/>
      <c r="C24" s="92"/>
      <c r="D24" s="73"/>
      <c r="E24" s="73"/>
      <c r="F24" s="73"/>
      <c r="G24" s="73"/>
      <c r="H24" s="73"/>
      <c r="I24" s="73"/>
      <c r="J24" s="89"/>
      <c r="K24" s="73"/>
      <c r="L24" s="90"/>
      <c r="M24" s="91"/>
    </row>
    <row r="25" spans="1:13" ht="24" customHeight="1">
      <c r="A25" s="71" t="s">
        <v>882</v>
      </c>
      <c r="B25" s="69"/>
      <c r="C25" s="92"/>
      <c r="D25" s="73"/>
      <c r="E25" s="73"/>
      <c r="F25" s="73"/>
      <c r="G25" s="73"/>
      <c r="H25" s="73"/>
      <c r="I25" s="73"/>
      <c r="J25" s="73"/>
      <c r="K25" s="73"/>
      <c r="L25" s="90"/>
      <c r="M25" s="91"/>
    </row>
    <row r="26" spans="1:13" ht="24" customHeight="1">
      <c r="A26" s="1"/>
      <c r="B26" s="69" t="s">
        <v>621</v>
      </c>
      <c r="C26" s="92"/>
      <c r="D26" s="73">
        <f>'Fund Cover Sheets'!F373</f>
        <v>4410766</v>
      </c>
      <c r="E26" s="73"/>
      <c r="F26" s="73">
        <f>'Fund Cover Sheets'!G359</f>
        <v>3794908</v>
      </c>
      <c r="G26" s="73"/>
      <c r="H26" s="73">
        <f>'Fund Cover Sheets'!G369</f>
        <v>6445269</v>
      </c>
      <c r="I26" s="73"/>
      <c r="J26" s="89">
        <f>F26-H26</f>
        <v>-2650361</v>
      </c>
      <c r="K26" s="73"/>
      <c r="L26" s="90">
        <f>D26+J26</f>
        <v>1760405</v>
      </c>
      <c r="M26" s="91"/>
    </row>
    <row r="27" spans="1:13" ht="24" customHeight="1">
      <c r="A27" s="1"/>
      <c r="B27" s="69" t="s">
        <v>622</v>
      </c>
      <c r="C27" s="92"/>
      <c r="D27" s="73">
        <f>'Fund Cover Sheets'!F420</f>
        <v>1407327</v>
      </c>
      <c r="E27" s="73"/>
      <c r="F27" s="73">
        <f>'Fund Cover Sheets'!G405</f>
        <v>2534994</v>
      </c>
      <c r="G27" s="73"/>
      <c r="H27" s="73">
        <f>'Fund Cover Sheets'!G416</f>
        <v>2965298</v>
      </c>
      <c r="I27" s="73"/>
      <c r="J27" s="89">
        <f>F27-H27</f>
        <v>-430304</v>
      </c>
      <c r="K27" s="73"/>
      <c r="L27" s="90">
        <f>D27+J27</f>
        <v>977023</v>
      </c>
      <c r="M27" s="91"/>
    </row>
    <row r="28" spans="1:13" ht="30" customHeight="1">
      <c r="A28" s="1"/>
      <c r="B28" s="69"/>
      <c r="C28" s="92"/>
      <c r="D28" s="73"/>
      <c r="E28" s="73"/>
      <c r="F28" s="73"/>
      <c r="G28" s="73"/>
      <c r="H28" s="73"/>
      <c r="I28" s="73"/>
      <c r="J28" s="89"/>
      <c r="K28" s="73"/>
      <c r="L28" s="90"/>
      <c r="M28" s="91"/>
    </row>
    <row r="29" spans="1:13" ht="24" customHeight="1">
      <c r="A29" s="71" t="s">
        <v>837</v>
      </c>
      <c r="B29" s="69"/>
      <c r="C29" s="92"/>
      <c r="D29" s="73"/>
      <c r="E29" s="73"/>
      <c r="F29" s="73"/>
      <c r="G29" s="73"/>
      <c r="H29" s="73"/>
      <c r="I29" s="73"/>
      <c r="J29" s="89"/>
      <c r="K29" s="73"/>
      <c r="L29" s="90"/>
      <c r="M29" s="91"/>
    </row>
    <row r="30" spans="1:13" ht="24" customHeight="1">
      <c r="A30" s="71"/>
      <c r="B30" s="69" t="s">
        <v>614</v>
      </c>
      <c r="C30" s="92"/>
      <c r="D30" s="73">
        <f>'Fund Cover Sheets'!F598</f>
        <v>460782</v>
      </c>
      <c r="E30" s="73"/>
      <c r="F30" s="73">
        <f>'Fund Cover Sheets'!G586</f>
        <v>731887</v>
      </c>
      <c r="G30" s="73"/>
      <c r="H30" s="73">
        <f>'Fund Cover Sheets'!G594</f>
        <v>756943</v>
      </c>
      <c r="I30" s="73"/>
      <c r="J30" s="89">
        <f>F30-H30</f>
        <v>-25056</v>
      </c>
      <c r="K30" s="73"/>
      <c r="L30" s="90">
        <f>D30+J30</f>
        <v>435726</v>
      </c>
      <c r="M30" s="91"/>
    </row>
    <row r="31" spans="1:13" ht="24" customHeight="1">
      <c r="A31" s="71"/>
      <c r="B31" s="69" t="s">
        <v>536</v>
      </c>
      <c r="C31" s="92"/>
      <c r="D31" s="73">
        <f>'Fund Cover Sheets'!F637</f>
        <v>0</v>
      </c>
      <c r="E31" s="73"/>
      <c r="F31" s="73">
        <f>'Fund Cover Sheets'!G629</f>
        <v>752771</v>
      </c>
      <c r="G31" s="73"/>
      <c r="H31" s="73">
        <f>'Fund Cover Sheets'!G633</f>
        <v>752771</v>
      </c>
      <c r="I31" s="73"/>
      <c r="J31" s="89">
        <f>F31-H31</f>
        <v>0</v>
      </c>
      <c r="K31" s="73"/>
      <c r="L31" s="90">
        <f>D31+J31</f>
        <v>0</v>
      </c>
      <c r="M31" s="91"/>
    </row>
    <row r="32" spans="1:13" ht="24" customHeight="1">
      <c r="A32" s="71"/>
      <c r="B32" s="69" t="s">
        <v>838</v>
      </c>
      <c r="C32" s="92"/>
      <c r="D32" s="73">
        <f>'Fund Cover Sheets'!F676</f>
        <v>20829</v>
      </c>
      <c r="E32" s="73"/>
      <c r="F32" s="73">
        <f>'Fund Cover Sheets'!G667</f>
        <v>20010</v>
      </c>
      <c r="G32" s="73"/>
      <c r="H32" s="73">
        <f>'Fund Cover Sheets'!G672</f>
        <v>11895</v>
      </c>
      <c r="I32" s="73"/>
      <c r="J32" s="89">
        <f>F32-H32</f>
        <v>8115</v>
      </c>
      <c r="K32" s="73"/>
      <c r="L32" s="90">
        <f>D32+J32</f>
        <v>28944</v>
      </c>
      <c r="M32" s="91"/>
    </row>
    <row r="33" spans="1:13" ht="15" customHeight="1">
      <c r="A33" s="72"/>
      <c r="B33" s="74"/>
      <c r="C33" s="83"/>
      <c r="D33" s="3"/>
      <c r="E33" s="3"/>
      <c r="F33" s="3"/>
      <c r="G33" s="3"/>
      <c r="H33" s="3"/>
      <c r="I33" s="3"/>
      <c r="J33" s="3"/>
      <c r="K33" s="3"/>
      <c r="L33" s="73"/>
      <c r="M33" s="91"/>
    </row>
    <row r="34" spans="1:13" ht="24" customHeight="1" thickBot="1">
      <c r="A34" s="72"/>
      <c r="B34" s="96" t="s">
        <v>880</v>
      </c>
      <c r="C34" s="97"/>
      <c r="D34" s="98">
        <f>SUM(D8:D33)</f>
        <v>14582056</v>
      </c>
      <c r="E34" s="98"/>
      <c r="F34" s="98">
        <f>SUM(F8:F33)</f>
        <v>27590692</v>
      </c>
      <c r="G34" s="98"/>
      <c r="H34" s="98">
        <f>SUM(H8:H33)</f>
        <v>33275572</v>
      </c>
      <c r="I34" s="98"/>
      <c r="J34" s="98">
        <f>SUM(J8:J33)</f>
        <v>-5684880</v>
      </c>
      <c r="K34" s="98"/>
      <c r="L34" s="98">
        <f>SUM(L8:L33)</f>
        <v>8897176</v>
      </c>
      <c r="M34" s="91"/>
    </row>
    <row r="35" spans="1:13" ht="15" customHeight="1" thickTop="1">
      <c r="A35" s="72"/>
      <c r="B35" s="1"/>
      <c r="C35" s="77"/>
      <c r="D35" s="89"/>
      <c r="E35" s="89"/>
      <c r="F35" s="89"/>
      <c r="G35" s="89"/>
      <c r="H35" s="89"/>
      <c r="I35" s="89"/>
      <c r="J35" s="89"/>
      <c r="K35" s="89"/>
      <c r="L35" s="90"/>
      <c r="M35" s="91"/>
    </row>
    <row r="36" spans="1:13" ht="15" customHeight="1">
      <c r="A36" s="110" t="s">
        <v>883</v>
      </c>
      <c r="B36" s="111" t="s">
        <v>982</v>
      </c>
      <c r="C36" s="92"/>
      <c r="D36" s="73"/>
      <c r="E36" s="73"/>
      <c r="F36" s="73"/>
      <c r="G36" s="73"/>
      <c r="H36" s="73"/>
      <c r="I36" s="73"/>
      <c r="J36" s="73"/>
      <c r="K36" s="73"/>
      <c r="L36" s="73"/>
      <c r="M36" s="90"/>
    </row>
    <row r="37" spans="1:13" ht="12" customHeight="1">
      <c r="A37" s="72"/>
      <c r="B37" s="1"/>
      <c r="C37" s="77"/>
      <c r="D37" s="89"/>
      <c r="E37" s="89"/>
      <c r="F37" s="73"/>
      <c r="G37" s="89"/>
      <c r="H37" s="89"/>
      <c r="I37" s="89"/>
      <c r="J37" s="89"/>
      <c r="K37" s="89"/>
      <c r="L37" s="90"/>
      <c r="M37" s="91"/>
    </row>
    <row r="38" spans="1:13" ht="12" customHeight="1">
      <c r="A38" s="72"/>
      <c r="B38" s="1"/>
      <c r="C38" s="77"/>
      <c r="D38" s="89"/>
      <c r="E38" s="89"/>
      <c r="F38" s="73"/>
      <c r="G38" s="89"/>
      <c r="H38" s="89"/>
      <c r="I38" s="89"/>
      <c r="J38" s="89"/>
      <c r="K38" s="89"/>
      <c r="L38" s="90"/>
      <c r="M38" s="91"/>
    </row>
    <row r="39" spans="1:13">
      <c r="A39" s="72"/>
      <c r="B39" s="9"/>
      <c r="C39" s="119"/>
      <c r="D39" s="119"/>
      <c r="E39" s="119"/>
      <c r="F39" s="119"/>
      <c r="G39" s="119"/>
      <c r="H39" s="119"/>
      <c r="I39" s="119"/>
      <c r="J39" s="119"/>
      <c r="K39" s="119"/>
      <c r="L39" s="120"/>
      <c r="M39" s="121"/>
    </row>
    <row r="40" spans="1:13">
      <c r="A40" s="72"/>
      <c r="B40" s="9"/>
      <c r="C40" s="119"/>
      <c r="D40" s="119"/>
      <c r="E40" s="119"/>
      <c r="F40" s="119"/>
      <c r="G40" s="119"/>
      <c r="H40" s="119"/>
      <c r="I40" s="119"/>
      <c r="J40" s="119"/>
      <c r="K40" s="119"/>
      <c r="L40" s="120"/>
      <c r="M40" s="121"/>
    </row>
    <row r="41" spans="1:13">
      <c r="A41" s="72"/>
      <c r="B41" s="9"/>
      <c r="C41" s="119"/>
      <c r="D41" s="119"/>
      <c r="E41" s="119"/>
      <c r="F41" s="119"/>
      <c r="G41" s="119"/>
      <c r="H41" s="119"/>
      <c r="I41" s="119"/>
      <c r="J41" s="119"/>
      <c r="K41" s="119"/>
      <c r="L41" s="120"/>
      <c r="M41" s="121"/>
    </row>
    <row r="42" spans="1:13">
      <c r="A42" s="72"/>
      <c r="B42" s="9"/>
      <c r="C42" s="119"/>
      <c r="D42" s="119"/>
      <c r="E42" s="119"/>
      <c r="F42" s="119"/>
      <c r="G42" s="119"/>
      <c r="H42" s="119"/>
      <c r="I42" s="119"/>
      <c r="J42" s="119"/>
      <c r="K42" s="119"/>
      <c r="L42" s="120"/>
      <c r="M42" s="121"/>
    </row>
    <row r="43" spans="1:13">
      <c r="A43" s="72"/>
      <c r="B43" s="1"/>
      <c r="C43" s="77"/>
      <c r="D43" s="77"/>
      <c r="E43" s="77"/>
      <c r="F43" s="77"/>
      <c r="G43" s="77"/>
      <c r="H43" s="77"/>
      <c r="I43" s="77"/>
      <c r="J43" s="77"/>
      <c r="K43" s="77"/>
      <c r="L43" s="72"/>
    </row>
    <row r="44" spans="1:13">
      <c r="C44" s="99"/>
      <c r="D44" s="99"/>
      <c r="E44" s="99"/>
      <c r="F44" s="99"/>
      <c r="G44" s="99"/>
      <c r="H44" s="99"/>
      <c r="I44" s="99"/>
      <c r="J44" s="99"/>
      <c r="K44" s="99"/>
    </row>
    <row r="45" spans="1:13">
      <c r="C45" s="99"/>
      <c r="D45" s="99"/>
      <c r="E45" s="99"/>
      <c r="F45" s="99"/>
      <c r="G45" s="99"/>
      <c r="H45" s="99"/>
      <c r="I45" s="99"/>
      <c r="J45" s="99"/>
      <c r="K45" s="99"/>
    </row>
    <row r="46" spans="1:13">
      <c r="C46" s="99"/>
      <c r="D46" s="99"/>
      <c r="E46" s="99"/>
      <c r="F46" s="99"/>
      <c r="G46" s="99"/>
      <c r="H46" s="99"/>
      <c r="I46" s="99"/>
      <c r="J46" s="99"/>
      <c r="K46" s="99"/>
    </row>
    <row r="47" spans="1:13">
      <c r="C47" s="99"/>
      <c r="D47" s="99"/>
      <c r="E47" s="99"/>
      <c r="F47" s="99"/>
      <c r="G47" s="99"/>
      <c r="H47" s="99"/>
      <c r="I47" s="99"/>
      <c r="J47" s="99"/>
      <c r="K47" s="99"/>
    </row>
    <row r="48" spans="1:13">
      <c r="C48" s="99"/>
      <c r="D48" s="99"/>
      <c r="E48" s="99"/>
      <c r="F48" s="99"/>
      <c r="G48" s="99"/>
      <c r="H48" s="99"/>
      <c r="I48" s="99"/>
      <c r="J48" s="99"/>
      <c r="K48" s="99"/>
    </row>
    <row r="49" spans="3:11">
      <c r="C49" s="99"/>
      <c r="D49" s="99"/>
      <c r="E49" s="99"/>
      <c r="F49" s="99"/>
      <c r="G49" s="99"/>
      <c r="H49" s="99"/>
      <c r="I49" s="99"/>
      <c r="J49" s="99"/>
      <c r="K49" s="99"/>
    </row>
    <row r="50" spans="3:11">
      <c r="C50" s="99"/>
      <c r="D50" s="99"/>
      <c r="E50" s="99"/>
      <c r="F50" s="99"/>
      <c r="G50" s="99"/>
      <c r="H50" s="99"/>
      <c r="I50" s="99"/>
      <c r="J50" s="99"/>
      <c r="K50" s="99"/>
    </row>
    <row r="51" spans="3:11">
      <c r="C51" s="99"/>
      <c r="D51" s="99"/>
      <c r="E51" s="99"/>
      <c r="F51" s="99"/>
      <c r="G51" s="99"/>
      <c r="H51" s="99"/>
      <c r="I51" s="99"/>
      <c r="J51" s="99"/>
      <c r="K51" s="99"/>
    </row>
    <row r="52" spans="3:11">
      <c r="C52" s="99"/>
      <c r="D52" s="99"/>
      <c r="E52" s="99"/>
      <c r="F52" s="99"/>
      <c r="G52" s="99"/>
      <c r="H52" s="99"/>
      <c r="I52" s="99"/>
      <c r="J52" s="99"/>
      <c r="K52" s="99"/>
    </row>
    <row r="53" spans="3:11">
      <c r="C53" s="99"/>
      <c r="D53" s="99"/>
      <c r="E53" s="99"/>
      <c r="F53" s="99"/>
      <c r="G53" s="99"/>
      <c r="H53" s="99"/>
      <c r="I53" s="99"/>
      <c r="J53" s="99"/>
      <c r="K53" s="99"/>
    </row>
    <row r="54" spans="3:11">
      <c r="C54" s="99"/>
      <c r="D54" s="99"/>
      <c r="E54" s="99"/>
      <c r="F54" s="99"/>
      <c r="G54" s="99"/>
      <c r="H54" s="99"/>
      <c r="I54" s="99"/>
      <c r="J54" s="99"/>
      <c r="K54" s="99"/>
    </row>
    <row r="55" spans="3:11">
      <c r="C55" s="99"/>
      <c r="D55" s="99"/>
      <c r="E55" s="99"/>
      <c r="F55" s="99"/>
      <c r="G55" s="99"/>
      <c r="H55" s="99"/>
      <c r="I55" s="99"/>
      <c r="J55" s="99"/>
      <c r="K55" s="99"/>
    </row>
    <row r="56" spans="3:11">
      <c r="C56" s="99"/>
      <c r="D56" s="99"/>
      <c r="E56" s="99"/>
      <c r="F56" s="99"/>
      <c r="G56" s="99"/>
      <c r="H56" s="99"/>
      <c r="I56" s="99"/>
      <c r="J56" s="99"/>
      <c r="K56" s="99"/>
    </row>
    <row r="57" spans="3:11">
      <c r="C57" s="99"/>
      <c r="D57" s="99"/>
      <c r="E57" s="99"/>
      <c r="F57" s="99"/>
      <c r="G57" s="99"/>
      <c r="H57" s="99"/>
      <c r="I57" s="99"/>
      <c r="J57" s="99"/>
      <c r="K57" s="99"/>
    </row>
    <row r="58" spans="3:11">
      <c r="C58" s="99"/>
      <c r="D58" s="99"/>
      <c r="E58" s="99"/>
      <c r="F58" s="99"/>
      <c r="G58" s="99"/>
      <c r="H58" s="99"/>
      <c r="I58" s="99"/>
      <c r="J58" s="99"/>
      <c r="K58" s="99"/>
    </row>
    <row r="59" spans="3:11">
      <c r="C59" s="99"/>
      <c r="D59" s="99"/>
      <c r="E59" s="99"/>
      <c r="F59" s="99"/>
      <c r="G59" s="99"/>
      <c r="H59" s="99"/>
      <c r="I59" s="99"/>
      <c r="J59" s="99"/>
      <c r="K59" s="99"/>
    </row>
    <row r="60" spans="3:11">
      <c r="C60" s="99"/>
      <c r="D60" s="99"/>
      <c r="E60" s="99"/>
      <c r="F60" s="99"/>
      <c r="G60" s="99"/>
      <c r="H60" s="99"/>
      <c r="I60" s="99"/>
      <c r="J60" s="99"/>
      <c r="K60" s="99"/>
    </row>
    <row r="61" spans="3:11">
      <c r="C61" s="99"/>
      <c r="D61" s="99"/>
      <c r="E61" s="99"/>
      <c r="F61" s="99"/>
      <c r="G61" s="99"/>
      <c r="H61" s="99"/>
      <c r="I61" s="99"/>
      <c r="J61" s="99"/>
      <c r="K61" s="99"/>
    </row>
    <row r="62" spans="3:11">
      <c r="C62" s="99"/>
      <c r="D62" s="99"/>
      <c r="E62" s="99"/>
      <c r="F62" s="99"/>
      <c r="G62" s="99"/>
      <c r="H62" s="99"/>
      <c r="I62" s="99"/>
      <c r="J62" s="99"/>
      <c r="K62" s="99"/>
    </row>
  </sheetData>
  <mergeCells count="3">
    <mergeCell ref="B1:L1"/>
    <mergeCell ref="B2:L2"/>
    <mergeCell ref="B3:L3"/>
  </mergeCells>
  <printOptions horizontalCentered="1"/>
  <pageMargins left="0" right="0.1" top="0.5" bottom="0" header="0" footer="0"/>
  <pageSetup scale="90" orientation="portrait" r:id="rId1"/>
</worksheet>
</file>

<file path=xl/worksheets/sheet5.xml><?xml version="1.0" encoding="utf-8"?>
<worksheet xmlns="http://schemas.openxmlformats.org/spreadsheetml/2006/main" xmlns:r="http://schemas.openxmlformats.org/officeDocument/2006/relationships">
  <dimension ref="A1:K767"/>
  <sheetViews>
    <sheetView zoomScale="75" zoomScaleNormal="75" zoomScaleSheetLayoutView="75" workbookViewId="0">
      <selection activeCell="M4" sqref="M4"/>
    </sheetView>
  </sheetViews>
  <sheetFormatPr defaultRowHeight="12.75"/>
  <cols>
    <col min="1" max="1" width="3.7109375" style="26" customWidth="1"/>
    <col min="2" max="2" width="32.7109375" style="26" customWidth="1"/>
    <col min="3" max="4" width="12.7109375" style="36" customWidth="1"/>
    <col min="5" max="11" width="12.7109375" style="37" customWidth="1"/>
    <col min="12" max="16384" width="9.140625" style="26"/>
  </cols>
  <sheetData>
    <row r="1" spans="1:11" ht="18.75" customHeight="1">
      <c r="A1" s="13"/>
      <c r="B1" s="759" t="s">
        <v>814</v>
      </c>
      <c r="C1" s="759"/>
      <c r="D1" s="759"/>
      <c r="E1" s="759"/>
      <c r="F1" s="759"/>
      <c r="G1" s="759"/>
      <c r="H1" s="759"/>
      <c r="I1" s="759"/>
      <c r="J1" s="759"/>
      <c r="K1" s="759"/>
    </row>
    <row r="2" spans="1:11" ht="18.75">
      <c r="A2" s="13"/>
      <c r="B2" s="38"/>
      <c r="C2" s="52"/>
      <c r="D2" s="53"/>
      <c r="E2" s="53"/>
      <c r="F2" s="54"/>
      <c r="G2" s="54"/>
      <c r="H2" s="54"/>
      <c r="I2" s="54"/>
      <c r="J2" s="54"/>
      <c r="K2" s="54"/>
    </row>
    <row r="3" spans="1:11" ht="15" customHeight="1">
      <c r="A3" s="13"/>
      <c r="B3" s="761" t="s">
        <v>1189</v>
      </c>
      <c r="C3" s="761"/>
      <c r="D3" s="761"/>
      <c r="E3" s="761"/>
      <c r="F3" s="761"/>
      <c r="G3" s="761"/>
      <c r="H3" s="761"/>
      <c r="I3" s="761"/>
      <c r="J3" s="761"/>
      <c r="K3" s="761"/>
    </row>
    <row r="4" spans="1:11" ht="15">
      <c r="A4" s="13"/>
      <c r="B4" s="761"/>
      <c r="C4" s="761"/>
      <c r="D4" s="761"/>
      <c r="E4" s="761"/>
      <c r="F4" s="761"/>
      <c r="G4" s="761"/>
      <c r="H4" s="761"/>
      <c r="I4" s="761"/>
      <c r="J4" s="761"/>
      <c r="K4" s="761"/>
    </row>
    <row r="5" spans="1:11" ht="15">
      <c r="A5" s="13"/>
      <c r="B5" s="761"/>
      <c r="C5" s="761"/>
      <c r="D5" s="761"/>
      <c r="E5" s="761"/>
      <c r="F5" s="761"/>
      <c r="G5" s="761"/>
      <c r="H5" s="761"/>
      <c r="I5" s="761"/>
      <c r="J5" s="761"/>
      <c r="K5" s="761"/>
    </row>
    <row r="6" spans="1:11" ht="15">
      <c r="A6" s="13"/>
      <c r="B6" s="40"/>
      <c r="C6" s="55"/>
      <c r="D6" s="55"/>
      <c r="E6" s="55"/>
      <c r="F6" s="54"/>
      <c r="G6" s="54"/>
      <c r="H6" s="54"/>
      <c r="I6" s="54"/>
      <c r="J6" s="54"/>
      <c r="K6" s="54"/>
    </row>
    <row r="7" spans="1:11" ht="15">
      <c r="A7" s="13"/>
      <c r="B7" s="10"/>
      <c r="C7" s="65"/>
      <c r="D7" s="66"/>
      <c r="E7" s="65" t="s">
        <v>257</v>
      </c>
      <c r="F7" s="1"/>
      <c r="G7" s="1"/>
      <c r="H7" s="1"/>
      <c r="I7" s="1"/>
      <c r="J7" s="1"/>
      <c r="K7" s="1"/>
    </row>
    <row r="8" spans="1:11" ht="15">
      <c r="A8" s="13"/>
      <c r="B8" s="12"/>
      <c r="C8" s="65" t="s">
        <v>249</v>
      </c>
      <c r="D8" s="49" t="s">
        <v>256</v>
      </c>
      <c r="E8" s="66" t="s">
        <v>763</v>
      </c>
      <c r="F8" s="66" t="s">
        <v>257</v>
      </c>
      <c r="G8" s="66" t="s">
        <v>258</v>
      </c>
      <c r="H8" s="66" t="s">
        <v>926</v>
      </c>
      <c r="I8" s="66" t="s">
        <v>1026</v>
      </c>
      <c r="J8" s="66" t="s">
        <v>1060</v>
      </c>
      <c r="K8" s="66" t="s">
        <v>1061</v>
      </c>
    </row>
    <row r="9" spans="1:11" ht="15.75" thickBot="1">
      <c r="A9" s="13"/>
      <c r="B9" s="41"/>
      <c r="C9" s="68" t="s">
        <v>1</v>
      </c>
      <c r="D9" s="68" t="s">
        <v>1</v>
      </c>
      <c r="E9" s="68" t="s">
        <v>720</v>
      </c>
      <c r="F9" s="68" t="s">
        <v>19</v>
      </c>
      <c r="G9" s="68" t="str">
        <f>'Fund Cover Sheets'!$M$1</f>
        <v>Adopted</v>
      </c>
      <c r="H9" s="68" t="s">
        <v>19</v>
      </c>
      <c r="I9" s="68" t="s">
        <v>19</v>
      </c>
      <c r="J9" s="68" t="s">
        <v>19</v>
      </c>
      <c r="K9" s="68" t="s">
        <v>19</v>
      </c>
    </row>
    <row r="10" spans="1:11" ht="15">
      <c r="A10" s="13"/>
      <c r="B10" s="10"/>
      <c r="C10" s="45"/>
      <c r="D10" s="45"/>
      <c r="E10" s="45"/>
      <c r="F10" s="54"/>
      <c r="G10" s="54"/>
      <c r="H10" s="54"/>
      <c r="I10" s="54"/>
      <c r="J10" s="54"/>
      <c r="K10" s="54"/>
    </row>
    <row r="11" spans="1:11" ht="15">
      <c r="A11" s="13"/>
      <c r="B11" s="42" t="s">
        <v>548</v>
      </c>
      <c r="C11" s="45"/>
      <c r="D11" s="45"/>
      <c r="E11" s="45"/>
      <c r="F11" s="54"/>
      <c r="G11" s="54"/>
      <c r="H11" s="54"/>
      <c r="I11" s="54"/>
      <c r="J11" s="54"/>
      <c r="K11" s="54"/>
    </row>
    <row r="12" spans="1:11" ht="20.100000000000001" customHeight="1">
      <c r="A12" s="13"/>
      <c r="B12" s="14" t="s">
        <v>775</v>
      </c>
      <c r="C12" s="2">
        <f>SUM('Budget Detail FY 2014-21'!L62:L69)</f>
        <v>364083</v>
      </c>
      <c r="D12" s="2">
        <f>SUM('Budget Detail FY 2014-21'!M62:M69)</f>
        <v>364718</v>
      </c>
      <c r="E12" s="2">
        <f>SUM('Budget Detail FY 2014-21'!N62:N69)</f>
        <v>420487</v>
      </c>
      <c r="F12" s="2">
        <f>SUM('Budget Detail FY 2014-21'!O62:O69)</f>
        <v>414987</v>
      </c>
      <c r="G12" s="2">
        <f>SUM('Budget Detail FY 2014-21'!P62:P69)</f>
        <v>425839</v>
      </c>
      <c r="H12" s="2">
        <f>SUM('Budget Detail FY 2014-21'!Q62:Q69)</f>
        <v>459582</v>
      </c>
      <c r="I12" s="2">
        <f>SUM('Budget Detail FY 2014-21'!R62:R69)</f>
        <v>470009</v>
      </c>
      <c r="J12" s="2">
        <f>SUM('Budget Detail FY 2014-21'!S62:S69)</f>
        <v>480749</v>
      </c>
      <c r="K12" s="2">
        <f>SUM('Budget Detail FY 2014-21'!T62:T69)</f>
        <v>491811</v>
      </c>
    </row>
    <row r="13" spans="1:11" ht="20.100000000000001" customHeight="1">
      <c r="A13" s="13"/>
      <c r="B13" s="14" t="s">
        <v>776</v>
      </c>
      <c r="C13" s="2">
        <f>SUM('Budget Detail FY 2014-21'!L70:L79)</f>
        <v>219042</v>
      </c>
      <c r="D13" s="2">
        <f>SUM('Budget Detail FY 2014-21'!M70:M79)</f>
        <v>242710</v>
      </c>
      <c r="E13" s="2">
        <f>SUM('Budget Detail FY 2014-21'!N70:N79)</f>
        <v>166566</v>
      </c>
      <c r="F13" s="2">
        <f>SUM('Budget Detail FY 2014-21'!O70:O79)</f>
        <v>162858</v>
      </c>
      <c r="G13" s="2">
        <f>SUM('Budget Detail FY 2014-21'!P70:P79)</f>
        <v>165333</v>
      </c>
      <c r="H13" s="2">
        <f>SUM('Budget Detail FY 2014-21'!Q70:Q79)</f>
        <v>180572</v>
      </c>
      <c r="I13" s="2">
        <f>SUM('Budget Detail FY 2014-21'!R70:R79)</f>
        <v>192704</v>
      </c>
      <c r="J13" s="2">
        <f>SUM('Budget Detail FY 2014-21'!S70:S79)</f>
        <v>205726</v>
      </c>
      <c r="K13" s="2">
        <f>SUM('Budget Detail FY 2014-21'!T70:T79)</f>
        <v>219663</v>
      </c>
    </row>
    <row r="14" spans="1:11" ht="20.100000000000001" customHeight="1">
      <c r="A14" s="13"/>
      <c r="B14" s="14" t="s">
        <v>777</v>
      </c>
      <c r="C14" s="2">
        <f>SUM('Budget Detail FY 2014-21'!L80:L95)</f>
        <v>136733</v>
      </c>
      <c r="D14" s="2">
        <f>SUM('Budget Detail FY 2014-21'!M80:M95)</f>
        <v>126845</v>
      </c>
      <c r="E14" s="2">
        <f>SUM('Budget Detail FY 2014-21'!N80:N95)</f>
        <v>151039</v>
      </c>
      <c r="F14" s="2">
        <f>SUM('Budget Detail FY 2014-21'!O80:O95)</f>
        <v>151039</v>
      </c>
      <c r="G14" s="2">
        <f>SUM('Budget Detail FY 2014-21'!P80:P95)</f>
        <v>183921</v>
      </c>
      <c r="H14" s="2">
        <f>SUM('Budget Detail FY 2014-21'!Q80:Q95)</f>
        <v>164786</v>
      </c>
      <c r="I14" s="2">
        <f>SUM('Budget Detail FY 2014-21'!R80:R95)</f>
        <v>156339</v>
      </c>
      <c r="J14" s="2">
        <f>SUM('Budget Detail FY 2014-21'!S80:S95)</f>
        <v>157985</v>
      </c>
      <c r="K14" s="2">
        <f>SUM('Budget Detail FY 2014-21'!T80:T95)</f>
        <v>159730</v>
      </c>
    </row>
    <row r="15" spans="1:11" ht="20.100000000000001" customHeight="1">
      <c r="A15" s="13"/>
      <c r="B15" s="43" t="s">
        <v>778</v>
      </c>
      <c r="C15" s="2">
        <f>SUM('Budget Detail FY 2014-21'!L96:L97)</f>
        <v>8287</v>
      </c>
      <c r="D15" s="2">
        <f>SUM('Budget Detail FY 2014-21'!M96:M97)</f>
        <v>7198</v>
      </c>
      <c r="E15" s="2">
        <f>SUM('Budget Detail FY 2014-21'!N96:N97)</f>
        <v>11850</v>
      </c>
      <c r="F15" s="2">
        <f>SUM('Budget Detail FY 2014-21'!O96:O97)</f>
        <v>11850</v>
      </c>
      <c r="G15" s="2">
        <f>SUM('Budget Detail FY 2014-21'!P96:P97)</f>
        <v>10850</v>
      </c>
      <c r="H15" s="2">
        <f>SUM('Budget Detail FY 2014-21'!Q96:Q97)</f>
        <v>10850</v>
      </c>
      <c r="I15" s="2">
        <f>SUM('Budget Detail FY 2014-21'!R96:R97)</f>
        <v>10850</v>
      </c>
      <c r="J15" s="2">
        <f>SUM('Budget Detail FY 2014-21'!S96:S97)</f>
        <v>10850</v>
      </c>
      <c r="K15" s="2">
        <f>SUM('Budget Detail FY 2014-21'!T96:T97)</f>
        <v>10850</v>
      </c>
    </row>
    <row r="16" spans="1:11" s="114" customFormat="1" ht="20.100000000000001" customHeight="1" thickBot="1">
      <c r="A16" s="112"/>
      <c r="B16" s="113" t="s">
        <v>815</v>
      </c>
      <c r="C16" s="81">
        <f>SUM(C12:C15)</f>
        <v>728145</v>
      </c>
      <c r="D16" s="81">
        <f t="shared" ref="D16:J16" si="0">SUM(D12:D15)</f>
        <v>741471</v>
      </c>
      <c r="E16" s="81">
        <f t="shared" si="0"/>
        <v>749942</v>
      </c>
      <c r="F16" s="81">
        <f>SUM(F12:F15)</f>
        <v>740734</v>
      </c>
      <c r="G16" s="81">
        <f t="shared" si="0"/>
        <v>785943</v>
      </c>
      <c r="H16" s="81">
        <f t="shared" si="0"/>
        <v>815790</v>
      </c>
      <c r="I16" s="81">
        <f t="shared" si="0"/>
        <v>829902</v>
      </c>
      <c r="J16" s="81">
        <f t="shared" si="0"/>
        <v>855310</v>
      </c>
      <c r="K16" s="81">
        <f>SUM(K12:K15)</f>
        <v>882054</v>
      </c>
    </row>
    <row r="17" spans="1:11" s="114" customFormat="1" ht="15" thickTop="1">
      <c r="A17" s="112"/>
      <c r="B17" s="16"/>
      <c r="C17" s="123"/>
      <c r="D17" s="123"/>
      <c r="E17" s="123"/>
      <c r="F17" s="123"/>
      <c r="G17" s="123"/>
      <c r="H17" s="123"/>
      <c r="I17" s="123"/>
      <c r="J17" s="123"/>
      <c r="K17" s="123"/>
    </row>
    <row r="18" spans="1:11" ht="15">
      <c r="A18" s="13"/>
      <c r="B18" s="15"/>
      <c r="C18" s="56"/>
      <c r="D18" s="56"/>
      <c r="E18" s="56"/>
      <c r="F18" s="54"/>
      <c r="G18" s="54"/>
      <c r="H18" s="54"/>
      <c r="I18" s="54"/>
      <c r="J18" s="54"/>
      <c r="K18" s="54"/>
    </row>
    <row r="19" spans="1:11" ht="15">
      <c r="A19" s="13"/>
      <c r="B19" s="10"/>
      <c r="C19" s="45"/>
      <c r="D19" s="45"/>
      <c r="E19" s="45"/>
      <c r="F19" s="54"/>
      <c r="G19" s="54"/>
      <c r="H19" s="54"/>
      <c r="I19" s="54"/>
      <c r="J19" s="54"/>
      <c r="K19" s="54"/>
    </row>
    <row r="20" spans="1:11" ht="15">
      <c r="A20" s="13"/>
      <c r="B20" s="10"/>
      <c r="C20" s="45"/>
      <c r="D20" s="45"/>
      <c r="E20" s="45"/>
      <c r="F20" s="54"/>
      <c r="G20" s="54"/>
      <c r="H20" s="54"/>
      <c r="I20" s="54"/>
      <c r="J20" s="54"/>
      <c r="K20" s="54"/>
    </row>
    <row r="21" spans="1:11" ht="15">
      <c r="A21" s="13"/>
      <c r="B21" s="10"/>
      <c r="C21" s="45"/>
      <c r="D21" s="45"/>
      <c r="E21" s="45"/>
      <c r="F21" s="54"/>
      <c r="G21" s="54"/>
      <c r="H21" s="54"/>
      <c r="I21" s="54"/>
      <c r="J21" s="54"/>
      <c r="K21" s="54"/>
    </row>
    <row r="22" spans="1:11" ht="15">
      <c r="A22" s="13"/>
      <c r="B22" s="10"/>
      <c r="C22" s="45"/>
      <c r="D22" s="45"/>
      <c r="E22" s="45"/>
      <c r="F22" s="54"/>
      <c r="G22" s="54"/>
      <c r="H22" s="54"/>
      <c r="I22" s="54"/>
      <c r="J22" s="54"/>
      <c r="K22" s="54"/>
    </row>
    <row r="23" spans="1:11" ht="15">
      <c r="A23" s="13"/>
      <c r="B23" s="10"/>
      <c r="C23" s="45"/>
      <c r="D23" s="45"/>
      <c r="E23" s="45"/>
      <c r="F23" s="54"/>
      <c r="G23" s="54"/>
      <c r="H23" s="54"/>
      <c r="I23" s="54"/>
      <c r="J23" s="54"/>
      <c r="K23" s="54"/>
    </row>
    <row r="24" spans="1:11" ht="15">
      <c r="A24" s="13"/>
      <c r="B24" s="10"/>
      <c r="C24" s="45"/>
      <c r="D24" s="45"/>
      <c r="E24" s="45"/>
      <c r="F24" s="54"/>
      <c r="G24" s="54"/>
      <c r="H24" s="54"/>
      <c r="I24" s="54"/>
      <c r="J24" s="54"/>
      <c r="K24" s="54"/>
    </row>
    <row r="25" spans="1:11" ht="15">
      <c r="A25" s="13"/>
      <c r="B25" s="10"/>
      <c r="C25" s="45"/>
      <c r="D25" s="45"/>
      <c r="E25" s="45"/>
      <c r="F25" s="54"/>
      <c r="G25" s="54"/>
      <c r="H25" s="54"/>
      <c r="I25" s="54"/>
      <c r="J25" s="54"/>
      <c r="K25" s="54"/>
    </row>
    <row r="26" spans="1:11" ht="15">
      <c r="A26" s="13"/>
      <c r="B26" s="10"/>
      <c r="C26" s="45"/>
      <c r="D26" s="45"/>
      <c r="E26" s="45"/>
      <c r="F26" s="54"/>
      <c r="G26" s="54"/>
      <c r="H26" s="54"/>
      <c r="I26" s="54"/>
      <c r="J26" s="54"/>
      <c r="K26" s="54"/>
    </row>
    <row r="27" spans="1:11" ht="15">
      <c r="A27" s="13"/>
      <c r="B27" s="10"/>
      <c r="C27" s="45"/>
      <c r="D27" s="45"/>
      <c r="E27" s="45"/>
      <c r="F27" s="54"/>
      <c r="G27" s="54"/>
      <c r="H27" s="54"/>
      <c r="I27" s="54"/>
      <c r="J27" s="54"/>
      <c r="K27" s="54"/>
    </row>
    <row r="28" spans="1:11" ht="15">
      <c r="A28" s="13"/>
      <c r="B28" s="10"/>
      <c r="C28" s="45"/>
      <c r="D28" s="45"/>
      <c r="E28" s="45"/>
      <c r="F28" s="54"/>
      <c r="G28" s="54"/>
      <c r="H28" s="54"/>
      <c r="I28" s="54"/>
      <c r="J28" s="54"/>
      <c r="K28" s="54"/>
    </row>
    <row r="29" spans="1:11" ht="15">
      <c r="A29" s="13"/>
      <c r="B29" s="10"/>
      <c r="C29" s="45"/>
      <c r="D29" s="45"/>
      <c r="E29" s="45"/>
      <c r="F29" s="54"/>
      <c r="G29" s="54"/>
      <c r="H29" s="54"/>
      <c r="I29" s="54"/>
      <c r="J29" s="54"/>
      <c r="K29" s="54"/>
    </row>
    <row r="30" spans="1:11" ht="15">
      <c r="A30" s="13"/>
      <c r="B30" s="10"/>
      <c r="C30" s="45"/>
      <c r="D30" s="45"/>
      <c r="E30" s="45"/>
      <c r="F30" s="54"/>
      <c r="G30" s="54"/>
      <c r="H30" s="54"/>
      <c r="I30" s="54"/>
      <c r="J30" s="54"/>
      <c r="K30" s="54"/>
    </row>
    <row r="31" spans="1:11" ht="15">
      <c r="A31" s="13"/>
      <c r="B31"/>
      <c r="C31" s="25"/>
      <c r="D31" s="25"/>
      <c r="E31" s="25"/>
      <c r="F31" s="25"/>
      <c r="G31" s="25"/>
      <c r="H31" s="54"/>
      <c r="I31" s="54"/>
      <c r="J31" s="54"/>
      <c r="K31" s="54"/>
    </row>
    <row r="32" spans="1:11" ht="18.75">
      <c r="A32" s="13"/>
      <c r="B32" s="762" t="s">
        <v>816</v>
      </c>
      <c r="C32" s="762"/>
      <c r="D32" s="762"/>
      <c r="E32" s="762"/>
      <c r="F32" s="762"/>
      <c r="G32" s="762"/>
      <c r="H32" s="762"/>
      <c r="I32" s="762"/>
      <c r="J32" s="762"/>
      <c r="K32" s="762"/>
    </row>
    <row r="33" spans="1:11" ht="15">
      <c r="A33" s="13"/>
      <c r="B33" s="39"/>
      <c r="C33" s="54"/>
      <c r="D33" s="54"/>
      <c r="E33" s="54"/>
      <c r="F33" s="54"/>
      <c r="G33" s="54"/>
      <c r="H33" s="54"/>
      <c r="I33" s="54"/>
      <c r="J33" s="54"/>
      <c r="K33" s="54"/>
    </row>
    <row r="34" spans="1:11" ht="15" customHeight="1">
      <c r="A34" s="13"/>
      <c r="B34" s="761" t="s">
        <v>1190</v>
      </c>
      <c r="C34" s="761"/>
      <c r="D34" s="761"/>
      <c r="E34" s="761"/>
      <c r="F34" s="761"/>
      <c r="G34" s="761"/>
      <c r="H34" s="761"/>
      <c r="I34" s="761"/>
      <c r="J34" s="761"/>
      <c r="K34" s="761"/>
    </row>
    <row r="35" spans="1:11" ht="15">
      <c r="A35" s="13"/>
      <c r="B35" s="761"/>
      <c r="C35" s="761"/>
      <c r="D35" s="761"/>
      <c r="E35" s="761"/>
      <c r="F35" s="761"/>
      <c r="G35" s="761"/>
      <c r="H35" s="761"/>
      <c r="I35" s="761"/>
      <c r="J35" s="761"/>
      <c r="K35" s="761"/>
    </row>
    <row r="36" spans="1:11" ht="15">
      <c r="A36" s="13"/>
      <c r="B36" s="761"/>
      <c r="C36" s="761"/>
      <c r="D36" s="761"/>
      <c r="E36" s="761"/>
      <c r="F36" s="761"/>
      <c r="G36" s="761"/>
      <c r="H36" s="761"/>
      <c r="I36" s="761"/>
      <c r="J36" s="761"/>
      <c r="K36" s="761"/>
    </row>
    <row r="37" spans="1:11" ht="15">
      <c r="A37" s="13"/>
      <c r="B37" s="44"/>
      <c r="C37" s="57"/>
      <c r="D37" s="57"/>
      <c r="E37" s="57"/>
      <c r="F37" s="54"/>
      <c r="G37" s="54"/>
      <c r="H37" s="54"/>
      <c r="I37" s="54"/>
      <c r="J37" s="54"/>
      <c r="K37" s="54"/>
    </row>
    <row r="38" spans="1:11" ht="15">
      <c r="A38" s="13"/>
      <c r="B38" s="10"/>
      <c r="C38" s="65"/>
      <c r="D38" s="66"/>
      <c r="E38" s="65" t="s">
        <v>257</v>
      </c>
      <c r="F38" s="1"/>
      <c r="G38" s="1"/>
      <c r="H38" s="1"/>
      <c r="I38" s="1"/>
      <c r="J38" s="1"/>
      <c r="K38" s="1"/>
    </row>
    <row r="39" spans="1:11" ht="15">
      <c r="A39" s="13"/>
      <c r="B39" s="12"/>
      <c r="C39" s="65" t="s">
        <v>249</v>
      </c>
      <c r="D39" s="49" t="s">
        <v>256</v>
      </c>
      <c r="E39" s="66" t="s">
        <v>763</v>
      </c>
      <c r="F39" s="66" t="s">
        <v>257</v>
      </c>
      <c r="G39" s="66" t="s">
        <v>258</v>
      </c>
      <c r="H39" s="66" t="s">
        <v>926</v>
      </c>
      <c r="I39" s="66" t="s">
        <v>1026</v>
      </c>
      <c r="J39" s="66" t="s">
        <v>1060</v>
      </c>
      <c r="K39" s="66" t="s">
        <v>1061</v>
      </c>
    </row>
    <row r="40" spans="1:11" ht="15.75" thickBot="1">
      <c r="A40" s="13"/>
      <c r="B40" s="41"/>
      <c r="C40" s="68" t="s">
        <v>1</v>
      </c>
      <c r="D40" s="68" t="s">
        <v>1</v>
      </c>
      <c r="E40" s="68" t="s">
        <v>720</v>
      </c>
      <c r="F40" s="68" t="s">
        <v>19</v>
      </c>
      <c r="G40" s="68" t="str">
        <f>'Fund Cover Sheets'!$M$1</f>
        <v>Adopted</v>
      </c>
      <c r="H40" s="68" t="s">
        <v>19</v>
      </c>
      <c r="I40" s="68" t="s">
        <v>19</v>
      </c>
      <c r="J40" s="68" t="s">
        <v>19</v>
      </c>
      <c r="K40" s="68" t="s">
        <v>19</v>
      </c>
    </row>
    <row r="41" spans="1:11" ht="15">
      <c r="A41" s="13"/>
      <c r="B41" s="10"/>
      <c r="C41" s="45"/>
      <c r="D41" s="45"/>
      <c r="E41" s="45"/>
      <c r="F41" s="54"/>
      <c r="G41" s="54"/>
      <c r="H41" s="54"/>
      <c r="I41" s="54"/>
      <c r="J41" s="54"/>
      <c r="K41" s="54"/>
    </row>
    <row r="42" spans="1:11" ht="15">
      <c r="A42" s="13"/>
      <c r="B42" s="42" t="s">
        <v>548</v>
      </c>
      <c r="C42" s="45"/>
      <c r="D42" s="45"/>
      <c r="E42" s="45"/>
      <c r="F42" s="54"/>
      <c r="G42" s="54"/>
      <c r="H42" s="54"/>
      <c r="I42" s="54"/>
      <c r="J42" s="54"/>
      <c r="K42" s="54"/>
    </row>
    <row r="43" spans="1:11" ht="20.100000000000001" customHeight="1">
      <c r="A43" s="13"/>
      <c r="B43" s="14" t="s">
        <v>775</v>
      </c>
      <c r="C43" s="2">
        <f>'Budget Detail FY 2014-21'!L101</f>
        <v>193692</v>
      </c>
      <c r="D43" s="2">
        <f>'Budget Detail FY 2014-21'!M101</f>
        <v>206925</v>
      </c>
      <c r="E43" s="2">
        <f>'Budget Detail FY 2014-21'!N101</f>
        <v>217491</v>
      </c>
      <c r="F43" s="2">
        <f>'Budget Detail FY 2014-21'!O101</f>
        <v>217491</v>
      </c>
      <c r="G43" s="2">
        <f>'Budget Detail FY 2014-21'!P101</f>
        <v>233718</v>
      </c>
      <c r="H43" s="2">
        <f>'Budget Detail FY 2014-21'!Q101</f>
        <v>241746</v>
      </c>
      <c r="I43" s="2">
        <f>'Budget Detail FY 2014-21'!R101</f>
        <v>248998</v>
      </c>
      <c r="J43" s="2">
        <f>'Budget Detail FY 2014-21'!S101</f>
        <v>256468</v>
      </c>
      <c r="K43" s="2">
        <f>'Budget Detail FY 2014-21'!T101</f>
        <v>264162</v>
      </c>
    </row>
    <row r="44" spans="1:11" ht="20.100000000000001" customHeight="1">
      <c r="A44" s="13"/>
      <c r="B44" s="14" t="s">
        <v>776</v>
      </c>
      <c r="C44" s="2">
        <f>SUM('Budget Detail FY 2014-21'!L102:L107)</f>
        <v>70446</v>
      </c>
      <c r="D44" s="2">
        <f>SUM('Budget Detail FY 2014-21'!M102:M107)</f>
        <v>72251</v>
      </c>
      <c r="E44" s="2">
        <f>SUM('Budget Detail FY 2014-21'!N102:N107)</f>
        <v>80365</v>
      </c>
      <c r="F44" s="2">
        <f>SUM('Budget Detail FY 2014-21'!O102:O107)</f>
        <v>75685</v>
      </c>
      <c r="G44" s="2">
        <f>SUM('Budget Detail FY 2014-21'!P102:P107)</f>
        <v>83961</v>
      </c>
      <c r="H44" s="2">
        <f>SUM('Budget Detail FY 2014-21'!Q102:Q107)</f>
        <v>89445</v>
      </c>
      <c r="I44" s="2">
        <f>SUM('Budget Detail FY 2014-21'!R102:R107)</f>
        <v>95204</v>
      </c>
      <c r="J44" s="2">
        <f>SUM('Budget Detail FY 2014-21'!S102:S107)</f>
        <v>101376</v>
      </c>
      <c r="K44" s="2">
        <f>SUM('Budget Detail FY 2014-21'!T102:T107)</f>
        <v>107960</v>
      </c>
    </row>
    <row r="45" spans="1:11" ht="20.100000000000001" customHeight="1">
      <c r="A45" s="13"/>
      <c r="B45" s="14" t="s">
        <v>777</v>
      </c>
      <c r="C45" s="2">
        <f>SUM('Budget Detail FY 2014-21'!L108:L116)</f>
        <v>60214</v>
      </c>
      <c r="D45" s="2">
        <f>SUM('Budget Detail FY 2014-21'!M108:M116)</f>
        <v>73736</v>
      </c>
      <c r="E45" s="2">
        <f>SUM('Budget Detail FY 2014-21'!N108:N116)</f>
        <v>87050</v>
      </c>
      <c r="F45" s="2">
        <f>SUM('Budget Detail FY 2014-21'!O108:O116)</f>
        <v>83750</v>
      </c>
      <c r="G45" s="2">
        <f>SUM('Budget Detail FY 2014-21'!P108:P116)</f>
        <v>92700</v>
      </c>
      <c r="H45" s="2">
        <f>SUM('Budget Detail FY 2014-21'!Q108:Q116)</f>
        <v>95300</v>
      </c>
      <c r="I45" s="2">
        <f>SUM('Budget Detail FY 2014-21'!R108:R116)</f>
        <v>95300</v>
      </c>
      <c r="J45" s="2">
        <f>SUM('Budget Detail FY 2014-21'!S108:S116)</f>
        <v>95300</v>
      </c>
      <c r="K45" s="2">
        <f>SUM('Budget Detail FY 2014-21'!T108:T116)</f>
        <v>95300</v>
      </c>
    </row>
    <row r="46" spans="1:11" ht="20.100000000000001" customHeight="1">
      <c r="B46" s="14" t="s">
        <v>778</v>
      </c>
      <c r="C46" s="2">
        <f>SUM('Budget Detail FY 2014-21'!L117:L118)</f>
        <v>3336</v>
      </c>
      <c r="D46" s="2">
        <f>SUM('Budget Detail FY 2014-21'!M117:M118)</f>
        <v>2691</v>
      </c>
      <c r="E46" s="2">
        <f>SUM('Budget Detail FY 2014-21'!N117:N118)</f>
        <v>3600</v>
      </c>
      <c r="F46" s="2">
        <f>SUM('Budget Detail FY 2014-21'!O117:O118)</f>
        <v>3600</v>
      </c>
      <c r="G46" s="2">
        <f>SUM('Budget Detail FY 2014-21'!P117:P118)</f>
        <v>3450</v>
      </c>
      <c r="H46" s="2">
        <f>SUM('Budget Detail FY 2014-21'!Q117:Q118)</f>
        <v>3450</v>
      </c>
      <c r="I46" s="2">
        <f>SUM('Budget Detail FY 2014-21'!R117:R118)</f>
        <v>3450</v>
      </c>
      <c r="J46" s="2">
        <f>SUM('Budget Detail FY 2014-21'!S117:S118)</f>
        <v>3450</v>
      </c>
      <c r="K46" s="2">
        <f>SUM('Budget Detail FY 2014-21'!T117:T118)</f>
        <v>3450</v>
      </c>
    </row>
    <row r="47" spans="1:11" s="114" customFormat="1" ht="20.100000000000001" customHeight="1" thickBot="1">
      <c r="B47" s="115" t="s">
        <v>928</v>
      </c>
      <c r="C47" s="81">
        <f t="shared" ref="C47:J47" si="1">SUM(C43:C46)</f>
        <v>327688</v>
      </c>
      <c r="D47" s="81">
        <f>SUM(D43:D46)</f>
        <v>355603</v>
      </c>
      <c r="E47" s="81">
        <f t="shared" si="1"/>
        <v>388506</v>
      </c>
      <c r="F47" s="81">
        <f t="shared" si="1"/>
        <v>380526</v>
      </c>
      <c r="G47" s="81">
        <f t="shared" si="1"/>
        <v>413829</v>
      </c>
      <c r="H47" s="81">
        <f t="shared" si="1"/>
        <v>429941</v>
      </c>
      <c r="I47" s="81">
        <f t="shared" si="1"/>
        <v>442952</v>
      </c>
      <c r="J47" s="81">
        <f t="shared" si="1"/>
        <v>456594</v>
      </c>
      <c r="K47" s="81">
        <f>SUM(K43:K46)</f>
        <v>470872</v>
      </c>
    </row>
    <row r="48" spans="1:11" s="114" customFormat="1" ht="15" thickTop="1">
      <c r="B48" s="16"/>
      <c r="C48" s="123"/>
      <c r="D48" s="123"/>
      <c r="E48" s="123"/>
      <c r="F48" s="123"/>
      <c r="G48" s="123"/>
      <c r="H48" s="123"/>
      <c r="I48" s="123"/>
      <c r="J48" s="123"/>
      <c r="K48" s="123"/>
    </row>
    <row r="49" spans="2:11" ht="15">
      <c r="B49" s="10"/>
      <c r="C49" s="45"/>
      <c r="D49" s="45"/>
      <c r="E49" s="45"/>
      <c r="F49" s="54"/>
      <c r="G49" s="54"/>
      <c r="H49" s="54"/>
      <c r="I49" s="54"/>
      <c r="J49" s="54"/>
      <c r="K49" s="54"/>
    </row>
    <row r="50" spans="2:11" ht="15">
      <c r="B50" s="10"/>
      <c r="C50" s="45"/>
      <c r="D50" s="45"/>
      <c r="E50" s="45"/>
      <c r="F50" s="54"/>
      <c r="G50" s="54"/>
      <c r="H50" s="54"/>
      <c r="I50" s="54"/>
      <c r="J50" s="54"/>
      <c r="K50" s="54"/>
    </row>
    <row r="51" spans="2:11" ht="12.75" customHeight="1">
      <c r="B51" s="10"/>
      <c r="C51" s="45"/>
      <c r="D51" s="45"/>
      <c r="E51" s="45"/>
      <c r="F51" s="54"/>
      <c r="G51" s="54"/>
      <c r="H51" s="54"/>
      <c r="I51" s="54"/>
      <c r="J51" s="54"/>
      <c r="K51" s="54"/>
    </row>
    <row r="52" spans="2:11" ht="17.25" customHeight="1">
      <c r="B52" s="10"/>
      <c r="C52" s="45"/>
      <c r="D52" s="45"/>
      <c r="E52" s="45"/>
      <c r="F52" s="54"/>
      <c r="G52" s="54"/>
      <c r="H52" s="54"/>
      <c r="I52" s="54"/>
      <c r="J52" s="54"/>
      <c r="K52" s="54"/>
    </row>
    <row r="53" spans="2:11" ht="15">
      <c r="B53" s="10"/>
      <c r="C53" s="45"/>
      <c r="D53" s="45"/>
      <c r="E53" s="45"/>
      <c r="F53" s="54"/>
      <c r="G53" s="54"/>
      <c r="H53" s="54"/>
      <c r="I53" s="54"/>
      <c r="J53" s="54"/>
      <c r="K53" s="54"/>
    </row>
    <row r="54" spans="2:11" ht="15">
      <c r="B54" s="10"/>
      <c r="C54" s="45"/>
      <c r="D54" s="45"/>
      <c r="E54" s="45"/>
      <c r="F54" s="54"/>
      <c r="G54" s="54"/>
      <c r="H54" s="54"/>
      <c r="I54" s="54"/>
      <c r="J54" s="54"/>
      <c r="K54" s="54"/>
    </row>
    <row r="55" spans="2:11" ht="15">
      <c r="B55" s="10"/>
      <c r="C55" s="45"/>
      <c r="D55" s="45"/>
      <c r="E55" s="45"/>
      <c r="F55" s="54"/>
      <c r="G55" s="54"/>
      <c r="H55" s="54"/>
      <c r="I55" s="54"/>
      <c r="J55" s="54"/>
      <c r="K55" s="54"/>
    </row>
    <row r="56" spans="2:11" ht="15">
      <c r="B56" s="10"/>
      <c r="C56" s="45"/>
      <c r="D56" s="45"/>
      <c r="E56" s="45"/>
      <c r="F56" s="54"/>
      <c r="G56" s="54"/>
      <c r="H56" s="54"/>
      <c r="I56" s="54"/>
      <c r="J56" s="54"/>
      <c r="K56" s="54"/>
    </row>
    <row r="57" spans="2:11" ht="15">
      <c r="B57" s="10"/>
      <c r="C57" s="45"/>
      <c r="D57" s="45"/>
      <c r="E57" s="45"/>
      <c r="F57" s="54"/>
      <c r="G57" s="54"/>
      <c r="H57" s="54"/>
      <c r="I57" s="54"/>
      <c r="J57" s="54"/>
      <c r="K57" s="54"/>
    </row>
    <row r="58" spans="2:11" ht="15">
      <c r="B58" s="10"/>
      <c r="C58" s="45"/>
      <c r="D58" s="45"/>
      <c r="E58" s="45"/>
      <c r="F58" s="54"/>
      <c r="G58" s="54"/>
      <c r="H58" s="54"/>
      <c r="I58" s="54"/>
      <c r="J58" s="54"/>
      <c r="K58" s="54"/>
    </row>
    <row r="59" spans="2:11" ht="15">
      <c r="B59" s="10"/>
      <c r="C59" s="45"/>
      <c r="D59" s="45"/>
      <c r="E59" s="45"/>
      <c r="F59" s="54"/>
      <c r="G59" s="54"/>
      <c r="H59" s="54"/>
      <c r="I59" s="54"/>
      <c r="J59" s="54"/>
      <c r="K59" s="54"/>
    </row>
    <row r="60" spans="2:11" ht="15">
      <c r="B60" s="10"/>
      <c r="C60" s="45"/>
      <c r="D60" s="45"/>
      <c r="E60" s="45"/>
      <c r="F60" s="54"/>
      <c r="G60" s="54"/>
      <c r="H60" s="54"/>
      <c r="I60" s="54"/>
      <c r="J60" s="54"/>
      <c r="K60" s="54"/>
    </row>
    <row r="61" spans="2:11" ht="18.75">
      <c r="B61" s="756" t="s">
        <v>817</v>
      </c>
      <c r="C61" s="756"/>
      <c r="D61" s="756"/>
      <c r="E61" s="756"/>
      <c r="F61" s="756"/>
      <c r="G61" s="756"/>
      <c r="H61" s="756"/>
      <c r="I61" s="756"/>
      <c r="J61" s="756"/>
      <c r="K61" s="756"/>
    </row>
    <row r="62" spans="2:11" ht="15">
      <c r="B62" s="39"/>
      <c r="C62" s="54"/>
      <c r="D62" s="54"/>
      <c r="E62" s="54"/>
      <c r="F62" s="54"/>
      <c r="G62" s="54"/>
      <c r="H62" s="54"/>
      <c r="I62" s="54"/>
      <c r="J62" s="54"/>
      <c r="K62" s="54"/>
    </row>
    <row r="63" spans="2:11" ht="12.75" customHeight="1">
      <c r="B63" s="757" t="s">
        <v>1191</v>
      </c>
      <c r="C63" s="757"/>
      <c r="D63" s="757"/>
      <c r="E63" s="757"/>
      <c r="F63" s="757"/>
      <c r="G63" s="757"/>
      <c r="H63" s="757"/>
      <c r="I63" s="757"/>
      <c r="J63" s="757"/>
      <c r="K63" s="757"/>
    </row>
    <row r="64" spans="2:11" ht="18.75" customHeight="1">
      <c r="B64" s="757"/>
      <c r="C64" s="757"/>
      <c r="D64" s="757"/>
      <c r="E64" s="757"/>
      <c r="F64" s="757"/>
      <c r="G64" s="757"/>
      <c r="H64" s="757"/>
      <c r="I64" s="757"/>
      <c r="J64" s="757"/>
      <c r="K64" s="757"/>
    </row>
    <row r="65" spans="2:11" ht="15">
      <c r="B65" s="46"/>
      <c r="C65" s="58"/>
      <c r="D65" s="58"/>
      <c r="E65" s="58"/>
      <c r="F65" s="54"/>
      <c r="G65" s="54"/>
      <c r="H65" s="54"/>
      <c r="I65" s="54"/>
      <c r="J65" s="54"/>
      <c r="K65" s="54"/>
    </row>
    <row r="66" spans="2:11" ht="15">
      <c r="B66" s="10"/>
      <c r="C66" s="65"/>
      <c r="D66" s="66"/>
      <c r="E66" s="65" t="s">
        <v>257</v>
      </c>
      <c r="F66" s="1"/>
      <c r="G66" s="1"/>
      <c r="H66" s="1"/>
      <c r="I66" s="1"/>
      <c r="J66" s="1"/>
      <c r="K66" s="1"/>
    </row>
    <row r="67" spans="2:11" ht="15">
      <c r="B67" s="12"/>
      <c r="C67" s="65" t="s">
        <v>249</v>
      </c>
      <c r="D67" s="49" t="s">
        <v>256</v>
      </c>
      <c r="E67" s="66" t="s">
        <v>763</v>
      </c>
      <c r="F67" s="66" t="s">
        <v>257</v>
      </c>
      <c r="G67" s="66" t="s">
        <v>258</v>
      </c>
      <c r="H67" s="66" t="s">
        <v>926</v>
      </c>
      <c r="I67" s="66" t="s">
        <v>1026</v>
      </c>
      <c r="J67" s="66" t="s">
        <v>1060</v>
      </c>
      <c r="K67" s="66" t="s">
        <v>1061</v>
      </c>
    </row>
    <row r="68" spans="2:11" ht="15.75" thickBot="1">
      <c r="B68" s="41"/>
      <c r="C68" s="68" t="s">
        <v>1</v>
      </c>
      <c r="D68" s="68" t="s">
        <v>1</v>
      </c>
      <c r="E68" s="68" t="s">
        <v>720</v>
      </c>
      <c r="F68" s="68" t="s">
        <v>19</v>
      </c>
      <c r="G68" s="68" t="str">
        <f>'Fund Cover Sheets'!$M$1</f>
        <v>Adopted</v>
      </c>
      <c r="H68" s="68" t="s">
        <v>19</v>
      </c>
      <c r="I68" s="68" t="s">
        <v>19</v>
      </c>
      <c r="J68" s="68" t="s">
        <v>19</v>
      </c>
      <c r="K68" s="68" t="s">
        <v>19</v>
      </c>
    </row>
    <row r="69" spans="2:11" ht="15">
      <c r="B69" s="10"/>
      <c r="C69" s="45"/>
      <c r="D69" s="45"/>
      <c r="E69" s="45"/>
      <c r="F69" s="54"/>
      <c r="G69" s="54"/>
      <c r="H69" s="54"/>
      <c r="I69" s="54"/>
      <c r="J69" s="54"/>
      <c r="K69" s="54"/>
    </row>
    <row r="70" spans="2:11" ht="15">
      <c r="B70" s="42" t="s">
        <v>548</v>
      </c>
      <c r="C70" s="45"/>
      <c r="D70" s="45"/>
      <c r="E70" s="45"/>
      <c r="F70" s="54"/>
      <c r="G70" s="54"/>
      <c r="H70" s="54"/>
      <c r="I70" s="54"/>
      <c r="J70" s="54"/>
      <c r="K70" s="54"/>
    </row>
    <row r="71" spans="2:11" ht="20.100000000000001" customHeight="1">
      <c r="B71" s="14" t="s">
        <v>775</v>
      </c>
      <c r="C71" s="2">
        <f>SUM('Budget Detail FY 2014-21'!L122:L128)</f>
        <v>2321323</v>
      </c>
      <c r="D71" s="2">
        <f>SUM('Budget Detail FY 2014-21'!M122:M128)</f>
        <v>2511201</v>
      </c>
      <c r="E71" s="2">
        <f>SUM('Budget Detail FY 2014-21'!N122:N128)</f>
        <v>2758349</v>
      </c>
      <c r="F71" s="2">
        <f>SUM('Budget Detail FY 2014-21'!O122:O128)</f>
        <v>2758349</v>
      </c>
      <c r="G71" s="2">
        <f>SUM('Budget Detail FY 2014-21'!P122:P128)</f>
        <v>2906541</v>
      </c>
      <c r="H71" s="2">
        <f>SUM('Budget Detail FY 2014-21'!Q122:Q128)</f>
        <v>2999477</v>
      </c>
      <c r="I71" s="2">
        <f>SUM('Budget Detail FY 2014-21'!R122:R128)</f>
        <v>3083432</v>
      </c>
      <c r="J71" s="2">
        <f>SUM('Budget Detail FY 2014-21'!S122:S128)</f>
        <v>3169905</v>
      </c>
      <c r="K71" s="2">
        <f>SUM('Budget Detail FY 2014-21'!T122:T128)</f>
        <v>3258973</v>
      </c>
    </row>
    <row r="72" spans="2:11" ht="20.100000000000001" customHeight="1">
      <c r="B72" s="14" t="s">
        <v>776</v>
      </c>
      <c r="C72" s="2">
        <f>SUM('Budget Detail FY 2014-21'!L129:L135)</f>
        <v>1208317</v>
      </c>
      <c r="D72" s="2">
        <f>SUM('Budget Detail FY 2014-21'!M129:M135)</f>
        <v>1411567</v>
      </c>
      <c r="E72" s="2">
        <f>SUM('Budget Detail FY 2014-21'!N129:N135)</f>
        <v>1641285</v>
      </c>
      <c r="F72" s="2">
        <f>SUM('Budget Detail FY 2014-21'!O129:O135)</f>
        <v>1581936</v>
      </c>
      <c r="G72" s="2">
        <f>SUM('Budget Detail FY 2014-21'!P129:P135)</f>
        <v>1833415</v>
      </c>
      <c r="H72" s="2">
        <f>SUM('Budget Detail FY 2014-21'!Q129:Q135)</f>
        <v>1951748</v>
      </c>
      <c r="I72" s="2">
        <f>SUM('Budget Detail FY 2014-21'!R129:R135)</f>
        <v>2074147</v>
      </c>
      <c r="J72" s="2">
        <f>SUM('Budget Detail FY 2014-21'!S129:S135)</f>
        <v>2201891</v>
      </c>
      <c r="K72" s="2">
        <f>SUM('Budget Detail FY 2014-21'!T129:T135)</f>
        <v>2335378</v>
      </c>
    </row>
    <row r="73" spans="2:11" ht="20.100000000000001" customHeight="1">
      <c r="B73" s="14" t="s">
        <v>777</v>
      </c>
      <c r="C73" s="2">
        <f>SUM('Budget Detail FY 2014-21'!L136:L153)</f>
        <v>149909</v>
      </c>
      <c r="D73" s="2">
        <f>SUM('Budget Detail FY 2014-21'!M136:M153)</f>
        <v>237729</v>
      </c>
      <c r="E73" s="2">
        <f>SUM('Budget Detail FY 2014-21'!N136:N153)</f>
        <v>420597</v>
      </c>
      <c r="F73" s="2">
        <f>SUM('Budget Detail FY 2014-21'!O136:O153)</f>
        <v>417108</v>
      </c>
      <c r="G73" s="2">
        <f>SUM('Budget Detail FY 2014-21'!P136:P153)</f>
        <v>311379</v>
      </c>
      <c r="H73" s="2">
        <f>SUM('Budget Detail FY 2014-21'!Q136:Q153)</f>
        <v>294131</v>
      </c>
      <c r="I73" s="2">
        <f>SUM('Budget Detail FY 2014-21'!R136:R153)</f>
        <v>268083</v>
      </c>
      <c r="J73" s="2">
        <f>SUM('Budget Detail FY 2014-21'!S136:S153)</f>
        <v>268083</v>
      </c>
      <c r="K73" s="2">
        <f>SUM('Budget Detail FY 2014-21'!T136:T153)</f>
        <v>279083</v>
      </c>
    </row>
    <row r="74" spans="2:11" ht="20.100000000000001" customHeight="1">
      <c r="B74" s="14" t="s">
        <v>778</v>
      </c>
      <c r="C74" s="2">
        <f>SUM('Budget Detail FY 2014-21'!L154:L162)</f>
        <v>132585</v>
      </c>
      <c r="D74" s="2">
        <f>SUM('Budget Detail FY 2014-21'!M154:M162)</f>
        <v>154654</v>
      </c>
      <c r="E74" s="2">
        <f>SUM('Budget Detail FY 2014-21'!N154:N162)</f>
        <v>158200</v>
      </c>
      <c r="F74" s="2">
        <f>SUM('Budget Detail FY 2014-21'!O154:O162)</f>
        <v>158200</v>
      </c>
      <c r="G74" s="2">
        <f>SUM('Budget Detail FY 2014-21'!P154:P162)</f>
        <v>203450</v>
      </c>
      <c r="H74" s="2">
        <f>SUM('Budget Detail FY 2014-21'!Q154:Q162)</f>
        <v>154068</v>
      </c>
      <c r="I74" s="2">
        <f>SUM('Budget Detail FY 2014-21'!R154:R162)</f>
        <v>160079</v>
      </c>
      <c r="J74" s="2">
        <f>SUM('Budget Detail FY 2014-21'!S154:S162)</f>
        <v>166511</v>
      </c>
      <c r="K74" s="2">
        <f>SUM('Budget Detail FY 2014-21'!T154:T162)</f>
        <v>173393</v>
      </c>
    </row>
    <row r="75" spans="2:11" s="114" customFormat="1" ht="20.100000000000001" customHeight="1" thickBot="1">
      <c r="B75" s="115" t="s">
        <v>929</v>
      </c>
      <c r="C75" s="81">
        <f t="shared" ref="C75:J75" si="2">SUM(C71:C74)</f>
        <v>3812134</v>
      </c>
      <c r="D75" s="81">
        <f t="shared" si="2"/>
        <v>4315151</v>
      </c>
      <c r="E75" s="81">
        <f>SUM(E71:E74)</f>
        <v>4978431</v>
      </c>
      <c r="F75" s="81">
        <f t="shared" si="2"/>
        <v>4915593</v>
      </c>
      <c r="G75" s="81">
        <f t="shared" si="2"/>
        <v>5254785</v>
      </c>
      <c r="H75" s="81">
        <f t="shared" si="2"/>
        <v>5399424</v>
      </c>
      <c r="I75" s="81">
        <f t="shared" si="2"/>
        <v>5585741</v>
      </c>
      <c r="J75" s="81">
        <f t="shared" si="2"/>
        <v>5806390</v>
      </c>
      <c r="K75" s="81">
        <f>SUM(K71:K74)</f>
        <v>6046827</v>
      </c>
    </row>
    <row r="76" spans="2:11" s="114" customFormat="1" ht="15" thickTop="1">
      <c r="B76" s="16"/>
      <c r="C76" s="123"/>
      <c r="D76" s="123"/>
      <c r="E76" s="123"/>
      <c r="F76" s="123"/>
      <c r="G76" s="123"/>
      <c r="H76" s="123"/>
      <c r="I76" s="123"/>
      <c r="J76" s="123"/>
      <c r="K76" s="123"/>
    </row>
    <row r="77" spans="2:11" ht="15">
      <c r="B77" s="10"/>
      <c r="C77" s="45"/>
      <c r="D77" s="45"/>
      <c r="E77" s="45"/>
      <c r="F77" s="54"/>
      <c r="G77" s="54"/>
      <c r="H77" s="54"/>
      <c r="I77" s="54"/>
      <c r="J77" s="54"/>
      <c r="K77" s="54"/>
    </row>
    <row r="78" spans="2:11" ht="15">
      <c r="B78" s="10"/>
      <c r="C78" s="45"/>
      <c r="D78" s="45"/>
      <c r="E78" s="45"/>
      <c r="F78" s="54"/>
      <c r="G78" s="54"/>
      <c r="H78" s="54"/>
      <c r="I78" s="54"/>
      <c r="J78" s="54"/>
      <c r="K78" s="54"/>
    </row>
    <row r="79" spans="2:11" ht="15">
      <c r="B79" s="10"/>
      <c r="C79" s="45"/>
      <c r="D79" s="45"/>
      <c r="E79" s="45"/>
      <c r="F79" s="54"/>
      <c r="G79" s="54"/>
      <c r="H79" s="54"/>
      <c r="I79" s="54"/>
      <c r="J79" s="54"/>
      <c r="K79" s="54"/>
    </row>
    <row r="80" spans="2:11" ht="15">
      <c r="B80" s="10"/>
      <c r="C80" s="45"/>
      <c r="D80" s="45"/>
      <c r="E80" s="45"/>
      <c r="F80" s="54"/>
      <c r="G80" s="54"/>
      <c r="H80" s="54"/>
      <c r="I80" s="54"/>
      <c r="J80" s="54"/>
      <c r="K80" s="54"/>
    </row>
    <row r="81" spans="2:11" ht="15">
      <c r="B81" s="10"/>
      <c r="C81" s="45"/>
      <c r="D81" s="45"/>
      <c r="E81" s="45"/>
      <c r="F81" s="54"/>
      <c r="G81" s="54"/>
      <c r="H81" s="54"/>
      <c r="I81" s="54"/>
      <c r="J81" s="54"/>
      <c r="K81" s="54"/>
    </row>
    <row r="82" spans="2:11" ht="15">
      <c r="B82" s="10"/>
      <c r="C82" s="45"/>
      <c r="D82" s="45"/>
      <c r="E82" s="45"/>
      <c r="F82" s="54"/>
      <c r="G82" s="54"/>
      <c r="H82" s="54"/>
      <c r="I82" s="54"/>
      <c r="J82" s="54"/>
      <c r="K82" s="54"/>
    </row>
    <row r="83" spans="2:11" ht="15">
      <c r="B83" s="10"/>
      <c r="C83" s="45"/>
      <c r="D83" s="45"/>
      <c r="E83" s="45"/>
      <c r="F83" s="54"/>
      <c r="G83" s="54"/>
      <c r="H83" s="54"/>
      <c r="I83" s="54"/>
      <c r="J83" s="54"/>
      <c r="K83" s="54"/>
    </row>
    <row r="84" spans="2:11" ht="15">
      <c r="B84" s="10"/>
      <c r="C84" s="45"/>
      <c r="D84" s="45"/>
      <c r="E84" s="45"/>
      <c r="F84" s="54"/>
      <c r="G84" s="54"/>
      <c r="H84" s="54"/>
      <c r="I84" s="54"/>
      <c r="J84" s="54"/>
      <c r="K84" s="54"/>
    </row>
    <row r="85" spans="2:11" ht="15">
      <c r="B85" s="10"/>
      <c r="C85" s="45"/>
      <c r="D85" s="45"/>
      <c r="E85" s="45"/>
      <c r="F85" s="54"/>
      <c r="G85" s="54"/>
      <c r="H85" s="54"/>
      <c r="I85" s="54"/>
      <c r="J85" s="54"/>
      <c r="K85" s="54"/>
    </row>
    <row r="86" spans="2:11" ht="15">
      <c r="B86" s="10"/>
      <c r="C86" s="45"/>
      <c r="D86" s="45"/>
      <c r="E86" s="45"/>
      <c r="F86" s="54"/>
      <c r="G86" s="54"/>
      <c r="H86" s="54"/>
      <c r="I86" s="54"/>
      <c r="J86" s="54"/>
      <c r="K86" s="54"/>
    </row>
    <row r="87" spans="2:11" ht="15">
      <c r="B87" s="10"/>
      <c r="C87" s="45"/>
      <c r="D87" s="45"/>
      <c r="E87" s="45"/>
      <c r="F87" s="54"/>
      <c r="G87" s="54"/>
      <c r="H87" s="54"/>
      <c r="I87" s="54"/>
      <c r="J87" s="54"/>
      <c r="K87" s="54"/>
    </row>
    <row r="88" spans="2:11" ht="15">
      <c r="B88" s="10"/>
      <c r="C88" s="45"/>
      <c r="D88" s="45"/>
      <c r="E88" s="45"/>
      <c r="F88" s="54"/>
      <c r="G88" s="54"/>
      <c r="H88" s="54"/>
      <c r="I88" s="54"/>
      <c r="J88" s="54"/>
      <c r="K88" s="54"/>
    </row>
    <row r="89" spans="2:11" ht="15">
      <c r="B89" s="10"/>
      <c r="C89" s="45"/>
      <c r="D89" s="45"/>
      <c r="E89" s="45"/>
      <c r="F89" s="54"/>
      <c r="G89" s="54"/>
      <c r="H89" s="54"/>
      <c r="I89" s="54"/>
      <c r="J89" s="54"/>
      <c r="K89" s="54"/>
    </row>
    <row r="90" spans="2:11" ht="15">
      <c r="B90" s="10"/>
      <c r="C90" s="45"/>
      <c r="D90" s="45"/>
      <c r="E90" s="45"/>
      <c r="F90" s="54"/>
      <c r="G90" s="54"/>
      <c r="H90" s="54"/>
      <c r="I90" s="54"/>
      <c r="J90" s="54"/>
      <c r="K90" s="54"/>
    </row>
    <row r="91" spans="2:11" ht="15">
      <c r="B91" s="10"/>
      <c r="C91" s="45"/>
      <c r="D91" s="45"/>
      <c r="E91" s="45"/>
      <c r="F91" s="54"/>
      <c r="G91" s="54"/>
      <c r="H91" s="54"/>
      <c r="I91" s="54"/>
      <c r="J91" s="54"/>
      <c r="K91" s="54"/>
    </row>
    <row r="92" spans="2:11" ht="18.75" customHeight="1">
      <c r="B92" s="759" t="s">
        <v>818</v>
      </c>
      <c r="C92" s="759"/>
      <c r="D92" s="759"/>
      <c r="E92" s="759"/>
      <c r="F92" s="759"/>
      <c r="G92" s="759"/>
      <c r="H92" s="759"/>
      <c r="I92" s="759"/>
      <c r="J92" s="759"/>
      <c r="K92" s="759"/>
    </row>
    <row r="93" spans="2:11" ht="15">
      <c r="B93" s="39"/>
      <c r="C93" s="54"/>
      <c r="D93" s="54"/>
      <c r="E93" s="54"/>
      <c r="F93" s="54"/>
      <c r="G93" s="54"/>
      <c r="H93" s="54"/>
      <c r="I93" s="54"/>
      <c r="J93" s="54"/>
      <c r="K93" s="54"/>
    </row>
    <row r="94" spans="2:11" ht="12.75" customHeight="1">
      <c r="B94" s="763" t="s">
        <v>819</v>
      </c>
      <c r="C94" s="763"/>
      <c r="D94" s="763"/>
      <c r="E94" s="763"/>
      <c r="F94" s="763"/>
      <c r="G94" s="763"/>
      <c r="H94" s="763"/>
      <c r="I94" s="763"/>
      <c r="J94" s="763"/>
      <c r="K94" s="763"/>
    </row>
    <row r="95" spans="2:11" ht="12.75" customHeight="1">
      <c r="B95" s="763"/>
      <c r="C95" s="763"/>
      <c r="D95" s="763"/>
      <c r="E95" s="763"/>
      <c r="F95" s="763"/>
      <c r="G95" s="763"/>
      <c r="H95" s="763"/>
      <c r="I95" s="763"/>
      <c r="J95" s="763"/>
      <c r="K95" s="763"/>
    </row>
    <row r="96" spans="2:11" ht="12.75" customHeight="1">
      <c r="B96" s="763"/>
      <c r="C96" s="763"/>
      <c r="D96" s="763"/>
      <c r="E96" s="763"/>
      <c r="F96" s="763"/>
      <c r="G96" s="763"/>
      <c r="H96" s="763"/>
      <c r="I96" s="763"/>
      <c r="J96" s="763"/>
      <c r="K96" s="763"/>
    </row>
    <row r="97" spans="2:11" ht="12.75" customHeight="1">
      <c r="B97" s="763"/>
      <c r="C97" s="763"/>
      <c r="D97" s="763"/>
      <c r="E97" s="763"/>
      <c r="F97" s="763"/>
      <c r="G97" s="763"/>
      <c r="H97" s="763"/>
      <c r="I97" s="763"/>
      <c r="J97" s="763"/>
      <c r="K97" s="763"/>
    </row>
    <row r="98" spans="2:11" ht="15">
      <c r="B98" s="44"/>
      <c r="C98" s="57"/>
      <c r="D98" s="57"/>
      <c r="E98" s="57"/>
      <c r="F98" s="54"/>
      <c r="G98" s="54"/>
      <c r="H98" s="54"/>
      <c r="I98" s="54"/>
      <c r="J98" s="54"/>
      <c r="K98" s="54"/>
    </row>
    <row r="99" spans="2:11" ht="15">
      <c r="B99" s="10"/>
      <c r="C99" s="65"/>
      <c r="D99" s="66"/>
      <c r="E99" s="65" t="s">
        <v>257</v>
      </c>
      <c r="F99" s="1"/>
      <c r="G99" s="1"/>
      <c r="H99" s="1"/>
      <c r="I99" s="1"/>
      <c r="J99" s="1"/>
      <c r="K99" s="1"/>
    </row>
    <row r="100" spans="2:11" ht="15">
      <c r="B100" s="12"/>
      <c r="C100" s="65" t="s">
        <v>249</v>
      </c>
      <c r="D100" s="49" t="s">
        <v>256</v>
      </c>
      <c r="E100" s="66" t="s">
        <v>763</v>
      </c>
      <c r="F100" s="66" t="s">
        <v>257</v>
      </c>
      <c r="G100" s="66" t="s">
        <v>258</v>
      </c>
      <c r="H100" s="66" t="s">
        <v>926</v>
      </c>
      <c r="I100" s="66" t="s">
        <v>1026</v>
      </c>
      <c r="J100" s="66" t="s">
        <v>1060</v>
      </c>
      <c r="K100" s="66" t="s">
        <v>1061</v>
      </c>
    </row>
    <row r="101" spans="2:11" ht="15.75" thickBot="1">
      <c r="B101" s="41"/>
      <c r="C101" s="68" t="s">
        <v>1</v>
      </c>
      <c r="D101" s="68" t="s">
        <v>1</v>
      </c>
      <c r="E101" s="68" t="s">
        <v>720</v>
      </c>
      <c r="F101" s="68" t="s">
        <v>19</v>
      </c>
      <c r="G101" s="68" t="str">
        <f>'Fund Cover Sheets'!$M$1</f>
        <v>Adopted</v>
      </c>
      <c r="H101" s="68" t="s">
        <v>19</v>
      </c>
      <c r="I101" s="68" t="s">
        <v>19</v>
      </c>
      <c r="J101" s="68" t="s">
        <v>19</v>
      </c>
      <c r="K101" s="68" t="s">
        <v>19</v>
      </c>
    </row>
    <row r="102" spans="2:11" ht="15">
      <c r="B102" s="10"/>
      <c r="C102" s="45"/>
      <c r="D102" s="45"/>
      <c r="E102" s="45"/>
      <c r="F102" s="54"/>
      <c r="G102" s="54"/>
      <c r="H102" s="54"/>
      <c r="I102" s="54"/>
      <c r="J102" s="54"/>
      <c r="K102" s="54"/>
    </row>
    <row r="103" spans="2:11" ht="15">
      <c r="B103" s="42" t="s">
        <v>548</v>
      </c>
      <c r="C103" s="45"/>
      <c r="D103" s="45"/>
      <c r="E103" s="45"/>
      <c r="F103" s="54"/>
      <c r="G103" s="54"/>
      <c r="H103" s="54"/>
      <c r="I103" s="54"/>
      <c r="J103" s="54"/>
      <c r="K103" s="54"/>
    </row>
    <row r="104" spans="2:11" ht="20.100000000000001" customHeight="1">
      <c r="B104" s="14" t="s">
        <v>775</v>
      </c>
      <c r="C104" s="2">
        <f>SUM('Budget Detail FY 2014-21'!L166:L167)</f>
        <v>229837</v>
      </c>
      <c r="D104" s="2">
        <f>SUM('Budget Detail FY 2014-21'!M166:M167)</f>
        <v>310422</v>
      </c>
      <c r="E104" s="2">
        <f>SUM('Budget Detail FY 2014-21'!N166:N167)</f>
        <v>357873</v>
      </c>
      <c r="F104" s="2">
        <f>SUM('Budget Detail FY 2014-21'!O166:O167)</f>
        <v>357873</v>
      </c>
      <c r="G104" s="2">
        <f>SUM('Budget Detail FY 2014-21'!P166:P167)</f>
        <v>381980</v>
      </c>
      <c r="H104" s="2">
        <f>SUM('Budget Detail FY 2014-21'!Q166:Q167)</f>
        <v>393452</v>
      </c>
      <c r="I104" s="2">
        <f>SUM('Budget Detail FY 2014-21'!R166:R167)</f>
        <v>403816</v>
      </c>
      <c r="J104" s="2">
        <f>SUM('Budget Detail FY 2014-21'!S166:S167)</f>
        <v>414490</v>
      </c>
      <c r="K104" s="2">
        <f>SUM('Budget Detail FY 2014-21'!T166:T167)</f>
        <v>425485</v>
      </c>
    </row>
    <row r="105" spans="2:11" ht="20.100000000000001" customHeight="1">
      <c r="B105" s="14" t="s">
        <v>776</v>
      </c>
      <c r="C105" s="2">
        <f>SUM('Budget Detail FY 2014-21'!L168:L173)</f>
        <v>104751</v>
      </c>
      <c r="D105" s="2">
        <f>SUM('Budget Detail FY 2014-21'!M168:M173)</f>
        <v>139045</v>
      </c>
      <c r="E105" s="2">
        <f>SUM('Budget Detail FY 2014-21'!N168:N173)</f>
        <v>150555</v>
      </c>
      <c r="F105" s="2">
        <f>SUM('Budget Detail FY 2014-21'!O168:O173)</f>
        <v>151132</v>
      </c>
      <c r="G105" s="2">
        <f>SUM('Budget Detail FY 2014-21'!P168:P173)</f>
        <v>163247</v>
      </c>
      <c r="H105" s="2">
        <f>SUM('Budget Detail FY 2014-21'!Q168:Q173)</f>
        <v>174468</v>
      </c>
      <c r="I105" s="2">
        <f>SUM('Budget Detail FY 2014-21'!R168:R173)</f>
        <v>186337</v>
      </c>
      <c r="J105" s="2">
        <f>SUM('Budget Detail FY 2014-21'!S168:S173)</f>
        <v>199082</v>
      </c>
      <c r="K105" s="2">
        <f>SUM('Budget Detail FY 2014-21'!T168:T173)</f>
        <v>212730</v>
      </c>
    </row>
    <row r="106" spans="2:11" ht="20.100000000000001" customHeight="1">
      <c r="B106" s="14" t="s">
        <v>777</v>
      </c>
      <c r="C106" s="2">
        <f>SUM('Budget Detail FY 2014-21'!L174:L185)</f>
        <v>64908</v>
      </c>
      <c r="D106" s="2">
        <f>SUM('Budget Detail FY 2014-21'!M174:M185)</f>
        <v>136654</v>
      </c>
      <c r="E106" s="2">
        <f>SUM('Budget Detail FY 2014-21'!N174:N185)</f>
        <v>164900</v>
      </c>
      <c r="F106" s="2">
        <f>SUM('Budget Detail FY 2014-21'!O174:O185)</f>
        <v>164900</v>
      </c>
      <c r="G106" s="2">
        <f>SUM('Budget Detail FY 2014-21'!P174:P185)</f>
        <v>184600</v>
      </c>
      <c r="H106" s="2">
        <f>SUM('Budget Detail FY 2014-21'!Q174:Q185)</f>
        <v>158600</v>
      </c>
      <c r="I106" s="2">
        <f>SUM('Budget Detail FY 2014-21'!R174:R185)</f>
        <v>158600</v>
      </c>
      <c r="J106" s="2">
        <f>SUM('Budget Detail FY 2014-21'!S174:S185)</f>
        <v>165500</v>
      </c>
      <c r="K106" s="2">
        <f>SUM('Budget Detail FY 2014-21'!T174:T185)</f>
        <v>165500</v>
      </c>
    </row>
    <row r="107" spans="2:11" ht="20.100000000000001" customHeight="1">
      <c r="B107" s="14" t="s">
        <v>778</v>
      </c>
      <c r="C107" s="2">
        <f>SUM('Budget Detail FY 2014-21'!L186:L190)</f>
        <v>8042</v>
      </c>
      <c r="D107" s="2">
        <f>SUM('Budget Detail FY 2014-21'!M186:M190)</f>
        <v>6467</v>
      </c>
      <c r="E107" s="2">
        <f>SUM('Budget Detail FY 2014-21'!N186:N190)</f>
        <v>11900</v>
      </c>
      <c r="F107" s="2">
        <f>SUM('Budget Detail FY 2014-21'!O186:O190)</f>
        <v>11900</v>
      </c>
      <c r="G107" s="2">
        <f>SUM('Budget Detail FY 2014-21'!P186:P190)</f>
        <v>11175</v>
      </c>
      <c r="H107" s="2">
        <f>SUM('Budget Detail FY 2014-21'!Q186:Q190)</f>
        <v>10762</v>
      </c>
      <c r="I107" s="2">
        <f>SUM('Budget Detail FY 2014-21'!R186:R190)</f>
        <v>10962</v>
      </c>
      <c r="J107" s="2">
        <f>SUM('Budget Detail FY 2014-21'!S186:S190)</f>
        <v>11176</v>
      </c>
      <c r="K107" s="2">
        <f>SUM('Budget Detail FY 2014-21'!T186:T190)</f>
        <v>11405</v>
      </c>
    </row>
    <row r="108" spans="2:11" s="114" customFormat="1" ht="20.100000000000001" customHeight="1" thickBot="1">
      <c r="B108" s="115" t="s">
        <v>820</v>
      </c>
      <c r="C108" s="81">
        <f t="shared" ref="C108:I108" si="3">SUM(C104:C107)</f>
        <v>407538</v>
      </c>
      <c r="D108" s="81">
        <f>SUM(D104:D107)</f>
        <v>592588</v>
      </c>
      <c r="E108" s="81">
        <f t="shared" si="3"/>
        <v>685228</v>
      </c>
      <c r="F108" s="81">
        <f t="shared" si="3"/>
        <v>685805</v>
      </c>
      <c r="G108" s="81">
        <f t="shared" si="3"/>
        <v>741002</v>
      </c>
      <c r="H108" s="81">
        <f t="shared" si="3"/>
        <v>737282</v>
      </c>
      <c r="I108" s="81">
        <f t="shared" si="3"/>
        <v>759715</v>
      </c>
      <c r="J108" s="81">
        <f>SUM(J104:J107)</f>
        <v>790248</v>
      </c>
      <c r="K108" s="81">
        <f>SUM(K104:K107)</f>
        <v>815120</v>
      </c>
    </row>
    <row r="109" spans="2:11" s="114" customFormat="1" ht="15" thickTop="1">
      <c r="B109" s="16"/>
      <c r="C109" s="123"/>
      <c r="D109" s="123"/>
      <c r="E109" s="123"/>
      <c r="F109" s="123"/>
      <c r="G109" s="123"/>
      <c r="H109" s="123"/>
      <c r="I109" s="123"/>
      <c r="J109" s="123"/>
      <c r="K109" s="123"/>
    </row>
    <row r="110" spans="2:11" ht="15">
      <c r="B110" s="10"/>
      <c r="C110" s="45"/>
      <c r="D110" s="45"/>
      <c r="E110" s="45"/>
      <c r="F110" s="54"/>
      <c r="G110" s="54"/>
      <c r="H110" s="54"/>
      <c r="I110" s="54"/>
      <c r="J110" s="54"/>
      <c r="K110" s="54"/>
    </row>
    <row r="111" spans="2:11" ht="15">
      <c r="B111" s="10"/>
      <c r="C111" s="45"/>
      <c r="D111" s="45"/>
      <c r="E111" s="45"/>
      <c r="F111" s="54"/>
      <c r="G111" s="54"/>
      <c r="H111" s="54"/>
      <c r="I111" s="54"/>
      <c r="J111" s="54"/>
      <c r="K111" s="54"/>
    </row>
    <row r="112" spans="2:11" ht="15">
      <c r="B112" s="10"/>
      <c r="C112" s="45"/>
      <c r="D112" s="45"/>
      <c r="E112" s="45"/>
      <c r="F112" s="54"/>
      <c r="G112" s="54"/>
      <c r="H112" s="54"/>
      <c r="I112" s="54"/>
      <c r="J112" s="54"/>
      <c r="K112" s="54"/>
    </row>
    <row r="113" spans="2:11" ht="15">
      <c r="B113" s="10"/>
      <c r="C113" s="45"/>
      <c r="D113" s="45"/>
      <c r="E113" s="45"/>
      <c r="F113" s="54"/>
      <c r="G113" s="54"/>
      <c r="H113" s="54"/>
      <c r="I113" s="54"/>
      <c r="J113" s="54"/>
      <c r="K113" s="54"/>
    </row>
    <row r="114" spans="2:11" ht="15">
      <c r="B114" s="10"/>
      <c r="C114" s="45"/>
      <c r="D114" s="45"/>
      <c r="E114" s="45"/>
      <c r="F114" s="54"/>
      <c r="G114" s="54"/>
      <c r="H114" s="54"/>
      <c r="I114" s="54"/>
      <c r="J114" s="54"/>
      <c r="K114" s="54"/>
    </row>
    <row r="115" spans="2:11" ht="15">
      <c r="B115" s="10"/>
      <c r="C115" s="45"/>
      <c r="D115" s="45"/>
      <c r="E115" s="45"/>
      <c r="F115" s="54"/>
      <c r="G115" s="54"/>
      <c r="H115" s="54"/>
      <c r="I115" s="54"/>
      <c r="J115" s="54"/>
      <c r="K115" s="54"/>
    </row>
    <row r="116" spans="2:11" ht="15">
      <c r="B116" s="10"/>
      <c r="C116" s="45"/>
      <c r="D116" s="45"/>
      <c r="E116" s="45"/>
      <c r="F116" s="54"/>
      <c r="G116" s="54"/>
      <c r="H116" s="54"/>
      <c r="I116" s="54"/>
      <c r="J116" s="54"/>
      <c r="K116" s="54"/>
    </row>
    <row r="117" spans="2:11" ht="15">
      <c r="B117" s="10"/>
      <c r="C117" s="45"/>
      <c r="D117" s="45"/>
      <c r="E117" s="45"/>
      <c r="F117" s="54"/>
      <c r="G117" s="54"/>
      <c r="H117" s="54"/>
      <c r="I117" s="54"/>
      <c r="J117" s="54"/>
      <c r="K117" s="54"/>
    </row>
    <row r="118" spans="2:11" ht="15">
      <c r="B118" s="10"/>
      <c r="C118" s="45"/>
      <c r="D118" s="45"/>
      <c r="E118" s="45"/>
      <c r="F118" s="54"/>
      <c r="G118" s="54"/>
      <c r="H118" s="54"/>
      <c r="I118" s="54"/>
      <c r="J118" s="54"/>
      <c r="K118" s="54"/>
    </row>
    <row r="119" spans="2:11" ht="15">
      <c r="B119" s="10"/>
      <c r="C119" s="45"/>
      <c r="D119" s="45"/>
      <c r="E119" s="45"/>
      <c r="F119" s="54"/>
      <c r="G119" s="54"/>
      <c r="H119" s="54"/>
      <c r="I119" s="54"/>
      <c r="J119" s="54"/>
      <c r="K119" s="54"/>
    </row>
    <row r="120" spans="2:11" ht="15">
      <c r="B120" s="10"/>
      <c r="C120" s="45"/>
      <c r="D120" s="45"/>
      <c r="E120" s="45"/>
      <c r="F120" s="54"/>
      <c r="G120" s="54"/>
      <c r="H120" s="54"/>
      <c r="I120" s="54"/>
      <c r="J120" s="54"/>
      <c r="K120" s="54"/>
    </row>
    <row r="121" spans="2:11" ht="15">
      <c r="B121" s="10"/>
      <c r="C121" s="45"/>
      <c r="D121" s="45"/>
      <c r="E121" s="45"/>
      <c r="F121" s="54"/>
      <c r="G121" s="54"/>
      <c r="H121" s="54"/>
      <c r="I121" s="54"/>
      <c r="J121" s="54"/>
      <c r="K121" s="54"/>
    </row>
    <row r="122" spans="2:11" ht="18.75" customHeight="1">
      <c r="B122" s="759" t="s">
        <v>1204</v>
      </c>
      <c r="C122" s="759"/>
      <c r="D122" s="759"/>
      <c r="E122" s="759"/>
      <c r="F122" s="759"/>
      <c r="G122" s="759"/>
      <c r="H122" s="759"/>
      <c r="I122" s="759"/>
      <c r="J122" s="759"/>
      <c r="K122" s="759"/>
    </row>
    <row r="123" spans="2:11" ht="15">
      <c r="B123" s="47"/>
      <c r="C123" s="59"/>
      <c r="D123" s="60"/>
      <c r="E123" s="60"/>
      <c r="F123" s="54"/>
      <c r="G123" s="54"/>
      <c r="H123" s="54"/>
      <c r="I123" s="54"/>
      <c r="J123" s="54"/>
      <c r="K123" s="54"/>
    </row>
    <row r="124" spans="2:11" ht="12.75" customHeight="1">
      <c r="B124" s="760" t="s">
        <v>821</v>
      </c>
      <c r="C124" s="760"/>
      <c r="D124" s="760"/>
      <c r="E124" s="760"/>
      <c r="F124" s="760"/>
      <c r="G124" s="760"/>
      <c r="H124" s="760"/>
      <c r="I124" s="760"/>
      <c r="J124" s="760"/>
      <c r="K124" s="760"/>
    </row>
    <row r="125" spans="2:11" ht="17.25" customHeight="1">
      <c r="B125" s="760"/>
      <c r="C125" s="760"/>
      <c r="D125" s="760"/>
      <c r="E125" s="760"/>
      <c r="F125" s="760"/>
      <c r="G125" s="760"/>
      <c r="H125" s="760"/>
      <c r="I125" s="760"/>
      <c r="J125" s="760"/>
      <c r="K125" s="760"/>
    </row>
    <row r="126" spans="2:11" ht="15">
      <c r="B126" s="48"/>
      <c r="C126" s="61"/>
      <c r="D126" s="61"/>
      <c r="E126" s="61"/>
      <c r="F126" s="54"/>
      <c r="G126" s="54"/>
      <c r="H126" s="54"/>
      <c r="I126" s="54"/>
      <c r="J126" s="54"/>
      <c r="K126" s="54"/>
    </row>
    <row r="127" spans="2:11" ht="15">
      <c r="B127" s="10"/>
      <c r="C127" s="65"/>
      <c r="D127" s="66"/>
      <c r="E127" s="65" t="s">
        <v>257</v>
      </c>
      <c r="F127" s="1"/>
      <c r="G127" s="1"/>
      <c r="H127" s="1"/>
      <c r="I127" s="1"/>
      <c r="J127" s="1"/>
      <c r="K127" s="1"/>
    </row>
    <row r="128" spans="2:11" ht="15">
      <c r="B128" s="12"/>
      <c r="C128" s="65" t="s">
        <v>249</v>
      </c>
      <c r="D128" s="49" t="s">
        <v>256</v>
      </c>
      <c r="E128" s="66" t="s">
        <v>763</v>
      </c>
      <c r="F128" s="66" t="s">
        <v>257</v>
      </c>
      <c r="G128" s="66" t="s">
        <v>258</v>
      </c>
      <c r="H128" s="66" t="s">
        <v>926</v>
      </c>
      <c r="I128" s="66" t="s">
        <v>1026</v>
      </c>
      <c r="J128" s="66" t="s">
        <v>1060</v>
      </c>
      <c r="K128" s="66" t="s">
        <v>1061</v>
      </c>
    </row>
    <row r="129" spans="2:11" ht="15.75" thickBot="1">
      <c r="B129" s="41"/>
      <c r="C129" s="68" t="s">
        <v>1</v>
      </c>
      <c r="D129" s="68" t="s">
        <v>1</v>
      </c>
      <c r="E129" s="68" t="s">
        <v>720</v>
      </c>
      <c r="F129" s="68" t="s">
        <v>19</v>
      </c>
      <c r="G129" s="68" t="str">
        <f>'Fund Cover Sheets'!$M$1</f>
        <v>Adopted</v>
      </c>
      <c r="H129" s="68" t="s">
        <v>19</v>
      </c>
      <c r="I129" s="68" t="s">
        <v>19</v>
      </c>
      <c r="J129" s="68" t="s">
        <v>19</v>
      </c>
      <c r="K129" s="68" t="s">
        <v>19</v>
      </c>
    </row>
    <row r="130" spans="2:11" ht="15">
      <c r="B130" s="10"/>
      <c r="C130" s="45"/>
      <c r="D130" s="45"/>
      <c r="E130" s="45"/>
      <c r="F130" s="54"/>
      <c r="G130" s="54"/>
      <c r="H130" s="54"/>
      <c r="I130" s="54"/>
      <c r="J130" s="54"/>
      <c r="K130" s="54"/>
    </row>
    <row r="131" spans="2:11" ht="15">
      <c r="B131" s="42" t="s">
        <v>548</v>
      </c>
      <c r="C131" s="45"/>
      <c r="D131" s="45"/>
      <c r="E131" s="45"/>
      <c r="F131" s="54"/>
      <c r="G131" s="54"/>
      <c r="H131" s="54"/>
      <c r="I131" s="54"/>
      <c r="J131" s="54"/>
      <c r="K131" s="54"/>
    </row>
    <row r="132" spans="2:11" ht="20.100000000000001" customHeight="1">
      <c r="B132" s="14" t="s">
        <v>775</v>
      </c>
      <c r="C132" s="2">
        <f>SUM('Budget Detail FY 2014-21'!L194:L196)</f>
        <v>328126</v>
      </c>
      <c r="D132" s="2">
        <f>SUM('Budget Detail FY 2014-21'!M194:M196)</f>
        <v>328574</v>
      </c>
      <c r="E132" s="2">
        <f>SUM('Budget Detail FY 2014-21'!N194:N196)</f>
        <v>358553</v>
      </c>
      <c r="F132" s="2">
        <f>SUM('Budget Detail FY 2014-21'!O194:O196)</f>
        <v>358553</v>
      </c>
      <c r="G132" s="2">
        <f>SUM('Budget Detail FY 2014-21'!P194:P196)</f>
        <v>366975</v>
      </c>
      <c r="H132" s="2">
        <f>SUM('Budget Detail FY 2014-21'!Q194:Q196)</f>
        <v>382287</v>
      </c>
      <c r="I132" s="2">
        <f>SUM('Budget Detail FY 2014-21'!R194:R196)</f>
        <v>392958</v>
      </c>
      <c r="J132" s="2">
        <f>SUM('Budget Detail FY 2014-21'!S194:S196)</f>
        <v>403949</v>
      </c>
      <c r="K132" s="2">
        <f>SUM('Budget Detail FY 2014-21'!T194:T196)</f>
        <v>415269</v>
      </c>
    </row>
    <row r="133" spans="2:11" ht="20.100000000000001" customHeight="1">
      <c r="B133" s="14" t="s">
        <v>776</v>
      </c>
      <c r="C133" s="2">
        <f>SUM('Budget Detail FY 2014-21'!L197:L202)</f>
        <v>162447</v>
      </c>
      <c r="D133" s="2">
        <f>SUM('Budget Detail FY 2014-21'!M197:M202)</f>
        <v>169806</v>
      </c>
      <c r="E133" s="2">
        <f>SUM('Budget Detail FY 2014-21'!N197:N202)</f>
        <v>183177</v>
      </c>
      <c r="F133" s="2">
        <f>SUM('Budget Detail FY 2014-21'!O197:O202)</f>
        <v>179628</v>
      </c>
      <c r="G133" s="2">
        <f>SUM('Budget Detail FY 2014-21'!P197:P202)</f>
        <v>202031</v>
      </c>
      <c r="H133" s="2">
        <f>SUM('Budget Detail FY 2014-21'!Q197:Q202)</f>
        <v>214538</v>
      </c>
      <c r="I133" s="2">
        <f>SUM('Budget Detail FY 2014-21'!R197:R202)</f>
        <v>229550</v>
      </c>
      <c r="J133" s="2">
        <f>SUM('Budget Detail FY 2014-21'!S197:S202)</f>
        <v>245686</v>
      </c>
      <c r="K133" s="2">
        <f>SUM('Budget Detail FY 2014-21'!T197:T202)</f>
        <v>262989</v>
      </c>
    </row>
    <row r="134" spans="2:11" ht="20.100000000000001" customHeight="1">
      <c r="B134" s="14" t="s">
        <v>777</v>
      </c>
      <c r="C134" s="2">
        <f>SUM('Budget Detail FY 2014-21'!L203:L214)+SUM('Budget Detail FY 2014-21'!L226:L228)</f>
        <v>1460448</v>
      </c>
      <c r="D134" s="2">
        <f>SUM('Budget Detail FY 2014-21'!M203:M214)+SUM('Budget Detail FY 2014-21'!M226:M228)</f>
        <v>1395672</v>
      </c>
      <c r="E134" s="2">
        <f>SUM('Budget Detail FY 2014-21'!N203:N214)+SUM('Budget Detail FY 2014-21'!N226:N228)</f>
        <v>1448866</v>
      </c>
      <c r="F134" s="2">
        <f>SUM('Budget Detail FY 2014-21'!O203:O214)+SUM('Budget Detail FY 2014-21'!O226:O228)</f>
        <v>1580689</v>
      </c>
      <c r="G134" s="2">
        <f>SUM('Budget Detail FY 2014-21'!P203:P214)+SUM('Budget Detail FY 2014-21'!P226:P228)</f>
        <v>1458377</v>
      </c>
      <c r="H134" s="2">
        <f>SUM('Budget Detail FY 2014-21'!Q203:Q214)+SUM('Budget Detail FY 2014-21'!Q226:Q228)</f>
        <v>1535360</v>
      </c>
      <c r="I134" s="2">
        <f>SUM('Budget Detail FY 2014-21'!R203:R214)+SUM('Budget Detail FY 2014-21'!R226:R228)</f>
        <v>1574423</v>
      </c>
      <c r="J134" s="2">
        <f>SUM('Budget Detail FY 2014-21'!S203:S214)+SUM('Budget Detail FY 2014-21'!S226:S228)</f>
        <v>1614665</v>
      </c>
      <c r="K134" s="2">
        <f>SUM('Budget Detail FY 2014-21'!T203:T214)+SUM('Budget Detail FY 2014-21'!T226:T228)</f>
        <v>1656123</v>
      </c>
    </row>
    <row r="135" spans="2:11" ht="20.100000000000001" customHeight="1">
      <c r="B135" s="14" t="s">
        <v>778</v>
      </c>
      <c r="C135" s="2">
        <f>SUM('Budget Detail FY 2014-21'!L215:L222)</f>
        <v>94029</v>
      </c>
      <c r="D135" s="2">
        <f>SUM('Budget Detail FY 2014-21'!M215:M222)</f>
        <v>83640</v>
      </c>
      <c r="E135" s="2">
        <f>SUM('Budget Detail FY 2014-21'!N215:N222)</f>
        <v>94311</v>
      </c>
      <c r="F135" s="2">
        <f>SUM('Budget Detail FY 2014-21'!O215:O222)</f>
        <v>94311</v>
      </c>
      <c r="G135" s="2">
        <f>SUM('Budget Detail FY 2014-21'!P215:P222)</f>
        <v>92836</v>
      </c>
      <c r="H135" s="2">
        <f>SUM('Budget Detail FY 2014-21'!Q215:Q222)</f>
        <v>95417</v>
      </c>
      <c r="I135" s="2">
        <f>SUM('Budget Detail FY 2014-21'!R215:R222)</f>
        <v>98162</v>
      </c>
      <c r="J135" s="2">
        <f>SUM('Budget Detail FY 2014-21'!S215:S222)</f>
        <v>101083</v>
      </c>
      <c r="K135" s="2">
        <f>SUM('Budget Detail FY 2014-21'!T215:T222)</f>
        <v>104191</v>
      </c>
    </row>
    <row r="136" spans="2:11" s="114" customFormat="1" ht="20.100000000000001" customHeight="1" thickBot="1">
      <c r="B136" s="115" t="s">
        <v>930</v>
      </c>
      <c r="C136" s="81">
        <f t="shared" ref="C136:K136" si="4">SUM(C132:C135)</f>
        <v>2045050</v>
      </c>
      <c r="D136" s="81">
        <f t="shared" si="4"/>
        <v>1977692</v>
      </c>
      <c r="E136" s="81">
        <f>SUM(E132:E135)</f>
        <v>2084907</v>
      </c>
      <c r="F136" s="81">
        <f t="shared" si="4"/>
        <v>2213181</v>
      </c>
      <c r="G136" s="81">
        <f t="shared" si="4"/>
        <v>2120219</v>
      </c>
      <c r="H136" s="81">
        <f t="shared" si="4"/>
        <v>2227602</v>
      </c>
      <c r="I136" s="81">
        <f t="shared" si="4"/>
        <v>2295093</v>
      </c>
      <c r="J136" s="81">
        <f t="shared" si="4"/>
        <v>2365383</v>
      </c>
      <c r="K136" s="81">
        <f t="shared" si="4"/>
        <v>2438572</v>
      </c>
    </row>
    <row r="137" spans="2:11" ht="12.75" customHeight="1" thickTop="1">
      <c r="B137" s="21"/>
      <c r="C137" s="56"/>
      <c r="D137" s="56"/>
      <c r="E137" s="56"/>
      <c r="F137" s="54"/>
      <c r="G137" s="54"/>
      <c r="H137" s="54"/>
      <c r="I137" s="54"/>
      <c r="J137" s="54"/>
      <c r="K137" s="54"/>
    </row>
    <row r="138" spans="2:11" ht="12.75" customHeight="1">
      <c r="B138" s="21"/>
      <c r="C138" s="56"/>
      <c r="D138" s="56"/>
      <c r="E138" s="56"/>
      <c r="F138" s="54"/>
      <c r="G138" s="54"/>
      <c r="H138" s="54"/>
      <c r="I138" s="54"/>
      <c r="J138" s="54"/>
      <c r="K138" s="54"/>
    </row>
    <row r="139" spans="2:11" ht="17.25" customHeight="1">
      <c r="B139" s="18"/>
      <c r="C139" s="45"/>
      <c r="D139" s="45"/>
      <c r="E139" s="45"/>
      <c r="F139" s="54"/>
      <c r="G139" s="54"/>
      <c r="H139" s="54"/>
      <c r="I139" s="54"/>
      <c r="J139" s="54"/>
      <c r="K139" s="54"/>
    </row>
    <row r="140" spans="2:11" ht="15">
      <c r="B140" s="18"/>
      <c r="C140" s="45"/>
      <c r="D140" s="45"/>
      <c r="E140" s="45"/>
      <c r="F140" s="54"/>
      <c r="G140" s="54"/>
      <c r="H140" s="54"/>
      <c r="I140" s="54"/>
      <c r="J140" s="54"/>
      <c r="K140" s="54"/>
    </row>
    <row r="141" spans="2:11" ht="15">
      <c r="B141" s="18"/>
      <c r="C141" s="45"/>
      <c r="D141" s="45"/>
      <c r="E141" s="45"/>
      <c r="F141" s="54"/>
      <c r="G141" s="54"/>
      <c r="H141" s="54"/>
      <c r="I141" s="54"/>
      <c r="J141" s="54"/>
      <c r="K141" s="54"/>
    </row>
    <row r="142" spans="2:11" ht="15">
      <c r="B142" s="18"/>
      <c r="C142" s="45"/>
      <c r="D142" s="45"/>
      <c r="E142" s="45"/>
      <c r="F142" s="54"/>
      <c r="G142" s="54"/>
      <c r="H142" s="54"/>
      <c r="I142" s="54"/>
      <c r="J142" s="54"/>
      <c r="K142" s="54"/>
    </row>
    <row r="143" spans="2:11" ht="15">
      <c r="B143" s="18"/>
      <c r="C143" s="45"/>
      <c r="D143" s="45"/>
      <c r="E143" s="45"/>
      <c r="F143" s="54"/>
      <c r="G143" s="54"/>
      <c r="H143" s="54"/>
      <c r="I143" s="54"/>
      <c r="J143" s="54"/>
      <c r="K143" s="54"/>
    </row>
    <row r="144" spans="2:11" ht="15">
      <c r="B144" s="18"/>
      <c r="C144" s="45"/>
      <c r="D144" s="45"/>
      <c r="E144" s="45"/>
      <c r="F144" s="54"/>
      <c r="G144" s="54"/>
      <c r="H144" s="54"/>
      <c r="I144" s="54"/>
      <c r="J144" s="54"/>
      <c r="K144" s="54"/>
    </row>
    <row r="145" spans="2:11" ht="15">
      <c r="B145" s="18"/>
      <c r="C145" s="45"/>
      <c r="D145" s="45"/>
      <c r="E145" s="45"/>
      <c r="F145" s="54"/>
      <c r="G145" s="54"/>
      <c r="H145" s="54"/>
      <c r="I145" s="54"/>
      <c r="J145" s="54"/>
      <c r="K145" s="54"/>
    </row>
    <row r="146" spans="2:11" ht="15">
      <c r="B146" s="18"/>
      <c r="C146" s="45"/>
      <c r="D146" s="45"/>
      <c r="E146" s="45"/>
      <c r="F146" s="54"/>
      <c r="G146" s="54"/>
      <c r="H146" s="54"/>
      <c r="I146" s="54"/>
      <c r="J146" s="54"/>
      <c r="K146" s="54"/>
    </row>
    <row r="147" spans="2:11" ht="15">
      <c r="B147" s="18"/>
      <c r="C147" s="45"/>
      <c r="D147" s="45"/>
      <c r="E147" s="45"/>
      <c r="F147" s="54"/>
      <c r="G147" s="54"/>
      <c r="H147" s="54"/>
      <c r="I147" s="54"/>
      <c r="J147" s="54"/>
      <c r="K147" s="54"/>
    </row>
    <row r="148" spans="2:11" ht="15">
      <c r="B148" s="18"/>
      <c r="C148" s="45"/>
      <c r="D148" s="45"/>
      <c r="E148" s="45"/>
      <c r="F148" s="54"/>
      <c r="G148" s="54"/>
      <c r="H148" s="54"/>
      <c r="I148" s="54"/>
      <c r="J148" s="54"/>
      <c r="K148" s="54"/>
    </row>
    <row r="149" spans="2:11" ht="15">
      <c r="B149" s="18"/>
      <c r="C149" s="45"/>
      <c r="D149" s="45"/>
      <c r="E149" s="45"/>
      <c r="F149" s="54"/>
      <c r="G149" s="54"/>
      <c r="H149" s="54"/>
      <c r="I149" s="54"/>
      <c r="J149" s="54"/>
      <c r="K149" s="54"/>
    </row>
    <row r="150" spans="2:11" ht="15">
      <c r="B150" s="18"/>
      <c r="C150" s="45"/>
      <c r="D150" s="45"/>
      <c r="E150" s="45"/>
      <c r="F150" s="54"/>
      <c r="G150" s="54"/>
      <c r="H150" s="54"/>
      <c r="I150" s="54"/>
      <c r="J150" s="54"/>
      <c r="K150" s="54"/>
    </row>
    <row r="151" spans="2:11" ht="15">
      <c r="B151" s="18"/>
      <c r="C151" s="45"/>
      <c r="D151" s="45"/>
      <c r="E151" s="45"/>
      <c r="F151" s="54"/>
      <c r="G151" s="54"/>
      <c r="H151" s="54"/>
      <c r="I151" s="54"/>
      <c r="J151" s="54"/>
      <c r="K151" s="54"/>
    </row>
    <row r="152" spans="2:11" ht="15">
      <c r="B152" s="18"/>
      <c r="C152" s="45"/>
      <c r="D152" s="45"/>
      <c r="E152" s="45"/>
      <c r="F152" s="54"/>
      <c r="G152" s="54"/>
      <c r="H152" s="54"/>
      <c r="I152" s="54"/>
      <c r="J152" s="54"/>
      <c r="K152" s="54"/>
    </row>
    <row r="153" spans="2:11" ht="18.75" customHeight="1">
      <c r="B153" s="759" t="s">
        <v>822</v>
      </c>
      <c r="C153" s="759"/>
      <c r="D153" s="759"/>
      <c r="E153" s="759"/>
      <c r="F153" s="759"/>
      <c r="G153" s="759"/>
      <c r="H153" s="759"/>
      <c r="I153" s="759"/>
      <c r="J153" s="759"/>
      <c r="K153" s="759"/>
    </row>
    <row r="154" spans="2:11" ht="15">
      <c r="B154" s="49"/>
      <c r="C154" s="54"/>
      <c r="D154" s="54"/>
      <c r="E154" s="54"/>
      <c r="F154" s="54"/>
      <c r="G154" s="54"/>
      <c r="H154" s="54"/>
      <c r="I154" s="54"/>
      <c r="J154" s="54"/>
      <c r="K154" s="54"/>
    </row>
    <row r="155" spans="2:11" ht="12.75" customHeight="1">
      <c r="B155" s="761" t="s">
        <v>1192</v>
      </c>
      <c r="C155" s="761"/>
      <c r="D155" s="761"/>
      <c r="E155" s="761"/>
      <c r="F155" s="761"/>
      <c r="G155" s="761"/>
      <c r="H155" s="761"/>
      <c r="I155" s="761"/>
      <c r="J155" s="761"/>
      <c r="K155" s="761"/>
    </row>
    <row r="156" spans="2:11" ht="19.5" customHeight="1">
      <c r="B156" s="761"/>
      <c r="C156" s="761"/>
      <c r="D156" s="761"/>
      <c r="E156" s="761"/>
      <c r="F156" s="761"/>
      <c r="G156" s="761"/>
      <c r="H156" s="761"/>
      <c r="I156" s="761"/>
      <c r="J156" s="761"/>
      <c r="K156" s="761"/>
    </row>
    <row r="157" spans="2:11" ht="15">
      <c r="B157" s="50"/>
      <c r="C157" s="62"/>
      <c r="D157" s="62"/>
      <c r="E157" s="62"/>
      <c r="F157" s="54"/>
      <c r="G157" s="54"/>
      <c r="H157" s="54"/>
      <c r="I157" s="54"/>
      <c r="J157" s="54"/>
      <c r="K157" s="54"/>
    </row>
    <row r="158" spans="2:11" ht="15">
      <c r="B158" s="51"/>
      <c r="C158" s="65"/>
      <c r="D158" s="66"/>
      <c r="E158" s="65" t="s">
        <v>257</v>
      </c>
      <c r="F158" s="1"/>
      <c r="G158" s="1"/>
      <c r="H158" s="1"/>
      <c r="I158" s="1"/>
      <c r="J158" s="1"/>
      <c r="K158" s="1"/>
    </row>
    <row r="159" spans="2:11" ht="15">
      <c r="B159" s="12"/>
      <c r="C159" s="65" t="s">
        <v>249</v>
      </c>
      <c r="D159" s="49" t="s">
        <v>256</v>
      </c>
      <c r="E159" s="66" t="s">
        <v>763</v>
      </c>
      <c r="F159" s="66" t="s">
        <v>257</v>
      </c>
      <c r="G159" s="66" t="s">
        <v>258</v>
      </c>
      <c r="H159" s="66" t="s">
        <v>926</v>
      </c>
      <c r="I159" s="66" t="s">
        <v>1026</v>
      </c>
      <c r="J159" s="66" t="s">
        <v>1060</v>
      </c>
      <c r="K159" s="66" t="s">
        <v>1061</v>
      </c>
    </row>
    <row r="160" spans="2:11" ht="15.75" thickBot="1">
      <c r="B160" s="41"/>
      <c r="C160" s="68" t="s">
        <v>1</v>
      </c>
      <c r="D160" s="68" t="s">
        <v>1</v>
      </c>
      <c r="E160" s="68" t="s">
        <v>720</v>
      </c>
      <c r="F160" s="68" t="s">
        <v>19</v>
      </c>
      <c r="G160" s="68" t="str">
        <f>'Fund Cover Sheets'!$M$1</f>
        <v>Adopted</v>
      </c>
      <c r="H160" s="68" t="s">
        <v>19</v>
      </c>
      <c r="I160" s="68" t="s">
        <v>19</v>
      </c>
      <c r="J160" s="68" t="s">
        <v>19</v>
      </c>
      <c r="K160" s="68" t="s">
        <v>19</v>
      </c>
    </row>
    <row r="161" spans="2:11" ht="15">
      <c r="B161" s="10"/>
      <c r="C161" s="45"/>
      <c r="D161" s="45"/>
      <c r="E161" s="45"/>
      <c r="F161" s="54"/>
      <c r="G161" s="54"/>
      <c r="H161" s="54"/>
      <c r="I161" s="54"/>
      <c r="J161" s="54"/>
      <c r="K161" s="54"/>
    </row>
    <row r="162" spans="2:11" ht="15">
      <c r="B162" s="42" t="s">
        <v>548</v>
      </c>
      <c r="C162" s="45"/>
      <c r="D162" s="45"/>
      <c r="E162" s="45"/>
      <c r="F162" s="54"/>
      <c r="G162" s="54"/>
      <c r="H162" s="54"/>
      <c r="I162" s="54"/>
      <c r="J162" s="54"/>
      <c r="K162" s="54"/>
    </row>
    <row r="163" spans="2:11" ht="20.100000000000001" customHeight="1">
      <c r="B163" s="15" t="s">
        <v>775</v>
      </c>
      <c r="C163" s="2">
        <f>'Budget Detail FY 2014-21'!L234</f>
        <v>600</v>
      </c>
      <c r="D163" s="2">
        <f>'Budget Detail FY 2014-21'!M234</f>
        <v>0</v>
      </c>
      <c r="E163" s="2">
        <f>'Budget Detail FY 2014-21'!N234</f>
        <v>500</v>
      </c>
      <c r="F163" s="2">
        <f>'Budget Detail FY 2014-21'!O234</f>
        <v>2829</v>
      </c>
      <c r="G163" s="2">
        <f>'Budget Detail FY 2014-21'!P234</f>
        <v>500</v>
      </c>
      <c r="H163" s="2">
        <f>'Budget Detail FY 2014-21'!Q234</f>
        <v>500</v>
      </c>
      <c r="I163" s="2">
        <f>'Budget Detail FY 2014-21'!R234</f>
        <v>500</v>
      </c>
      <c r="J163" s="2">
        <f>'Budget Detail FY 2014-21'!S234</f>
        <v>500</v>
      </c>
      <c r="K163" s="2">
        <f>'Budget Detail FY 2014-21'!T234</f>
        <v>500</v>
      </c>
    </row>
    <row r="164" spans="2:11" ht="20.100000000000001" customHeight="1">
      <c r="B164" s="15" t="s">
        <v>776</v>
      </c>
      <c r="C164" s="2">
        <f>SUM('Budget Detail FY 2014-21'!L235:L239)</f>
        <v>287892</v>
      </c>
      <c r="D164" s="2">
        <f>SUM('Budget Detail FY 2014-21'!M235:M239)</f>
        <v>299167</v>
      </c>
      <c r="E164" s="2">
        <f>SUM('Budget Detail FY 2014-21'!N235:N239)</f>
        <v>323662</v>
      </c>
      <c r="F164" s="2">
        <f>SUM('Budget Detail FY 2014-21'!O235:O239)</f>
        <v>325981</v>
      </c>
      <c r="G164" s="2">
        <f>SUM('Budget Detail FY 2014-21'!P235:P239)</f>
        <v>350297</v>
      </c>
      <c r="H164" s="2">
        <f>SUM('Budget Detail FY 2014-21'!Q235:Q239)</f>
        <v>370821</v>
      </c>
      <c r="I164" s="2">
        <f>SUM('Budget Detail FY 2014-21'!R235:R239)</f>
        <v>392634</v>
      </c>
      <c r="J164" s="2">
        <f>SUM('Budget Detail FY 2014-21'!S235:S239)</f>
        <v>415817</v>
      </c>
      <c r="K164" s="2">
        <f>SUM('Budget Detail FY 2014-21'!T235:T239)</f>
        <v>440456</v>
      </c>
    </row>
    <row r="165" spans="2:11" ht="20.100000000000001" customHeight="1">
      <c r="B165" s="15" t="s">
        <v>777</v>
      </c>
      <c r="C165" s="2">
        <f>SUM('Budget Detail FY 2014-21'!L240:L258)</f>
        <v>2395270</v>
      </c>
      <c r="D165" s="2">
        <f>SUM('Budget Detail FY 2014-21'!M240:M258)</f>
        <v>2416880</v>
      </c>
      <c r="E165" s="2">
        <f>SUM('Budget Detail FY 2014-21'!N240:N258)</f>
        <v>2534703</v>
      </c>
      <c r="F165" s="2">
        <f>SUM('Budget Detail FY 2014-21'!O240:O258)</f>
        <v>2512567</v>
      </c>
      <c r="G165" s="2">
        <f>SUM('Budget Detail FY 2014-21'!P240:P258)</f>
        <v>2500063</v>
      </c>
      <c r="H165" s="2">
        <f>SUM('Budget Detail FY 2014-21'!Q240:Q258)</f>
        <v>2543349</v>
      </c>
      <c r="I165" s="2">
        <f>SUM('Budget Detail FY 2014-21'!R240:R258)</f>
        <v>2558412</v>
      </c>
      <c r="J165" s="2">
        <f>SUM('Budget Detail FY 2014-21'!S240:S258)</f>
        <v>2605362</v>
      </c>
      <c r="K165" s="2">
        <f>SUM('Budget Detail FY 2014-21'!T240:T258)</f>
        <v>2639947</v>
      </c>
    </row>
    <row r="166" spans="2:11" ht="20.100000000000001" customHeight="1">
      <c r="B166" s="15" t="s">
        <v>778</v>
      </c>
      <c r="C166" s="2">
        <f>'Budget Detail FY 2014-21'!L259</f>
        <v>1711</v>
      </c>
      <c r="D166" s="2">
        <f>'Budget Detail FY 2014-21'!M259</f>
        <v>0</v>
      </c>
      <c r="E166" s="2">
        <f>'Budget Detail FY 2014-21'!N259</f>
        <v>5000</v>
      </c>
      <c r="F166" s="2">
        <f>'Budget Detail FY 2014-21'!O259</f>
        <v>5000</v>
      </c>
      <c r="G166" s="2">
        <f>'Budget Detail FY 2014-21'!P259</f>
        <v>5000</v>
      </c>
      <c r="H166" s="2">
        <f>'Budget Detail FY 2014-21'!Q259</f>
        <v>5000</v>
      </c>
      <c r="I166" s="2">
        <f>'Budget Detail FY 2014-21'!R259</f>
        <v>5000</v>
      </c>
      <c r="J166" s="2">
        <f>'Budget Detail FY 2014-21'!S259</f>
        <v>5000</v>
      </c>
      <c r="K166" s="2">
        <f>'Budget Detail FY 2014-21'!T259</f>
        <v>5000</v>
      </c>
    </row>
    <row r="167" spans="2:11" ht="20.100000000000001" customHeight="1">
      <c r="B167" s="15" t="s">
        <v>780</v>
      </c>
      <c r="C167" s="2">
        <f>'Budget Detail FY 2014-21'!L260</f>
        <v>11676</v>
      </c>
      <c r="D167" s="2">
        <f>'Budget Detail FY 2014-21'!M260</f>
        <v>0</v>
      </c>
      <c r="E167" s="2">
        <f>'Budget Detail FY 2014-21'!N260</f>
        <v>0</v>
      </c>
      <c r="F167" s="2">
        <f>'Budget Detail FY 2014-21'!O260</f>
        <v>0</v>
      </c>
      <c r="G167" s="2">
        <f>'Budget Detail FY 2014-21'!P260</f>
        <v>0</v>
      </c>
      <c r="H167" s="2">
        <f>'Budget Detail FY 2014-21'!Q260</f>
        <v>0</v>
      </c>
      <c r="I167" s="2">
        <f>'Budget Detail FY 2014-21'!R260</f>
        <v>0</v>
      </c>
      <c r="J167" s="2">
        <f>'Budget Detail FY 2014-21'!S260</f>
        <v>0</v>
      </c>
      <c r="K167" s="2">
        <f>'Budget Detail FY 2014-21'!T260</f>
        <v>0</v>
      </c>
    </row>
    <row r="168" spans="2:11" ht="20.100000000000001" customHeight="1">
      <c r="B168" s="15" t="s">
        <v>781</v>
      </c>
      <c r="C168" s="2">
        <f>SUM('Budget Detail FY 2014-21'!L261:L268)</f>
        <v>3790688</v>
      </c>
      <c r="D168" s="2">
        <f>SUM('Budget Detail FY 2014-21'!M261:M268)</f>
        <v>2486885</v>
      </c>
      <c r="E168" s="2">
        <f>SUM('Budget Detail FY 2014-21'!N261:N268)</f>
        <v>2439756</v>
      </c>
      <c r="F168" s="2">
        <f>SUM('Budget Detail FY 2014-21'!O261:O268)</f>
        <v>2456533</v>
      </c>
      <c r="G168" s="2">
        <f>SUM('Budget Detail FY 2014-21'!P261:P268)</f>
        <v>2631459</v>
      </c>
      <c r="H168" s="2">
        <f>SUM('Budget Detail FY 2014-21'!Q261:Q268)</f>
        <v>2854307</v>
      </c>
      <c r="I168" s="2">
        <f>SUM('Budget Detail FY 2014-21'!R261:R268)</f>
        <v>2910946</v>
      </c>
      <c r="J168" s="2">
        <f>SUM('Budget Detail FY 2014-21'!S261:S268)</f>
        <v>2968458</v>
      </c>
      <c r="K168" s="2">
        <f>SUM('Budget Detail FY 2014-21'!T261:T268)</f>
        <v>3032557</v>
      </c>
    </row>
    <row r="169" spans="2:11" s="114" customFormat="1" ht="20.100000000000001" customHeight="1" thickBot="1">
      <c r="B169" s="116" t="s">
        <v>931</v>
      </c>
      <c r="C169" s="81">
        <f t="shared" ref="C169:J169" si="5">SUM(C163:C168)</f>
        <v>6487837</v>
      </c>
      <c r="D169" s="81">
        <f t="shared" si="5"/>
        <v>5202932</v>
      </c>
      <c r="E169" s="81">
        <f t="shared" si="5"/>
        <v>5303621</v>
      </c>
      <c r="F169" s="81">
        <f>SUM(F163:F168)</f>
        <v>5302910</v>
      </c>
      <c r="G169" s="81">
        <f t="shared" si="5"/>
        <v>5487319</v>
      </c>
      <c r="H169" s="81">
        <f t="shared" si="5"/>
        <v>5773977</v>
      </c>
      <c r="I169" s="81">
        <f t="shared" si="5"/>
        <v>5867492</v>
      </c>
      <c r="J169" s="81">
        <f t="shared" si="5"/>
        <v>5995137</v>
      </c>
      <c r="K169" s="81">
        <f>SUM(K163:K168)</f>
        <v>6118460</v>
      </c>
    </row>
    <row r="170" spans="2:11" ht="15.75" thickTop="1">
      <c r="B170" s="10"/>
      <c r="C170" s="45"/>
      <c r="D170" s="45"/>
      <c r="E170" s="45"/>
      <c r="F170" s="54"/>
      <c r="G170" s="54"/>
      <c r="H170" s="54"/>
      <c r="I170" s="54"/>
      <c r="J170" s="54"/>
      <c r="K170" s="54"/>
    </row>
    <row r="171" spans="2:11" ht="15">
      <c r="B171" s="10"/>
      <c r="C171" s="45"/>
      <c r="D171" s="45"/>
      <c r="E171" s="45"/>
      <c r="F171" s="54"/>
      <c r="G171" s="54"/>
      <c r="H171" s="54"/>
      <c r="I171" s="54"/>
      <c r="J171" s="54"/>
      <c r="K171" s="54"/>
    </row>
    <row r="172" spans="2:11" ht="15">
      <c r="B172" s="10"/>
      <c r="C172" s="45"/>
      <c r="D172" s="45"/>
      <c r="E172" s="45"/>
      <c r="F172" s="54"/>
      <c r="G172" s="54"/>
      <c r="H172" s="54"/>
      <c r="I172" s="54"/>
      <c r="J172" s="54"/>
      <c r="K172" s="54"/>
    </row>
    <row r="173" spans="2:11" ht="15">
      <c r="B173" s="10"/>
      <c r="C173" s="45"/>
      <c r="D173" s="45"/>
      <c r="E173" s="45"/>
      <c r="F173" s="54"/>
      <c r="G173" s="54"/>
      <c r="H173" s="54"/>
      <c r="I173" s="54"/>
      <c r="J173" s="54"/>
      <c r="K173" s="54"/>
    </row>
    <row r="174" spans="2:11" ht="15">
      <c r="B174" s="10"/>
      <c r="C174" s="45"/>
      <c r="D174" s="45"/>
      <c r="E174" s="45"/>
      <c r="F174" s="54"/>
      <c r="G174" s="54"/>
      <c r="H174" s="54"/>
      <c r="I174" s="54"/>
      <c r="J174" s="54"/>
      <c r="K174" s="54"/>
    </row>
    <row r="175" spans="2:11" ht="15">
      <c r="B175" s="10"/>
      <c r="C175" s="45"/>
      <c r="D175" s="45"/>
      <c r="E175" s="45"/>
      <c r="F175" s="54"/>
      <c r="G175" s="54"/>
      <c r="H175" s="54"/>
      <c r="I175" s="54"/>
      <c r="J175" s="54"/>
      <c r="K175" s="54"/>
    </row>
    <row r="176" spans="2:11" ht="15">
      <c r="B176" s="10"/>
      <c r="C176" s="45"/>
      <c r="D176" s="45"/>
      <c r="E176" s="45"/>
      <c r="F176" s="54"/>
      <c r="G176" s="54"/>
      <c r="H176" s="54"/>
      <c r="I176" s="54"/>
      <c r="J176" s="54"/>
      <c r="K176" s="54"/>
    </row>
    <row r="177" spans="2:11" ht="12.75" customHeight="1">
      <c r="B177" s="10"/>
      <c r="C177" s="45"/>
      <c r="D177" s="45"/>
      <c r="E177" s="45"/>
      <c r="F177" s="54"/>
      <c r="G177" s="54"/>
      <c r="H177" s="54"/>
      <c r="I177" s="54"/>
      <c r="J177" s="54"/>
      <c r="K177" s="54"/>
    </row>
    <row r="178" spans="2:11" ht="18" customHeight="1">
      <c r="B178" s="10"/>
      <c r="C178" s="45"/>
      <c r="D178" s="45"/>
      <c r="E178" s="45"/>
      <c r="F178" s="54"/>
      <c r="G178" s="54"/>
      <c r="H178" s="54"/>
      <c r="I178" s="54"/>
      <c r="J178" s="54"/>
      <c r="K178" s="54"/>
    </row>
    <row r="179" spans="2:11" ht="15">
      <c r="B179" s="10"/>
      <c r="C179" s="45"/>
      <c r="D179" s="45"/>
      <c r="E179" s="45"/>
      <c r="F179" s="54"/>
      <c r="G179" s="54"/>
      <c r="H179" s="54"/>
      <c r="I179" s="54"/>
      <c r="J179" s="54"/>
      <c r="K179" s="54"/>
    </row>
    <row r="180" spans="2:11" ht="15">
      <c r="B180" s="10"/>
      <c r="C180" s="45"/>
      <c r="D180" s="45"/>
      <c r="E180" s="45"/>
      <c r="F180" s="54"/>
      <c r="G180" s="54"/>
      <c r="H180" s="54"/>
      <c r="I180" s="54"/>
      <c r="J180" s="54"/>
      <c r="K180" s="54"/>
    </row>
    <row r="181" spans="2:11" ht="15">
      <c r="B181" s="10"/>
      <c r="C181" s="45"/>
      <c r="D181" s="45"/>
      <c r="E181" s="45"/>
      <c r="F181" s="54"/>
      <c r="G181" s="54"/>
      <c r="H181" s="54"/>
      <c r="I181" s="54"/>
      <c r="J181" s="54"/>
      <c r="K181" s="54"/>
    </row>
    <row r="182" spans="2:11" ht="15">
      <c r="B182" s="10"/>
      <c r="C182" s="45"/>
      <c r="D182" s="45"/>
      <c r="E182" s="45"/>
      <c r="F182" s="54"/>
      <c r="G182" s="54"/>
      <c r="H182" s="54"/>
      <c r="I182" s="54"/>
      <c r="J182" s="54"/>
      <c r="K182" s="54"/>
    </row>
    <row r="183" spans="2:11" ht="15">
      <c r="B183" s="10"/>
      <c r="C183" s="45"/>
      <c r="D183" s="45"/>
      <c r="E183" s="45"/>
      <c r="F183" s="54"/>
      <c r="G183" s="54"/>
      <c r="H183" s="54"/>
      <c r="I183" s="54"/>
      <c r="J183" s="54"/>
      <c r="K183" s="54"/>
    </row>
    <row r="184" spans="2:11" ht="15">
      <c r="B184" s="10"/>
      <c r="C184" s="45"/>
      <c r="D184" s="45"/>
      <c r="E184" s="45"/>
      <c r="F184" s="54"/>
      <c r="G184" s="54"/>
      <c r="H184" s="54"/>
      <c r="I184" s="54"/>
      <c r="J184" s="54"/>
      <c r="K184" s="54"/>
    </row>
    <row r="185" spans="2:11" ht="15">
      <c r="B185" s="10"/>
      <c r="C185" s="45"/>
      <c r="D185" s="45"/>
      <c r="E185" s="45"/>
      <c r="F185" s="54"/>
      <c r="G185" s="54"/>
      <c r="H185" s="54"/>
      <c r="I185" s="54"/>
      <c r="J185" s="54"/>
      <c r="K185" s="54"/>
    </row>
    <row r="186" spans="2:11" ht="15">
      <c r="B186" s="10"/>
      <c r="C186" s="45"/>
      <c r="D186" s="45"/>
      <c r="E186" s="45"/>
      <c r="F186" s="54"/>
      <c r="G186" s="54"/>
      <c r="H186" s="54"/>
      <c r="I186" s="54"/>
      <c r="J186" s="54"/>
      <c r="K186" s="54"/>
    </row>
    <row r="187" spans="2:11" ht="15">
      <c r="B187" s="10"/>
      <c r="C187" s="65"/>
      <c r="D187" s="66"/>
      <c r="E187" s="65" t="s">
        <v>257</v>
      </c>
      <c r="F187" s="1"/>
      <c r="G187" s="1"/>
      <c r="H187" s="1"/>
      <c r="I187" s="1"/>
      <c r="J187" s="1"/>
      <c r="K187" s="1"/>
    </row>
    <row r="188" spans="2:11" ht="15">
      <c r="B188" s="17"/>
      <c r="C188" s="20"/>
      <c r="D188" s="20"/>
      <c r="E188" s="20"/>
      <c r="F188" s="20"/>
      <c r="G188" s="20"/>
      <c r="H188" s="20"/>
      <c r="I188" s="20"/>
      <c r="J188" s="20"/>
      <c r="K188" s="20"/>
    </row>
    <row r="189" spans="2:11" ht="15">
      <c r="B189" s="17"/>
      <c r="C189" s="20"/>
      <c r="D189" s="20"/>
      <c r="E189" s="20"/>
      <c r="F189" s="20"/>
      <c r="G189" s="20"/>
      <c r="H189" s="20"/>
      <c r="I189" s="20"/>
      <c r="J189" s="20"/>
      <c r="K189" s="20"/>
    </row>
    <row r="190" spans="2:11" ht="15">
      <c r="B190" s="33"/>
      <c r="C190" s="20"/>
      <c r="D190" s="20"/>
      <c r="E190" s="20"/>
      <c r="F190" s="20"/>
      <c r="G190" s="20"/>
      <c r="H190" s="20"/>
      <c r="I190" s="20"/>
      <c r="J190" s="20"/>
      <c r="K190" s="20"/>
    </row>
    <row r="191" spans="2:11" ht="15">
      <c r="B191" s="18"/>
      <c r="C191" s="20"/>
      <c r="D191" s="20"/>
      <c r="E191" s="20"/>
      <c r="F191" s="20"/>
      <c r="G191" s="20"/>
      <c r="H191" s="20"/>
      <c r="I191" s="20"/>
      <c r="J191" s="20"/>
      <c r="K191" s="20"/>
    </row>
    <row r="192" spans="2:11" ht="15">
      <c r="B192" s="18"/>
      <c r="C192" s="20"/>
      <c r="D192" s="20"/>
      <c r="E192" s="20"/>
      <c r="F192" s="20"/>
      <c r="G192" s="20"/>
      <c r="H192" s="20"/>
      <c r="I192" s="20"/>
      <c r="J192" s="20"/>
      <c r="K192" s="20"/>
    </row>
    <row r="193" spans="2:11" ht="15">
      <c r="B193" s="13"/>
      <c r="C193" s="20"/>
      <c r="D193" s="20"/>
      <c r="E193" s="20"/>
      <c r="F193" s="20"/>
      <c r="G193" s="20"/>
      <c r="H193" s="20"/>
      <c r="I193" s="20"/>
      <c r="J193" s="20"/>
      <c r="K193" s="20"/>
    </row>
    <row r="194" spans="2:11" ht="15">
      <c r="B194" s="13"/>
      <c r="C194" s="20"/>
      <c r="D194" s="20"/>
      <c r="E194" s="20"/>
      <c r="F194" s="20"/>
      <c r="G194" s="20"/>
      <c r="H194" s="20"/>
      <c r="I194" s="20"/>
      <c r="J194" s="20"/>
      <c r="K194" s="20"/>
    </row>
    <row r="195" spans="2:11" ht="15">
      <c r="B195" s="13"/>
      <c r="C195" s="20"/>
      <c r="D195" s="20"/>
      <c r="E195" s="20"/>
      <c r="F195" s="20"/>
      <c r="G195" s="20"/>
      <c r="H195" s="20"/>
      <c r="I195" s="20"/>
      <c r="J195" s="20"/>
      <c r="K195" s="20"/>
    </row>
    <row r="196" spans="2:11" ht="15">
      <c r="B196" s="13"/>
      <c r="C196" s="20"/>
      <c r="D196" s="20"/>
      <c r="E196" s="20"/>
      <c r="F196" s="20"/>
      <c r="G196" s="20"/>
      <c r="H196" s="20"/>
      <c r="I196" s="20"/>
      <c r="J196" s="20"/>
      <c r="K196" s="20"/>
    </row>
    <row r="197" spans="2:11" ht="15">
      <c r="B197" s="13"/>
      <c r="C197" s="20"/>
      <c r="D197" s="20"/>
      <c r="E197" s="20"/>
      <c r="F197" s="20"/>
      <c r="G197" s="20"/>
      <c r="H197" s="20"/>
      <c r="I197" s="20"/>
      <c r="J197" s="20"/>
      <c r="K197" s="20"/>
    </row>
    <row r="198" spans="2:11" ht="15">
      <c r="B198" s="13"/>
      <c r="C198" s="20"/>
      <c r="D198" s="20"/>
      <c r="E198" s="20"/>
      <c r="F198" s="20"/>
      <c r="G198" s="20"/>
      <c r="H198" s="20"/>
      <c r="I198" s="20"/>
      <c r="J198" s="20"/>
      <c r="K198" s="20"/>
    </row>
    <row r="199" spans="2:11" ht="15">
      <c r="B199" s="13"/>
      <c r="C199" s="20"/>
      <c r="D199" s="20"/>
      <c r="E199" s="20"/>
      <c r="F199" s="20"/>
      <c r="G199" s="20"/>
      <c r="H199" s="20"/>
      <c r="I199" s="20"/>
      <c r="J199" s="20"/>
      <c r="K199" s="20"/>
    </row>
    <row r="200" spans="2:11" ht="15">
      <c r="B200" s="13"/>
      <c r="C200" s="20"/>
      <c r="D200" s="20"/>
      <c r="E200" s="20"/>
      <c r="F200" s="20"/>
      <c r="G200" s="20"/>
      <c r="H200" s="20"/>
      <c r="I200" s="20"/>
      <c r="J200" s="20"/>
      <c r="K200" s="20"/>
    </row>
    <row r="201" spans="2:11" ht="15">
      <c r="B201" s="13"/>
      <c r="C201" s="20"/>
      <c r="D201" s="20"/>
      <c r="E201" s="20"/>
      <c r="F201" s="20"/>
      <c r="G201" s="20"/>
      <c r="H201" s="20"/>
      <c r="I201" s="20"/>
      <c r="J201" s="20"/>
      <c r="K201" s="20"/>
    </row>
    <row r="202" spans="2:11" ht="15">
      <c r="B202" s="13"/>
      <c r="C202" s="20"/>
      <c r="D202" s="20"/>
      <c r="E202" s="20"/>
      <c r="F202" s="20"/>
      <c r="G202" s="20"/>
      <c r="H202" s="20"/>
      <c r="I202" s="20"/>
      <c r="J202" s="20"/>
      <c r="K202" s="20"/>
    </row>
    <row r="205" spans="2:11" ht="18.75">
      <c r="B205" s="755"/>
      <c r="C205" s="755"/>
      <c r="D205" s="755"/>
      <c r="E205" s="755"/>
      <c r="F205" s="755"/>
      <c r="G205" s="755"/>
      <c r="H205" s="755"/>
      <c r="I205" s="755"/>
      <c r="J205" s="755"/>
      <c r="K205" s="26"/>
    </row>
    <row r="206" spans="2:11" ht="15">
      <c r="B206" s="27"/>
      <c r="C206" s="20"/>
      <c r="D206" s="20"/>
      <c r="E206" s="20"/>
      <c r="F206" s="20"/>
      <c r="G206" s="20"/>
      <c r="H206" s="20"/>
      <c r="I206" s="20"/>
      <c r="J206" s="20"/>
      <c r="K206" s="20"/>
    </row>
    <row r="207" spans="2:11">
      <c r="B207" s="754"/>
      <c r="C207" s="754"/>
      <c r="D207" s="754"/>
      <c r="E207" s="754"/>
      <c r="F207" s="754"/>
      <c r="G207" s="754"/>
      <c r="H207" s="754"/>
      <c r="I207" s="754"/>
      <c r="J207" s="754"/>
      <c r="K207" s="26"/>
    </row>
    <row r="208" spans="2:11" ht="20.25" customHeight="1">
      <c r="B208" s="754"/>
      <c r="C208" s="754"/>
      <c r="D208" s="754"/>
      <c r="E208" s="754"/>
      <c r="F208" s="754"/>
      <c r="G208" s="754"/>
      <c r="H208" s="754"/>
      <c r="I208" s="754"/>
      <c r="J208" s="754"/>
      <c r="K208" s="26"/>
    </row>
    <row r="209" spans="2:11" ht="15">
      <c r="B209" s="28"/>
      <c r="C209" s="29"/>
      <c r="D209" s="29"/>
      <c r="E209" s="29"/>
      <c r="F209" s="29"/>
      <c r="G209" s="29"/>
      <c r="H209" s="20"/>
      <c r="I209" s="20"/>
      <c r="J209" s="20"/>
      <c r="K209" s="20"/>
    </row>
    <row r="210" spans="2:11" ht="15">
      <c r="B210" s="30"/>
      <c r="C210" s="20"/>
      <c r="D210" s="23"/>
      <c r="E210" s="23"/>
      <c r="F210" s="23"/>
      <c r="G210" s="20"/>
      <c r="H210" s="20"/>
      <c r="I210" s="20"/>
      <c r="J210" s="20"/>
      <c r="K210" s="20"/>
    </row>
    <row r="211" spans="2:11" ht="15">
      <c r="B211" s="21"/>
      <c r="C211" s="23"/>
      <c r="D211" s="23"/>
      <c r="E211" s="23"/>
      <c r="F211" s="23"/>
      <c r="G211" s="23"/>
      <c r="H211" s="23"/>
      <c r="I211" s="23"/>
      <c r="J211" s="23"/>
      <c r="K211" s="23"/>
    </row>
    <row r="212" spans="2:11" ht="15">
      <c r="B212" s="13"/>
      <c r="C212" s="23"/>
      <c r="D212" s="23"/>
      <c r="E212" s="32"/>
      <c r="F212" s="32"/>
      <c r="G212" s="32"/>
      <c r="H212" s="32"/>
      <c r="I212" s="32"/>
      <c r="J212" s="32"/>
      <c r="K212" s="32"/>
    </row>
    <row r="213" spans="2:11" ht="15">
      <c r="B213" s="13"/>
      <c r="C213" s="23"/>
      <c r="D213" s="20"/>
      <c r="E213" s="20"/>
      <c r="F213" s="20"/>
      <c r="G213" s="20"/>
      <c r="H213" s="20"/>
      <c r="I213" s="20"/>
      <c r="J213" s="20"/>
      <c r="K213" s="20"/>
    </row>
    <row r="214" spans="2:11" ht="15">
      <c r="B214" s="33"/>
      <c r="C214" s="20"/>
      <c r="D214" s="20"/>
      <c r="E214" s="20"/>
      <c r="F214" s="20"/>
      <c r="G214" s="20"/>
      <c r="H214" s="20"/>
      <c r="I214" s="20"/>
      <c r="J214" s="20"/>
      <c r="K214" s="20"/>
    </row>
    <row r="215" spans="2:11" ht="15">
      <c r="B215" s="35"/>
      <c r="C215" s="20"/>
      <c r="D215" s="20"/>
      <c r="E215" s="20"/>
      <c r="F215" s="20"/>
      <c r="G215" s="20"/>
      <c r="H215" s="20"/>
      <c r="I215" s="20"/>
      <c r="J215" s="20"/>
      <c r="K215" s="20"/>
    </row>
    <row r="216" spans="2:11" ht="15">
      <c r="B216" s="35"/>
      <c r="C216" s="20"/>
      <c r="D216" s="20"/>
      <c r="E216" s="20"/>
      <c r="F216" s="20"/>
      <c r="G216" s="20"/>
      <c r="H216" s="20"/>
      <c r="I216" s="20"/>
      <c r="J216" s="20"/>
      <c r="K216" s="20"/>
    </row>
    <row r="217" spans="2:11" ht="15">
      <c r="B217" s="35"/>
      <c r="C217" s="20"/>
      <c r="D217" s="20"/>
      <c r="E217" s="20"/>
      <c r="F217" s="20"/>
      <c r="G217" s="20"/>
      <c r="H217" s="20"/>
      <c r="I217" s="20"/>
      <c r="J217" s="20"/>
      <c r="K217" s="20"/>
    </row>
    <row r="218" spans="2:11" ht="15">
      <c r="B218" s="35"/>
      <c r="C218" s="20"/>
      <c r="D218" s="20"/>
      <c r="E218" s="20"/>
      <c r="F218" s="20"/>
      <c r="G218" s="20"/>
      <c r="H218" s="20"/>
      <c r="I218" s="20"/>
      <c r="J218" s="20"/>
      <c r="K218" s="20"/>
    </row>
    <row r="219" spans="2:11" ht="15">
      <c r="B219" s="16"/>
      <c r="C219" s="20"/>
      <c r="D219" s="20"/>
      <c r="E219" s="20"/>
      <c r="F219" s="20"/>
      <c r="G219" s="20"/>
      <c r="H219" s="20"/>
      <c r="I219" s="20"/>
      <c r="J219" s="20"/>
      <c r="K219" s="20"/>
    </row>
    <row r="220" spans="2:11" ht="15">
      <c r="B220" s="13"/>
      <c r="C220" s="20"/>
      <c r="D220" s="20"/>
      <c r="E220" s="20"/>
      <c r="F220" s="20"/>
      <c r="G220" s="20"/>
      <c r="H220" s="20"/>
      <c r="I220" s="20"/>
      <c r="J220" s="20"/>
      <c r="K220" s="20"/>
    </row>
    <row r="221" spans="2:11" ht="15">
      <c r="B221" s="33"/>
      <c r="C221" s="20"/>
      <c r="D221" s="20"/>
      <c r="E221" s="20"/>
      <c r="F221" s="20"/>
      <c r="G221" s="20"/>
      <c r="H221" s="20"/>
      <c r="I221" s="20"/>
      <c r="J221" s="20"/>
      <c r="K221" s="20"/>
    </row>
    <row r="222" spans="2:11" ht="15">
      <c r="B222" s="15"/>
      <c r="C222" s="20"/>
      <c r="D222" s="20"/>
      <c r="E222" s="20"/>
      <c r="F222" s="20"/>
      <c r="G222" s="20"/>
      <c r="H222" s="20"/>
      <c r="I222" s="20"/>
      <c r="J222" s="20"/>
      <c r="K222" s="20"/>
    </row>
    <row r="223" spans="2:11" ht="15">
      <c r="B223" s="15"/>
      <c r="C223" s="20"/>
      <c r="D223" s="20"/>
      <c r="E223" s="20"/>
      <c r="F223" s="20"/>
      <c r="G223" s="20"/>
      <c r="H223" s="20"/>
      <c r="I223" s="20"/>
      <c r="J223" s="20"/>
      <c r="K223" s="20"/>
    </row>
    <row r="224" spans="2:11" ht="15">
      <c r="B224" s="16"/>
      <c r="C224" s="20"/>
      <c r="D224" s="20"/>
      <c r="E224" s="20"/>
      <c r="F224" s="20"/>
      <c r="G224" s="20"/>
      <c r="H224" s="20"/>
      <c r="I224" s="20"/>
      <c r="J224" s="20"/>
      <c r="K224" s="20"/>
    </row>
    <row r="225" spans="2:11" ht="15">
      <c r="B225" s="16"/>
      <c r="C225" s="20"/>
      <c r="D225" s="20"/>
      <c r="E225" s="20"/>
      <c r="F225" s="20"/>
      <c r="G225" s="20"/>
      <c r="H225" s="20"/>
      <c r="I225" s="20"/>
      <c r="J225" s="20"/>
      <c r="K225" s="20"/>
    </row>
    <row r="226" spans="2:11" ht="15">
      <c r="B226" s="17"/>
      <c r="C226" s="20"/>
      <c r="D226" s="20"/>
      <c r="E226" s="20"/>
      <c r="F226" s="20"/>
      <c r="G226" s="20"/>
      <c r="H226" s="20"/>
      <c r="I226" s="20"/>
      <c r="J226" s="20"/>
      <c r="K226" s="20"/>
    </row>
    <row r="227" spans="2:11" ht="15">
      <c r="B227" s="17"/>
      <c r="C227" s="20"/>
      <c r="D227" s="20"/>
      <c r="E227" s="20"/>
      <c r="F227" s="20"/>
      <c r="G227" s="20"/>
      <c r="H227" s="20"/>
      <c r="I227" s="20"/>
      <c r="J227" s="20"/>
      <c r="K227" s="20"/>
    </row>
    <row r="228" spans="2:11" ht="15">
      <c r="B228" s="33"/>
      <c r="C228" s="20"/>
      <c r="D228" s="20"/>
      <c r="E228" s="20"/>
      <c r="F228" s="20"/>
      <c r="G228" s="20"/>
      <c r="H228" s="20"/>
      <c r="I228" s="20"/>
      <c r="J228" s="20"/>
      <c r="K228" s="20"/>
    </row>
    <row r="229" spans="2:11" ht="15">
      <c r="B229" s="18"/>
      <c r="C229" s="20"/>
      <c r="D229" s="20"/>
      <c r="E229" s="20"/>
      <c r="F229" s="20"/>
      <c r="G229" s="20"/>
      <c r="H229" s="20"/>
      <c r="I229" s="20"/>
      <c r="J229" s="20"/>
      <c r="K229" s="20"/>
    </row>
    <row r="230" spans="2:11" ht="15">
      <c r="B230" s="13"/>
      <c r="C230" s="20"/>
      <c r="D230" s="20"/>
      <c r="E230" s="20"/>
      <c r="F230" s="20"/>
      <c r="G230" s="20"/>
      <c r="H230" s="20"/>
      <c r="I230" s="20"/>
      <c r="J230" s="20"/>
      <c r="K230" s="20"/>
    </row>
    <row r="231" spans="2:11" ht="15">
      <c r="B231" s="13"/>
      <c r="C231" s="20"/>
      <c r="D231" s="20"/>
      <c r="E231" s="20"/>
      <c r="F231" s="20"/>
      <c r="G231" s="20"/>
      <c r="H231" s="20"/>
      <c r="I231" s="20"/>
      <c r="J231" s="20"/>
      <c r="K231" s="20"/>
    </row>
    <row r="232" spans="2:11" ht="15">
      <c r="B232" s="13"/>
      <c r="C232" s="20"/>
      <c r="D232" s="20"/>
      <c r="E232" s="20"/>
      <c r="F232" s="20"/>
      <c r="G232" s="20"/>
      <c r="H232" s="20"/>
      <c r="I232" s="20"/>
      <c r="J232" s="20"/>
      <c r="K232" s="20"/>
    </row>
    <row r="233" spans="2:11" ht="15">
      <c r="B233" s="13"/>
      <c r="C233" s="20"/>
      <c r="D233" s="20"/>
      <c r="E233" s="20"/>
      <c r="F233" s="20"/>
      <c r="G233" s="20"/>
      <c r="H233" s="20"/>
      <c r="I233" s="20"/>
      <c r="J233" s="20"/>
      <c r="K233" s="20"/>
    </row>
    <row r="234" spans="2:11" ht="15">
      <c r="B234" s="13"/>
      <c r="C234" s="20"/>
      <c r="D234" s="20"/>
      <c r="E234" s="20"/>
      <c r="F234" s="20"/>
      <c r="G234" s="20"/>
      <c r="H234" s="20"/>
      <c r="I234" s="20"/>
      <c r="J234" s="20"/>
      <c r="K234" s="20"/>
    </row>
    <row r="235" spans="2:11" ht="15">
      <c r="B235" s="13"/>
      <c r="C235" s="20"/>
      <c r="D235" s="20"/>
      <c r="E235" s="20"/>
      <c r="F235" s="20"/>
      <c r="G235" s="20"/>
      <c r="H235" s="20"/>
      <c r="I235" s="20"/>
      <c r="J235" s="20"/>
      <c r="K235" s="20"/>
    </row>
    <row r="236" spans="2:11" ht="15">
      <c r="B236" s="13"/>
      <c r="C236" s="20"/>
      <c r="D236" s="20"/>
      <c r="E236" s="20"/>
      <c r="F236" s="20"/>
      <c r="G236" s="20"/>
      <c r="H236" s="20"/>
      <c r="I236" s="20"/>
      <c r="J236" s="20"/>
      <c r="K236" s="20"/>
    </row>
    <row r="237" spans="2:11" ht="15">
      <c r="B237" s="13"/>
      <c r="C237" s="20"/>
      <c r="D237" s="20"/>
      <c r="E237" s="20"/>
      <c r="F237" s="20"/>
      <c r="G237" s="20"/>
      <c r="H237" s="20"/>
      <c r="I237" s="20"/>
      <c r="J237" s="20"/>
      <c r="K237" s="20"/>
    </row>
    <row r="238" spans="2:11" ht="15">
      <c r="B238" s="13"/>
      <c r="C238" s="20"/>
      <c r="D238" s="20"/>
      <c r="E238" s="20"/>
      <c r="F238" s="20"/>
      <c r="G238" s="20"/>
      <c r="H238" s="20"/>
      <c r="I238" s="20"/>
      <c r="J238" s="20"/>
      <c r="K238" s="20"/>
    </row>
    <row r="239" spans="2:11" ht="15">
      <c r="B239" s="13"/>
      <c r="C239" s="20"/>
      <c r="D239" s="20"/>
      <c r="E239" s="20"/>
      <c r="F239" s="20"/>
      <c r="G239" s="20"/>
      <c r="H239" s="20"/>
      <c r="I239" s="20"/>
      <c r="J239" s="20"/>
      <c r="K239" s="20"/>
    </row>
    <row r="240" spans="2:11" ht="15">
      <c r="B240" s="13"/>
      <c r="C240" s="20"/>
      <c r="D240" s="20"/>
      <c r="E240" s="20"/>
      <c r="F240" s="20"/>
      <c r="G240" s="20"/>
      <c r="H240" s="20"/>
      <c r="I240" s="20"/>
      <c r="J240" s="20"/>
      <c r="K240" s="20"/>
    </row>
    <row r="242" spans="2:11" ht="18.75">
      <c r="B242" s="755"/>
      <c r="C242" s="755"/>
      <c r="D242" s="755"/>
      <c r="E242" s="755"/>
      <c r="F242" s="755"/>
      <c r="G242" s="755"/>
      <c r="H242" s="755"/>
      <c r="I242" s="755"/>
      <c r="J242" s="755"/>
      <c r="K242" s="26"/>
    </row>
    <row r="243" spans="2:11" ht="15">
      <c r="B243" s="27"/>
      <c r="C243" s="20"/>
      <c r="D243" s="20"/>
      <c r="E243" s="20"/>
      <c r="F243" s="20"/>
      <c r="G243" s="20"/>
      <c r="H243" s="20"/>
      <c r="I243" s="20"/>
      <c r="J243" s="20"/>
      <c r="K243" s="20"/>
    </row>
    <row r="244" spans="2:11" ht="15">
      <c r="B244" s="754"/>
      <c r="C244" s="754"/>
      <c r="D244" s="754"/>
      <c r="E244" s="754"/>
      <c r="F244" s="754"/>
      <c r="G244" s="754"/>
      <c r="H244" s="754"/>
      <c r="I244" s="754"/>
      <c r="J244" s="754"/>
      <c r="K244" s="26"/>
    </row>
    <row r="245" spans="2:11" ht="15">
      <c r="B245" s="28"/>
      <c r="C245" s="29"/>
      <c r="D245" s="29"/>
      <c r="E245" s="29"/>
      <c r="F245" s="29"/>
      <c r="G245" s="29"/>
      <c r="H245" s="20"/>
      <c r="I245" s="20"/>
      <c r="J245" s="20"/>
      <c r="K245" s="20"/>
    </row>
    <row r="246" spans="2:11" ht="15">
      <c r="B246" s="30"/>
      <c r="C246" s="20"/>
      <c r="D246" s="23"/>
      <c r="E246" s="23"/>
      <c r="F246" s="23"/>
      <c r="G246" s="20"/>
      <c r="H246" s="20"/>
      <c r="I246" s="20"/>
      <c r="J246" s="20"/>
      <c r="K246" s="20"/>
    </row>
    <row r="247" spans="2:11" ht="15">
      <c r="B247" s="21"/>
      <c r="C247" s="23"/>
      <c r="D247" s="31"/>
      <c r="E247" s="23"/>
      <c r="F247" s="23"/>
      <c r="G247" s="23"/>
      <c r="H247" s="23"/>
      <c r="I247" s="23"/>
      <c r="J247" s="23"/>
      <c r="K247" s="23"/>
    </row>
    <row r="248" spans="2:11" ht="15">
      <c r="B248" s="13"/>
      <c r="C248" s="23"/>
      <c r="D248" s="23"/>
      <c r="E248" s="32"/>
      <c r="F248" s="32"/>
      <c r="G248" s="32"/>
      <c r="H248" s="32"/>
      <c r="I248" s="32"/>
      <c r="J248" s="32"/>
      <c r="K248" s="32"/>
    </row>
    <row r="249" spans="2:11" ht="15">
      <c r="B249" s="13"/>
      <c r="C249" s="23"/>
      <c r="D249" s="20"/>
      <c r="E249" s="20"/>
      <c r="F249" s="20"/>
      <c r="G249" s="20"/>
      <c r="H249" s="20"/>
      <c r="I249" s="20"/>
      <c r="J249" s="20"/>
      <c r="K249" s="20"/>
    </row>
    <row r="250" spans="2:11" ht="15">
      <c r="B250" s="33"/>
      <c r="C250" s="20"/>
      <c r="D250" s="20"/>
      <c r="E250" s="20"/>
      <c r="F250" s="20"/>
      <c r="G250" s="20"/>
      <c r="H250" s="20"/>
      <c r="I250" s="20"/>
      <c r="J250" s="20"/>
      <c r="K250" s="20"/>
    </row>
    <row r="251" spans="2:11" ht="15">
      <c r="B251" s="35"/>
      <c r="C251" s="20"/>
      <c r="D251" s="20"/>
      <c r="E251" s="20"/>
      <c r="F251" s="20"/>
      <c r="G251" s="20"/>
      <c r="H251" s="20"/>
      <c r="I251" s="20"/>
      <c r="J251" s="20"/>
      <c r="K251" s="20"/>
    </row>
    <row r="252" spans="2:11" ht="15">
      <c r="B252" s="35"/>
      <c r="C252" s="20"/>
      <c r="D252" s="20"/>
      <c r="E252" s="20"/>
      <c r="F252" s="20"/>
      <c r="G252" s="20"/>
      <c r="H252" s="20"/>
      <c r="I252" s="20"/>
      <c r="J252" s="20"/>
      <c r="K252" s="20"/>
    </row>
    <row r="253" spans="2:11" ht="15">
      <c r="B253" s="35"/>
      <c r="C253" s="20"/>
      <c r="D253" s="20"/>
      <c r="E253" s="20"/>
      <c r="F253" s="20"/>
      <c r="G253" s="20"/>
      <c r="H253" s="20"/>
      <c r="I253" s="20"/>
      <c r="J253" s="20"/>
      <c r="K253" s="20"/>
    </row>
    <row r="254" spans="2:11" ht="15">
      <c r="B254" s="35"/>
      <c r="C254" s="20"/>
      <c r="D254" s="20"/>
      <c r="E254" s="20"/>
      <c r="F254" s="20"/>
      <c r="G254" s="20"/>
      <c r="H254" s="20"/>
      <c r="I254" s="20"/>
      <c r="J254" s="20"/>
      <c r="K254" s="20"/>
    </row>
    <row r="255" spans="2:11" ht="15">
      <c r="B255" s="35"/>
      <c r="C255" s="20"/>
      <c r="D255" s="20"/>
      <c r="E255" s="20"/>
      <c r="F255" s="20"/>
      <c r="G255" s="20"/>
      <c r="H255" s="20"/>
      <c r="I255" s="20"/>
      <c r="J255" s="20"/>
      <c r="K255" s="20"/>
    </row>
    <row r="256" spans="2:11" ht="15">
      <c r="B256" s="35"/>
      <c r="C256" s="20"/>
      <c r="D256" s="20"/>
      <c r="E256" s="20"/>
      <c r="F256" s="20"/>
      <c r="G256" s="20"/>
      <c r="H256" s="20"/>
      <c r="I256" s="20"/>
      <c r="J256" s="20"/>
      <c r="K256" s="20"/>
    </row>
    <row r="257" spans="2:11" ht="15">
      <c r="B257" s="16"/>
      <c r="C257" s="20"/>
      <c r="D257" s="20"/>
      <c r="E257" s="20"/>
      <c r="F257" s="20"/>
      <c r="G257" s="20"/>
      <c r="H257" s="20"/>
      <c r="I257" s="20"/>
      <c r="J257" s="20"/>
      <c r="K257" s="20"/>
    </row>
    <row r="258" spans="2:11" ht="15">
      <c r="B258" s="13"/>
      <c r="C258" s="20"/>
      <c r="D258" s="20"/>
      <c r="E258" s="20"/>
      <c r="F258" s="20"/>
      <c r="G258" s="20"/>
      <c r="H258" s="20"/>
      <c r="I258" s="20"/>
      <c r="J258" s="20"/>
      <c r="K258" s="20"/>
    </row>
    <row r="259" spans="2:11" ht="15">
      <c r="B259" s="33"/>
      <c r="C259" s="20"/>
      <c r="D259" s="20"/>
      <c r="E259" s="20"/>
      <c r="F259" s="20"/>
      <c r="G259" s="20"/>
      <c r="H259" s="20"/>
      <c r="I259" s="20"/>
      <c r="J259" s="20"/>
      <c r="K259" s="20"/>
    </row>
    <row r="260" spans="2:11" ht="15">
      <c r="B260" s="15"/>
      <c r="C260" s="20"/>
      <c r="D260" s="20"/>
      <c r="E260" s="20"/>
      <c r="F260" s="20"/>
      <c r="G260" s="20"/>
      <c r="H260" s="20"/>
      <c r="I260" s="20"/>
      <c r="J260" s="20"/>
      <c r="K260" s="20"/>
    </row>
    <row r="261" spans="2:11" ht="15">
      <c r="B261" s="15"/>
      <c r="C261" s="20"/>
      <c r="D261" s="20"/>
      <c r="E261" s="20"/>
      <c r="F261" s="20"/>
      <c r="G261" s="20"/>
      <c r="H261" s="20"/>
      <c r="I261" s="20"/>
      <c r="J261" s="20"/>
      <c r="K261" s="20"/>
    </row>
    <row r="262" spans="2:11" ht="15">
      <c r="B262" s="15"/>
      <c r="C262" s="20"/>
      <c r="D262" s="20"/>
      <c r="E262" s="20"/>
      <c r="F262" s="20"/>
      <c r="G262" s="20"/>
      <c r="H262" s="20"/>
      <c r="I262" s="20"/>
      <c r="J262" s="20"/>
      <c r="K262" s="20"/>
    </row>
    <row r="263" spans="2:11" ht="15">
      <c r="B263" s="16"/>
      <c r="C263" s="20"/>
      <c r="D263" s="20"/>
      <c r="E263" s="20"/>
      <c r="F263" s="20"/>
      <c r="G263" s="20"/>
      <c r="H263" s="20"/>
      <c r="I263" s="20"/>
      <c r="J263" s="20"/>
      <c r="K263" s="20"/>
    </row>
    <row r="264" spans="2:11" ht="15">
      <c r="B264" s="16"/>
      <c r="C264" s="20"/>
      <c r="D264" s="20"/>
      <c r="E264" s="20"/>
      <c r="F264" s="20"/>
      <c r="G264" s="20"/>
      <c r="H264" s="20"/>
      <c r="I264" s="20"/>
      <c r="J264" s="20"/>
      <c r="K264" s="20"/>
    </row>
    <row r="265" spans="2:11" ht="15">
      <c r="B265" s="17"/>
      <c r="C265" s="20"/>
      <c r="D265" s="20"/>
      <c r="E265" s="20"/>
      <c r="F265" s="20"/>
      <c r="G265" s="20"/>
      <c r="H265" s="20"/>
      <c r="I265" s="20"/>
      <c r="J265" s="20"/>
      <c r="K265" s="20"/>
    </row>
    <row r="266" spans="2:11" ht="15">
      <c r="B266" s="17"/>
      <c r="C266" s="20"/>
      <c r="D266" s="20"/>
      <c r="E266" s="20"/>
      <c r="F266" s="20"/>
      <c r="G266" s="20"/>
      <c r="H266" s="20"/>
      <c r="I266" s="20"/>
      <c r="J266" s="20"/>
      <c r="K266" s="20"/>
    </row>
    <row r="267" spans="2:11" ht="15">
      <c r="B267" s="33"/>
      <c r="C267" s="20"/>
      <c r="D267" s="20"/>
      <c r="E267" s="20"/>
      <c r="F267" s="20"/>
      <c r="G267" s="20"/>
      <c r="H267" s="20"/>
      <c r="I267" s="20"/>
      <c r="J267" s="20"/>
      <c r="K267" s="20"/>
    </row>
    <row r="268" spans="2:11" ht="15">
      <c r="B268" s="18"/>
      <c r="C268" s="20"/>
      <c r="D268" s="20"/>
      <c r="E268" s="20"/>
      <c r="F268" s="20"/>
      <c r="G268" s="20"/>
      <c r="H268" s="20"/>
      <c r="I268" s="20"/>
      <c r="J268" s="20"/>
      <c r="K268" s="20"/>
    </row>
    <row r="269" spans="2:11" ht="15">
      <c r="B269" s="18"/>
      <c r="C269" s="20"/>
      <c r="D269" s="20"/>
      <c r="E269" s="20"/>
      <c r="F269" s="20"/>
      <c r="G269" s="20"/>
      <c r="H269" s="20"/>
      <c r="I269" s="20"/>
      <c r="J269" s="20"/>
      <c r="K269" s="20"/>
    </row>
    <row r="270" spans="2:11" ht="15">
      <c r="B270" s="13"/>
      <c r="C270" s="20"/>
      <c r="D270" s="20"/>
      <c r="E270" s="20"/>
      <c r="F270" s="20"/>
      <c r="G270" s="20"/>
      <c r="H270" s="20"/>
      <c r="I270" s="20"/>
      <c r="J270" s="20"/>
      <c r="K270" s="20"/>
    </row>
    <row r="271" spans="2:11" ht="15">
      <c r="B271" s="13"/>
      <c r="C271" s="20"/>
      <c r="D271" s="20"/>
      <c r="E271" s="20"/>
      <c r="F271" s="20"/>
      <c r="G271" s="20"/>
      <c r="H271" s="20"/>
      <c r="I271" s="20"/>
      <c r="J271" s="20"/>
      <c r="K271" s="20"/>
    </row>
    <row r="272" spans="2:11" ht="15">
      <c r="B272" s="13"/>
      <c r="C272" s="20"/>
      <c r="D272" s="20"/>
      <c r="E272" s="20"/>
      <c r="F272" s="20"/>
      <c r="G272" s="20"/>
      <c r="H272" s="20"/>
      <c r="I272" s="20"/>
      <c r="J272" s="20"/>
      <c r="K272" s="20"/>
    </row>
    <row r="273" spans="2:11" ht="15">
      <c r="B273" s="13"/>
      <c r="C273" s="20"/>
      <c r="D273" s="20"/>
      <c r="E273" s="20"/>
      <c r="F273" s="20"/>
      <c r="G273" s="20"/>
      <c r="H273" s="20"/>
      <c r="I273" s="20"/>
      <c r="J273" s="20"/>
      <c r="K273" s="20"/>
    </row>
    <row r="274" spans="2:11" ht="15">
      <c r="B274" s="13"/>
      <c r="C274" s="20"/>
      <c r="D274" s="20"/>
      <c r="E274" s="20"/>
      <c r="F274" s="20"/>
      <c r="G274" s="20"/>
      <c r="H274" s="20"/>
      <c r="I274" s="20"/>
      <c r="J274" s="20"/>
      <c r="K274" s="20"/>
    </row>
    <row r="275" spans="2:11" ht="15">
      <c r="B275" s="13"/>
      <c r="C275" s="20"/>
      <c r="D275" s="20"/>
      <c r="E275" s="20"/>
      <c r="F275" s="20"/>
      <c r="G275" s="20"/>
      <c r="H275" s="20"/>
      <c r="I275" s="20"/>
      <c r="J275" s="20"/>
      <c r="K275" s="20"/>
    </row>
    <row r="276" spans="2:11" ht="15">
      <c r="B276" s="13"/>
      <c r="C276" s="20"/>
      <c r="D276" s="20"/>
      <c r="E276" s="20"/>
      <c r="F276" s="20"/>
      <c r="G276" s="20"/>
      <c r="H276" s="20"/>
      <c r="I276" s="20"/>
      <c r="J276" s="20"/>
      <c r="K276" s="20"/>
    </row>
    <row r="277" spans="2:11" ht="15">
      <c r="B277" s="13"/>
      <c r="C277" s="20"/>
      <c r="D277" s="20"/>
      <c r="E277" s="20"/>
      <c r="F277" s="20"/>
      <c r="G277" s="20"/>
      <c r="H277" s="20"/>
      <c r="I277" s="20"/>
      <c r="J277" s="20"/>
      <c r="K277" s="20"/>
    </row>
    <row r="278" spans="2:11" ht="15">
      <c r="B278" s="13"/>
      <c r="C278" s="20"/>
      <c r="D278" s="20"/>
      <c r="E278" s="20"/>
      <c r="F278" s="20"/>
      <c r="G278" s="20"/>
      <c r="H278" s="20"/>
      <c r="I278" s="20"/>
      <c r="J278" s="20"/>
      <c r="K278" s="20"/>
    </row>
    <row r="279" spans="2:11" ht="15">
      <c r="B279" s="13"/>
      <c r="C279" s="20"/>
      <c r="D279" s="20"/>
      <c r="E279" s="20"/>
      <c r="F279" s="20"/>
      <c r="G279" s="20"/>
      <c r="H279" s="20"/>
      <c r="I279" s="20"/>
      <c r="J279" s="20"/>
      <c r="K279" s="20"/>
    </row>
    <row r="282" spans="2:11" ht="18.75">
      <c r="B282" s="755"/>
      <c r="C282" s="755"/>
      <c r="D282" s="755"/>
      <c r="E282" s="755"/>
      <c r="F282" s="755"/>
      <c r="G282" s="755"/>
      <c r="H282" s="755"/>
      <c r="I282" s="755"/>
      <c r="J282" s="755"/>
      <c r="K282" s="26"/>
    </row>
    <row r="283" spans="2:11" ht="15">
      <c r="B283" s="27"/>
      <c r="C283" s="20"/>
      <c r="D283" s="20"/>
      <c r="E283" s="20"/>
      <c r="F283" s="20"/>
      <c r="G283" s="20"/>
      <c r="H283" s="20"/>
      <c r="I283" s="20"/>
      <c r="J283" s="20"/>
      <c r="K283" s="20"/>
    </row>
    <row r="284" spans="2:11">
      <c r="B284" s="754"/>
      <c r="C284" s="754"/>
      <c r="D284" s="754"/>
      <c r="E284" s="754"/>
      <c r="F284" s="754"/>
      <c r="G284" s="754"/>
      <c r="H284" s="754"/>
      <c r="I284" s="754"/>
      <c r="J284" s="754"/>
      <c r="K284" s="26"/>
    </row>
    <row r="285" spans="2:11" ht="20.25" customHeight="1">
      <c r="B285" s="754"/>
      <c r="C285" s="754"/>
      <c r="D285" s="754"/>
      <c r="E285" s="754"/>
      <c r="F285" s="754"/>
      <c r="G285" s="754"/>
      <c r="H285" s="754"/>
      <c r="I285" s="754"/>
      <c r="J285" s="754"/>
      <c r="K285" s="26"/>
    </row>
    <row r="286" spans="2:11" ht="15">
      <c r="B286" s="28"/>
      <c r="C286" s="29"/>
      <c r="D286" s="29"/>
      <c r="E286" s="29"/>
      <c r="F286" s="29"/>
      <c r="G286" s="29"/>
      <c r="H286" s="29"/>
      <c r="I286" s="29"/>
      <c r="J286" s="29"/>
      <c r="K286" s="29"/>
    </row>
    <row r="287" spans="2:11" ht="15">
      <c r="B287" s="30"/>
      <c r="C287" s="20"/>
      <c r="D287" s="23"/>
      <c r="E287" s="20"/>
      <c r="F287" s="23"/>
      <c r="G287" s="20"/>
      <c r="H287" s="20"/>
      <c r="I287" s="20"/>
      <c r="J287" s="20"/>
      <c r="K287" s="20"/>
    </row>
    <row r="288" spans="2:11" ht="15">
      <c r="B288" s="21"/>
      <c r="C288" s="23"/>
      <c r="D288" s="23"/>
      <c r="E288" s="23"/>
      <c r="F288" s="23"/>
      <c r="G288" s="23"/>
      <c r="H288" s="23"/>
      <c r="I288" s="23"/>
      <c r="J288" s="23"/>
      <c r="K288" s="23"/>
    </row>
    <row r="289" spans="2:11" ht="15">
      <c r="B289" s="13"/>
      <c r="C289" s="23"/>
      <c r="D289" s="23"/>
      <c r="E289" s="32"/>
      <c r="F289" s="32"/>
      <c r="G289" s="32"/>
      <c r="H289" s="32"/>
      <c r="I289" s="32"/>
      <c r="J289" s="32"/>
      <c r="K289" s="32"/>
    </row>
    <row r="290" spans="2:11" ht="15">
      <c r="B290" s="13"/>
      <c r="C290" s="23"/>
      <c r="D290" s="20"/>
      <c r="E290" s="20"/>
      <c r="F290" s="20"/>
      <c r="G290" s="20"/>
      <c r="H290" s="20"/>
      <c r="I290" s="20"/>
      <c r="J290" s="20"/>
      <c r="K290" s="20"/>
    </row>
    <row r="291" spans="2:11" ht="15">
      <c r="B291" s="33"/>
      <c r="C291" s="20"/>
      <c r="D291" s="20"/>
      <c r="E291" s="20"/>
      <c r="F291" s="20"/>
      <c r="G291" s="20"/>
      <c r="H291" s="20"/>
      <c r="I291" s="20"/>
      <c r="J291" s="20"/>
      <c r="K291" s="20"/>
    </row>
    <row r="292" spans="2:11" ht="15">
      <c r="B292" s="34"/>
      <c r="C292" s="20"/>
      <c r="D292" s="20"/>
      <c r="E292" s="20"/>
      <c r="F292" s="20"/>
      <c r="G292" s="20"/>
      <c r="H292" s="20"/>
      <c r="I292" s="20"/>
      <c r="J292" s="20"/>
      <c r="K292" s="20"/>
    </row>
    <row r="293" spans="2:11" ht="15">
      <c r="B293" s="34"/>
      <c r="C293" s="20"/>
      <c r="D293" s="20"/>
      <c r="E293" s="20"/>
      <c r="F293" s="20"/>
      <c r="G293" s="20"/>
      <c r="H293" s="20"/>
      <c r="I293" s="20"/>
      <c r="J293" s="20"/>
      <c r="K293" s="20"/>
    </row>
    <row r="294" spans="2:11" ht="15">
      <c r="B294" s="35"/>
      <c r="C294" s="20"/>
      <c r="D294" s="20"/>
      <c r="E294" s="20"/>
      <c r="F294" s="20"/>
      <c r="G294" s="20"/>
      <c r="H294" s="20"/>
      <c r="I294" s="20"/>
      <c r="J294" s="20"/>
      <c r="K294" s="20"/>
    </row>
    <row r="295" spans="2:11" ht="15">
      <c r="B295" s="35"/>
      <c r="C295" s="20"/>
      <c r="D295" s="20"/>
      <c r="E295" s="20"/>
      <c r="F295" s="20"/>
      <c r="G295" s="20"/>
      <c r="H295" s="20"/>
      <c r="I295" s="20"/>
      <c r="J295" s="20"/>
      <c r="K295" s="20"/>
    </row>
    <row r="296" spans="2:11" ht="15">
      <c r="B296" s="16"/>
      <c r="C296" s="20"/>
      <c r="D296" s="20"/>
      <c r="E296" s="20"/>
      <c r="F296" s="20"/>
      <c r="G296" s="20"/>
      <c r="H296" s="20"/>
      <c r="I296" s="20"/>
      <c r="J296" s="20"/>
      <c r="K296" s="20"/>
    </row>
    <row r="297" spans="2:11" ht="15">
      <c r="B297" s="13"/>
      <c r="C297" s="20"/>
      <c r="D297" s="20"/>
      <c r="E297" s="20"/>
      <c r="F297" s="20"/>
      <c r="G297" s="20"/>
      <c r="H297" s="20"/>
      <c r="I297" s="20"/>
      <c r="J297" s="20"/>
      <c r="K297" s="20"/>
    </row>
    <row r="298" spans="2:11" ht="15">
      <c r="B298" s="33"/>
      <c r="C298" s="20"/>
      <c r="D298" s="20"/>
      <c r="E298" s="20"/>
      <c r="F298" s="20"/>
      <c r="G298" s="20"/>
      <c r="H298" s="20"/>
      <c r="I298" s="20"/>
      <c r="J298" s="20"/>
      <c r="K298" s="20"/>
    </row>
    <row r="299" spans="2:11" ht="15">
      <c r="B299" s="15"/>
      <c r="C299" s="20"/>
      <c r="D299" s="20"/>
      <c r="E299" s="20"/>
      <c r="F299" s="20"/>
      <c r="G299" s="20"/>
      <c r="H299" s="20"/>
      <c r="I299" s="20"/>
      <c r="J299" s="20"/>
      <c r="K299" s="20"/>
    </row>
    <row r="300" spans="2:11" ht="15">
      <c r="B300" s="15"/>
      <c r="C300" s="20"/>
      <c r="D300" s="20"/>
      <c r="E300" s="20"/>
      <c r="F300" s="20"/>
      <c r="G300" s="20"/>
      <c r="H300" s="20"/>
      <c r="I300" s="20"/>
      <c r="J300" s="20"/>
      <c r="K300" s="20"/>
    </row>
    <row r="301" spans="2:11" ht="15">
      <c r="B301" s="16"/>
      <c r="C301" s="20"/>
      <c r="D301" s="20"/>
      <c r="E301" s="20"/>
      <c r="F301" s="20"/>
      <c r="G301" s="20"/>
      <c r="H301" s="20"/>
      <c r="I301" s="20"/>
      <c r="J301" s="20"/>
      <c r="K301" s="20"/>
    </row>
    <row r="302" spans="2:11" ht="15">
      <c r="B302" s="16"/>
      <c r="C302" s="20"/>
      <c r="D302" s="20"/>
      <c r="E302" s="20"/>
      <c r="F302" s="20"/>
      <c r="G302" s="20"/>
      <c r="H302" s="20"/>
      <c r="I302" s="20"/>
      <c r="J302" s="20"/>
      <c r="K302" s="20"/>
    </row>
    <row r="303" spans="2:11" ht="15">
      <c r="B303" s="17"/>
      <c r="C303" s="20"/>
      <c r="D303" s="20"/>
      <c r="E303" s="20"/>
      <c r="F303" s="20"/>
      <c r="G303" s="20"/>
      <c r="H303" s="20"/>
      <c r="I303" s="20"/>
      <c r="J303" s="20"/>
      <c r="K303" s="20"/>
    </row>
    <row r="304" spans="2:11" ht="15">
      <c r="B304" s="17"/>
      <c r="C304" s="20"/>
      <c r="D304" s="20"/>
      <c r="E304" s="20"/>
      <c r="F304" s="20"/>
      <c r="G304" s="20"/>
      <c r="H304" s="20"/>
      <c r="I304" s="20"/>
      <c r="J304" s="20"/>
      <c r="K304" s="20"/>
    </row>
    <row r="305" spans="2:11" ht="15">
      <c r="B305" s="33"/>
      <c r="C305" s="20"/>
      <c r="D305" s="20"/>
      <c r="E305" s="20"/>
      <c r="F305" s="20"/>
      <c r="G305" s="20"/>
      <c r="H305" s="20"/>
      <c r="I305" s="20"/>
      <c r="J305" s="20"/>
      <c r="K305" s="20"/>
    </row>
    <row r="306" spans="2:11" ht="15">
      <c r="B306" s="18"/>
      <c r="C306" s="20"/>
      <c r="D306" s="20"/>
      <c r="E306" s="20"/>
      <c r="F306" s="20"/>
      <c r="G306" s="20"/>
      <c r="H306" s="20"/>
      <c r="I306" s="20"/>
      <c r="J306" s="20"/>
      <c r="K306" s="20"/>
    </row>
    <row r="307" spans="2:11" ht="15">
      <c r="B307" s="18"/>
      <c r="C307" s="20"/>
      <c r="D307" s="20"/>
      <c r="E307" s="20"/>
      <c r="F307" s="20"/>
      <c r="G307" s="20"/>
      <c r="H307" s="20"/>
      <c r="I307" s="20"/>
      <c r="J307" s="20"/>
      <c r="K307" s="20"/>
    </row>
    <row r="308" spans="2:11" ht="15">
      <c r="B308" s="13"/>
      <c r="C308" s="20"/>
      <c r="D308" s="20"/>
      <c r="E308" s="20"/>
      <c r="F308" s="20"/>
      <c r="G308" s="20"/>
      <c r="H308" s="20"/>
      <c r="I308" s="20"/>
      <c r="J308" s="20"/>
      <c r="K308" s="20"/>
    </row>
    <row r="309" spans="2:11" ht="15">
      <c r="B309" s="13"/>
      <c r="C309" s="20"/>
      <c r="D309" s="20"/>
      <c r="E309" s="20"/>
      <c r="F309" s="20"/>
      <c r="G309" s="20"/>
      <c r="H309" s="20"/>
      <c r="I309" s="20"/>
      <c r="J309" s="20"/>
      <c r="K309" s="20"/>
    </row>
    <row r="310" spans="2:11" ht="15">
      <c r="B310" s="13"/>
      <c r="C310" s="20"/>
      <c r="D310" s="20"/>
      <c r="E310" s="20"/>
      <c r="F310" s="20"/>
      <c r="G310" s="20"/>
      <c r="H310" s="20"/>
      <c r="I310" s="20"/>
      <c r="J310" s="20"/>
      <c r="K310" s="20"/>
    </row>
    <row r="311" spans="2:11" ht="15">
      <c r="B311" s="13"/>
      <c r="C311" s="20"/>
      <c r="D311" s="20"/>
      <c r="E311" s="20"/>
      <c r="F311" s="20"/>
      <c r="G311" s="20"/>
      <c r="H311" s="20"/>
      <c r="I311" s="20"/>
      <c r="J311" s="20"/>
      <c r="K311" s="20"/>
    </row>
    <row r="312" spans="2:11" ht="15">
      <c r="B312" s="13"/>
      <c r="C312" s="20"/>
      <c r="D312" s="20"/>
      <c r="E312" s="20"/>
      <c r="F312" s="20"/>
      <c r="G312" s="20"/>
      <c r="H312" s="20"/>
      <c r="I312" s="20"/>
      <c r="J312" s="20"/>
      <c r="K312" s="20"/>
    </row>
    <row r="313" spans="2:11" ht="15">
      <c r="B313" s="13"/>
      <c r="C313" s="20"/>
      <c r="D313" s="20"/>
      <c r="E313" s="20"/>
      <c r="F313" s="20"/>
      <c r="G313" s="20"/>
      <c r="H313" s="20"/>
      <c r="I313" s="20"/>
      <c r="J313" s="20"/>
      <c r="K313" s="20"/>
    </row>
    <row r="314" spans="2:11" ht="15">
      <c r="B314" s="13"/>
      <c r="C314" s="20"/>
      <c r="D314" s="20"/>
      <c r="E314" s="20"/>
      <c r="F314" s="20"/>
      <c r="G314" s="20"/>
      <c r="H314" s="20"/>
      <c r="I314" s="20"/>
      <c r="J314" s="20"/>
      <c r="K314" s="20"/>
    </row>
    <row r="315" spans="2:11" ht="15">
      <c r="B315" s="13"/>
      <c r="C315" s="20"/>
      <c r="D315" s="20"/>
      <c r="E315" s="20"/>
      <c r="F315" s="20"/>
      <c r="G315" s="20"/>
      <c r="H315" s="20"/>
      <c r="I315" s="20"/>
      <c r="J315" s="20"/>
      <c r="K315" s="20"/>
    </row>
    <row r="316" spans="2:11" ht="15">
      <c r="B316" s="13"/>
      <c r="C316" s="20"/>
      <c r="D316" s="20"/>
      <c r="E316" s="20"/>
      <c r="F316" s="20"/>
      <c r="G316" s="20"/>
      <c r="H316" s="20"/>
      <c r="I316" s="20"/>
      <c r="J316" s="20"/>
      <c r="K316" s="20"/>
    </row>
    <row r="317" spans="2:11" ht="15">
      <c r="B317" s="13"/>
      <c r="C317" s="20"/>
      <c r="D317" s="20"/>
      <c r="E317" s="20"/>
      <c r="F317" s="20"/>
      <c r="G317" s="20"/>
      <c r="H317" s="20"/>
      <c r="I317" s="20"/>
      <c r="J317" s="20"/>
      <c r="K317" s="20"/>
    </row>
    <row r="320" spans="2:11" ht="18.75">
      <c r="B320" s="755"/>
      <c r="C320" s="755"/>
      <c r="D320" s="755"/>
      <c r="E320" s="755"/>
      <c r="F320" s="755"/>
      <c r="G320" s="755"/>
      <c r="H320" s="755"/>
      <c r="I320" s="755"/>
      <c r="J320" s="755"/>
      <c r="K320" s="26"/>
    </row>
    <row r="321" spans="2:11" ht="15">
      <c r="B321" s="27"/>
      <c r="C321" s="20"/>
      <c r="D321" s="20"/>
      <c r="E321" s="20"/>
      <c r="F321" s="20"/>
      <c r="G321" s="20"/>
      <c r="H321" s="20"/>
      <c r="I321" s="20"/>
      <c r="J321" s="20"/>
      <c r="K321" s="20"/>
    </row>
    <row r="322" spans="2:11">
      <c r="B322" s="754"/>
      <c r="C322" s="754"/>
      <c r="D322" s="754"/>
      <c r="E322" s="754"/>
      <c r="F322" s="754"/>
      <c r="G322" s="754"/>
      <c r="H322" s="754"/>
      <c r="I322" s="754"/>
      <c r="J322" s="754"/>
      <c r="K322" s="26"/>
    </row>
    <row r="323" spans="2:11" ht="18" customHeight="1">
      <c r="B323" s="754"/>
      <c r="C323" s="754"/>
      <c r="D323" s="754"/>
      <c r="E323" s="754"/>
      <c r="F323" s="754"/>
      <c r="G323" s="754"/>
      <c r="H323" s="754"/>
      <c r="I323" s="754"/>
      <c r="J323" s="754"/>
      <c r="K323" s="26"/>
    </row>
    <row r="324" spans="2:11" ht="15">
      <c r="B324" s="28"/>
      <c r="C324" s="29"/>
      <c r="D324" s="29"/>
      <c r="E324" s="29"/>
      <c r="F324" s="20"/>
      <c r="G324" s="20"/>
      <c r="H324" s="20"/>
      <c r="I324" s="20"/>
      <c r="J324" s="20"/>
      <c r="K324" s="20"/>
    </row>
    <row r="325" spans="2:11" ht="15">
      <c r="B325" s="30"/>
      <c r="C325" s="20"/>
      <c r="D325" s="31"/>
      <c r="E325" s="20"/>
      <c r="F325" s="23"/>
      <c r="G325" s="20"/>
      <c r="H325" s="20"/>
      <c r="I325" s="20"/>
      <c r="J325" s="20"/>
      <c r="K325" s="20"/>
    </row>
    <row r="326" spans="2:11" ht="15">
      <c r="B326" s="21"/>
      <c r="C326" s="23"/>
      <c r="D326" s="23"/>
      <c r="E326" s="23"/>
      <c r="F326" s="23"/>
      <c r="G326" s="23"/>
      <c r="H326" s="23"/>
      <c r="I326" s="23"/>
      <c r="J326" s="23"/>
      <c r="K326" s="23"/>
    </row>
    <row r="327" spans="2:11" ht="15">
      <c r="B327" s="13"/>
      <c r="C327" s="23"/>
      <c r="D327" s="23"/>
      <c r="E327" s="32"/>
      <c r="F327" s="32"/>
      <c r="G327" s="32"/>
      <c r="H327" s="32"/>
      <c r="I327" s="32"/>
      <c r="J327" s="32"/>
      <c r="K327" s="32"/>
    </row>
    <row r="328" spans="2:11" ht="15">
      <c r="B328" s="13"/>
      <c r="C328" s="23"/>
      <c r="D328" s="20"/>
      <c r="E328" s="20"/>
      <c r="F328" s="20"/>
      <c r="G328" s="20"/>
      <c r="H328" s="20"/>
      <c r="I328" s="20"/>
      <c r="J328" s="20"/>
      <c r="K328" s="20"/>
    </row>
    <row r="329" spans="2:11" ht="15">
      <c r="B329" s="33"/>
      <c r="C329" s="20"/>
      <c r="D329" s="20"/>
      <c r="E329" s="20"/>
      <c r="F329" s="20"/>
      <c r="G329" s="20"/>
      <c r="H329" s="20"/>
      <c r="I329" s="20"/>
      <c r="J329" s="20"/>
      <c r="K329" s="20"/>
    </row>
    <row r="330" spans="2:11" ht="15">
      <c r="B330" s="35"/>
      <c r="C330" s="20"/>
      <c r="D330" s="20"/>
      <c r="E330" s="20"/>
      <c r="F330" s="20"/>
      <c r="G330" s="20"/>
      <c r="H330" s="20"/>
      <c r="I330" s="20"/>
      <c r="J330" s="20"/>
      <c r="K330" s="20"/>
    </row>
    <row r="331" spans="2:11" ht="15">
      <c r="B331" s="35"/>
      <c r="C331" s="20"/>
      <c r="D331" s="20"/>
      <c r="E331" s="20"/>
      <c r="F331" s="20"/>
      <c r="G331" s="20"/>
      <c r="H331" s="20"/>
      <c r="I331" s="20"/>
      <c r="J331" s="20"/>
      <c r="K331" s="20"/>
    </row>
    <row r="332" spans="2:11" ht="15">
      <c r="B332" s="35"/>
      <c r="C332" s="20"/>
      <c r="D332" s="20"/>
      <c r="E332" s="20"/>
      <c r="F332" s="20"/>
      <c r="G332" s="20"/>
      <c r="H332" s="20"/>
      <c r="I332" s="20"/>
      <c r="J332" s="20"/>
      <c r="K332" s="20"/>
    </row>
    <row r="333" spans="2:11" ht="15">
      <c r="B333" s="35"/>
      <c r="C333" s="20"/>
      <c r="D333" s="20"/>
      <c r="E333" s="20"/>
      <c r="F333" s="20"/>
      <c r="G333" s="20"/>
      <c r="H333" s="20"/>
      <c r="I333" s="20"/>
      <c r="J333" s="20"/>
      <c r="K333" s="20"/>
    </row>
    <row r="334" spans="2:11" ht="15">
      <c r="B334" s="35"/>
      <c r="C334" s="20"/>
      <c r="D334" s="20"/>
      <c r="E334" s="20"/>
      <c r="F334" s="20"/>
      <c r="G334" s="20"/>
      <c r="H334" s="20"/>
      <c r="I334" s="20"/>
      <c r="J334" s="20"/>
      <c r="K334" s="20"/>
    </row>
    <row r="335" spans="2:11" ht="15">
      <c r="B335" s="35"/>
      <c r="C335" s="20"/>
      <c r="D335" s="20"/>
      <c r="E335" s="20"/>
      <c r="F335" s="20"/>
      <c r="G335" s="20"/>
      <c r="H335" s="20"/>
      <c r="I335" s="20"/>
      <c r="J335" s="20"/>
      <c r="K335" s="20"/>
    </row>
    <row r="336" spans="2:11" ht="15">
      <c r="B336" s="16"/>
      <c r="C336" s="20"/>
      <c r="D336" s="20"/>
      <c r="E336" s="20"/>
      <c r="F336" s="20"/>
      <c r="G336" s="20"/>
      <c r="H336" s="20"/>
      <c r="I336" s="20"/>
      <c r="J336" s="20"/>
      <c r="K336" s="20"/>
    </row>
    <row r="337" spans="2:11" ht="15">
      <c r="B337" s="13"/>
      <c r="C337" s="20"/>
      <c r="D337" s="20"/>
      <c r="E337" s="20"/>
      <c r="F337" s="20"/>
      <c r="G337" s="20"/>
      <c r="H337" s="20"/>
      <c r="I337" s="20"/>
      <c r="J337" s="20"/>
      <c r="K337" s="20"/>
    </row>
    <row r="338" spans="2:11" ht="15">
      <c r="B338" s="33"/>
      <c r="C338" s="20"/>
      <c r="D338" s="20"/>
      <c r="E338" s="20"/>
      <c r="F338" s="20"/>
      <c r="G338" s="20"/>
      <c r="H338" s="20"/>
      <c r="I338" s="20"/>
      <c r="J338" s="20"/>
      <c r="K338" s="20"/>
    </row>
    <row r="339" spans="2:11" ht="15">
      <c r="B339" s="15"/>
      <c r="C339" s="20"/>
      <c r="D339" s="20"/>
      <c r="E339" s="20"/>
      <c r="F339" s="20"/>
      <c r="G339" s="20"/>
      <c r="H339" s="20"/>
      <c r="I339" s="20"/>
      <c r="J339" s="20"/>
      <c r="K339" s="20"/>
    </row>
    <row r="340" spans="2:11" ht="15">
      <c r="B340" s="15"/>
      <c r="C340" s="20"/>
      <c r="D340" s="20"/>
      <c r="E340" s="20"/>
      <c r="F340" s="20"/>
      <c r="G340" s="20"/>
      <c r="H340" s="20"/>
      <c r="I340" s="20"/>
      <c r="J340" s="20"/>
      <c r="K340" s="20"/>
    </row>
    <row r="341" spans="2:11" ht="15">
      <c r="B341" s="15"/>
      <c r="C341" s="20"/>
      <c r="D341" s="20"/>
      <c r="E341" s="20"/>
      <c r="F341" s="20"/>
      <c r="G341" s="20"/>
      <c r="H341" s="20"/>
      <c r="I341" s="20"/>
      <c r="J341" s="20"/>
      <c r="K341" s="20"/>
    </row>
    <row r="342" spans="2:11" ht="15">
      <c r="B342" s="15"/>
      <c r="C342" s="20"/>
      <c r="D342" s="20"/>
      <c r="E342" s="20"/>
      <c r="F342" s="20"/>
      <c r="G342" s="20"/>
      <c r="H342" s="20"/>
      <c r="I342" s="20"/>
      <c r="J342" s="20"/>
      <c r="K342" s="20"/>
    </row>
    <row r="343" spans="2:11" ht="15">
      <c r="B343" s="15"/>
      <c r="C343" s="20"/>
      <c r="D343" s="20"/>
      <c r="E343" s="20"/>
      <c r="F343" s="20"/>
      <c r="G343" s="20"/>
      <c r="H343" s="20"/>
      <c r="I343" s="20"/>
      <c r="J343" s="20"/>
      <c r="K343" s="20"/>
    </row>
    <row r="344" spans="2:11" ht="15">
      <c r="B344" s="15"/>
      <c r="C344" s="20"/>
      <c r="D344" s="20"/>
      <c r="E344" s="20"/>
      <c r="F344" s="20"/>
      <c r="G344" s="20"/>
      <c r="H344" s="20"/>
      <c r="I344" s="20"/>
      <c r="J344" s="20"/>
      <c r="K344" s="20"/>
    </row>
    <row r="345" spans="2:11" ht="15">
      <c r="B345" s="15"/>
      <c r="C345" s="20"/>
      <c r="D345" s="20"/>
      <c r="E345" s="20"/>
      <c r="F345" s="20"/>
      <c r="G345" s="20"/>
      <c r="H345" s="20"/>
      <c r="I345" s="20"/>
      <c r="J345" s="20"/>
      <c r="K345" s="20"/>
    </row>
    <row r="346" spans="2:11" ht="15">
      <c r="B346" s="15"/>
      <c r="C346" s="20"/>
      <c r="D346" s="20"/>
      <c r="E346" s="20"/>
      <c r="F346" s="20"/>
      <c r="G346" s="20"/>
      <c r="H346" s="20"/>
      <c r="I346" s="20"/>
      <c r="J346" s="20"/>
      <c r="K346" s="20"/>
    </row>
    <row r="347" spans="2:11" ht="15">
      <c r="B347" s="15"/>
      <c r="C347" s="20"/>
      <c r="D347" s="20"/>
      <c r="E347" s="20"/>
      <c r="F347" s="20"/>
      <c r="G347" s="20"/>
      <c r="H347" s="20"/>
      <c r="I347" s="20"/>
      <c r="J347" s="20"/>
      <c r="K347" s="20"/>
    </row>
    <row r="348" spans="2:11" ht="15">
      <c r="B348" s="16"/>
      <c r="C348" s="20"/>
      <c r="D348" s="20"/>
      <c r="E348" s="20"/>
      <c r="F348" s="20"/>
      <c r="G348" s="20"/>
      <c r="H348" s="20"/>
      <c r="I348" s="20"/>
      <c r="J348" s="20"/>
      <c r="K348" s="20"/>
    </row>
    <row r="349" spans="2:11" ht="15">
      <c r="B349" s="16"/>
      <c r="C349" s="20"/>
      <c r="D349" s="20"/>
      <c r="E349" s="20"/>
      <c r="F349" s="20"/>
      <c r="G349" s="20"/>
      <c r="H349" s="20"/>
      <c r="I349" s="20"/>
      <c r="J349" s="20"/>
      <c r="K349" s="20"/>
    </row>
    <row r="350" spans="2:11" ht="15">
      <c r="B350" s="17"/>
      <c r="C350" s="20"/>
      <c r="D350" s="20"/>
      <c r="E350" s="20"/>
      <c r="F350" s="20"/>
      <c r="G350" s="20"/>
      <c r="H350" s="20"/>
      <c r="I350" s="20"/>
      <c r="J350" s="20"/>
      <c r="K350" s="20"/>
    </row>
    <row r="351" spans="2:11" ht="15">
      <c r="B351" s="17"/>
      <c r="C351" s="20"/>
      <c r="D351" s="20"/>
      <c r="E351" s="20"/>
      <c r="F351" s="20"/>
      <c r="G351" s="20"/>
      <c r="H351" s="20"/>
      <c r="I351" s="20"/>
      <c r="J351" s="20"/>
      <c r="K351" s="20"/>
    </row>
    <row r="352" spans="2:11" ht="15">
      <c r="B352" s="33"/>
      <c r="C352" s="3"/>
      <c r="D352" s="3"/>
      <c r="E352" s="3"/>
      <c r="F352" s="3"/>
      <c r="G352" s="3"/>
      <c r="H352" s="3"/>
      <c r="I352" s="3"/>
      <c r="J352" s="3"/>
      <c r="K352" s="3"/>
    </row>
    <row r="353" spans="2:11" ht="15">
      <c r="B353" s="18"/>
      <c r="C353" s="20"/>
      <c r="D353" s="20"/>
      <c r="E353" s="20"/>
      <c r="F353" s="20"/>
      <c r="G353" s="20"/>
      <c r="H353" s="20"/>
      <c r="I353" s="20"/>
      <c r="J353" s="20"/>
      <c r="K353" s="20"/>
    </row>
    <row r="354" spans="2:11" ht="15">
      <c r="B354" s="18"/>
      <c r="C354" s="20"/>
      <c r="D354" s="20"/>
      <c r="E354" s="20"/>
      <c r="F354" s="20"/>
      <c r="G354" s="20"/>
      <c r="H354" s="20"/>
      <c r="I354" s="20"/>
      <c r="J354" s="20"/>
      <c r="K354" s="20"/>
    </row>
    <row r="355" spans="2:11" ht="15">
      <c r="B355" s="13"/>
      <c r="C355" s="20"/>
      <c r="D355" s="20"/>
      <c r="E355" s="20"/>
      <c r="F355" s="20"/>
      <c r="G355" s="20"/>
      <c r="H355" s="20"/>
      <c r="I355" s="20"/>
      <c r="J355" s="20"/>
      <c r="K355" s="20"/>
    </row>
    <row r="356" spans="2:11" ht="15">
      <c r="B356" s="13"/>
      <c r="C356" s="20"/>
      <c r="D356" s="20"/>
      <c r="E356" s="20"/>
      <c r="F356" s="20"/>
      <c r="G356" s="20"/>
      <c r="H356" s="20"/>
      <c r="I356" s="20"/>
      <c r="J356" s="20"/>
      <c r="K356" s="20"/>
    </row>
    <row r="357" spans="2:11" ht="15">
      <c r="B357" s="13"/>
      <c r="C357" s="20"/>
      <c r="D357" s="20"/>
      <c r="E357" s="20"/>
      <c r="F357" s="20"/>
      <c r="G357" s="20"/>
      <c r="H357" s="20"/>
      <c r="I357" s="20"/>
      <c r="J357" s="20"/>
      <c r="K357" s="20"/>
    </row>
    <row r="358" spans="2:11" ht="15">
      <c r="B358" s="13"/>
      <c r="C358" s="20"/>
      <c r="D358" s="20"/>
      <c r="E358" s="20"/>
      <c r="F358" s="20"/>
      <c r="G358" s="20"/>
      <c r="H358" s="20"/>
      <c r="I358" s="20"/>
      <c r="J358" s="20"/>
      <c r="K358" s="20"/>
    </row>
    <row r="359" spans="2:11" ht="15">
      <c r="B359" s="13"/>
      <c r="C359" s="20"/>
      <c r="D359" s="20"/>
      <c r="E359" s="20"/>
      <c r="F359" s="20"/>
      <c r="G359" s="20"/>
      <c r="H359" s="20"/>
      <c r="I359" s="20"/>
      <c r="J359" s="20"/>
      <c r="K359" s="20"/>
    </row>
    <row r="360" spans="2:11" ht="15">
      <c r="B360" s="13"/>
      <c r="C360" s="20"/>
      <c r="D360" s="20"/>
      <c r="E360" s="20"/>
      <c r="F360" s="20"/>
      <c r="G360" s="20"/>
      <c r="H360" s="20"/>
      <c r="I360" s="20"/>
      <c r="J360" s="20"/>
      <c r="K360" s="20"/>
    </row>
    <row r="361" spans="2:11" ht="15">
      <c r="B361" s="13"/>
      <c r="C361" s="20"/>
      <c r="D361" s="20"/>
      <c r="E361" s="20"/>
      <c r="F361" s="20"/>
      <c r="G361" s="20"/>
      <c r="H361" s="20"/>
      <c r="I361" s="20"/>
      <c r="J361" s="20"/>
      <c r="K361" s="20"/>
    </row>
    <row r="362" spans="2:11" ht="15">
      <c r="B362" s="13"/>
      <c r="C362" s="20"/>
      <c r="D362" s="20"/>
      <c r="E362" s="20"/>
      <c r="F362" s="20"/>
      <c r="G362" s="20"/>
      <c r="H362" s="20"/>
      <c r="I362" s="20"/>
      <c r="J362" s="20"/>
      <c r="K362" s="20"/>
    </row>
    <row r="363" spans="2:11" ht="15">
      <c r="B363" s="13"/>
      <c r="C363" s="20"/>
      <c r="D363" s="20"/>
      <c r="E363" s="20"/>
      <c r="F363" s="20"/>
      <c r="G363" s="20"/>
      <c r="H363" s="20"/>
      <c r="I363" s="20"/>
      <c r="J363" s="20"/>
      <c r="K363" s="20"/>
    </row>
    <row r="364" spans="2:11" ht="15">
      <c r="B364" s="13"/>
      <c r="C364" s="20"/>
      <c r="D364" s="20"/>
      <c r="E364" s="20"/>
      <c r="F364" s="20"/>
      <c r="G364" s="20"/>
      <c r="H364" s="20"/>
      <c r="I364" s="20"/>
      <c r="J364" s="20"/>
      <c r="K364" s="20"/>
    </row>
    <row r="365" spans="2:11" ht="15">
      <c r="B365" s="13"/>
      <c r="C365" s="20"/>
      <c r="D365" s="20"/>
      <c r="E365" s="20"/>
      <c r="F365" s="20"/>
      <c r="G365" s="20"/>
      <c r="H365" s="20"/>
      <c r="I365" s="20"/>
      <c r="J365" s="20"/>
      <c r="K365" s="20"/>
    </row>
    <row r="368" spans="2:11" ht="18.75">
      <c r="B368" s="755"/>
      <c r="C368" s="755"/>
      <c r="D368" s="755"/>
      <c r="E368" s="755"/>
      <c r="F368" s="755"/>
      <c r="G368" s="755"/>
      <c r="H368" s="755"/>
      <c r="I368" s="755"/>
      <c r="J368" s="755"/>
      <c r="K368" s="26"/>
    </row>
    <row r="369" spans="2:11" ht="15">
      <c r="B369" s="27"/>
      <c r="C369" s="20"/>
      <c r="D369" s="20"/>
      <c r="E369" s="20"/>
      <c r="F369" s="20"/>
      <c r="G369" s="20"/>
      <c r="H369" s="20"/>
      <c r="I369" s="20"/>
      <c r="J369" s="20"/>
      <c r="K369" s="20"/>
    </row>
    <row r="370" spans="2:11">
      <c r="B370" s="754"/>
      <c r="C370" s="754"/>
      <c r="D370" s="754"/>
      <c r="E370" s="754"/>
      <c r="F370" s="754"/>
      <c r="G370" s="754"/>
      <c r="H370" s="754"/>
      <c r="I370" s="754"/>
      <c r="J370" s="754"/>
      <c r="K370" s="26"/>
    </row>
    <row r="371" spans="2:11" ht="18" customHeight="1">
      <c r="B371" s="754"/>
      <c r="C371" s="754"/>
      <c r="D371" s="754"/>
      <c r="E371" s="754"/>
      <c r="F371" s="754"/>
      <c r="G371" s="754"/>
      <c r="H371" s="754"/>
      <c r="I371" s="754"/>
      <c r="J371" s="754"/>
      <c r="K371" s="26"/>
    </row>
    <row r="372" spans="2:11" ht="15">
      <c r="B372" s="28"/>
      <c r="C372" s="29"/>
      <c r="D372" s="29"/>
      <c r="E372" s="29"/>
      <c r="F372" s="20"/>
      <c r="G372" s="20"/>
      <c r="H372" s="20"/>
      <c r="I372" s="20"/>
      <c r="J372" s="20"/>
      <c r="K372" s="20"/>
    </row>
    <row r="373" spans="2:11" ht="15">
      <c r="B373" s="30"/>
      <c r="C373" s="20"/>
      <c r="D373" s="23"/>
      <c r="E373" s="23"/>
      <c r="F373" s="23"/>
      <c r="G373" s="20"/>
      <c r="H373" s="20"/>
      <c r="I373" s="20"/>
      <c r="J373" s="20"/>
      <c r="K373" s="20"/>
    </row>
    <row r="374" spans="2:11" ht="15">
      <c r="B374" s="21"/>
      <c r="C374" s="23"/>
      <c r="D374" s="23"/>
      <c r="E374" s="23"/>
      <c r="F374" s="23"/>
      <c r="G374" s="23"/>
      <c r="H374" s="23"/>
      <c r="I374" s="23"/>
      <c r="J374" s="23"/>
      <c r="K374" s="23"/>
    </row>
    <row r="375" spans="2:11" ht="15">
      <c r="B375" s="13"/>
      <c r="C375" s="23"/>
      <c r="D375" s="23"/>
      <c r="E375" s="32"/>
      <c r="F375" s="32"/>
      <c r="G375" s="32"/>
      <c r="H375" s="32"/>
      <c r="I375" s="32"/>
      <c r="J375" s="32"/>
      <c r="K375" s="32"/>
    </row>
    <row r="376" spans="2:11" ht="15">
      <c r="B376" s="13"/>
      <c r="C376" s="23"/>
      <c r="D376" s="20"/>
      <c r="E376" s="20"/>
      <c r="F376" s="20"/>
      <c r="G376" s="20"/>
      <c r="H376" s="20"/>
      <c r="I376" s="20"/>
      <c r="J376" s="20"/>
      <c r="K376" s="20"/>
    </row>
    <row r="377" spans="2:11" ht="15">
      <c r="B377" s="33"/>
      <c r="C377" s="20"/>
      <c r="D377" s="20"/>
      <c r="E377" s="20"/>
      <c r="F377" s="20"/>
      <c r="G377" s="20"/>
      <c r="H377" s="20"/>
      <c r="I377" s="20"/>
      <c r="J377" s="20"/>
      <c r="K377" s="20"/>
    </row>
    <row r="378" spans="2:11" ht="15">
      <c r="B378" s="35"/>
      <c r="C378" s="20"/>
      <c r="D378" s="20"/>
      <c r="E378" s="20"/>
      <c r="F378" s="20"/>
      <c r="G378" s="20"/>
      <c r="H378" s="20"/>
      <c r="I378" s="20"/>
      <c r="J378" s="20"/>
      <c r="K378" s="20"/>
    </row>
    <row r="379" spans="2:11" ht="15">
      <c r="B379" s="35"/>
      <c r="C379" s="20"/>
      <c r="D379" s="20"/>
      <c r="E379" s="20"/>
      <c r="F379" s="20"/>
      <c r="G379" s="20"/>
      <c r="H379" s="20"/>
      <c r="I379" s="20"/>
      <c r="J379" s="20"/>
      <c r="K379" s="20"/>
    </row>
    <row r="380" spans="2:11" ht="15">
      <c r="B380" s="35"/>
      <c r="C380" s="20"/>
      <c r="D380" s="20"/>
      <c r="E380" s="20"/>
      <c r="F380" s="20"/>
      <c r="G380" s="20"/>
      <c r="H380" s="20"/>
      <c r="I380" s="20"/>
      <c r="J380" s="20"/>
      <c r="K380" s="20"/>
    </row>
    <row r="381" spans="2:11" ht="15">
      <c r="B381" s="35"/>
      <c r="C381" s="20"/>
      <c r="D381" s="20"/>
      <c r="E381" s="20"/>
      <c r="F381" s="20"/>
      <c r="G381" s="20"/>
      <c r="H381" s="20"/>
      <c r="I381" s="20"/>
      <c r="J381" s="20"/>
      <c r="K381" s="20"/>
    </row>
    <row r="382" spans="2:11" ht="15">
      <c r="B382" s="35"/>
      <c r="C382" s="20"/>
      <c r="D382" s="20"/>
      <c r="E382" s="20"/>
      <c r="F382" s="20"/>
      <c r="G382" s="20"/>
      <c r="H382" s="20"/>
      <c r="I382" s="20"/>
      <c r="J382" s="20"/>
      <c r="K382" s="20"/>
    </row>
    <row r="383" spans="2:11" ht="15">
      <c r="B383" s="16"/>
      <c r="C383" s="20"/>
      <c r="D383" s="20"/>
      <c r="E383" s="20"/>
      <c r="F383" s="20"/>
      <c r="G383" s="20"/>
      <c r="H383" s="20"/>
      <c r="I383" s="20"/>
      <c r="J383" s="20"/>
      <c r="K383" s="20"/>
    </row>
    <row r="384" spans="2:11" ht="15">
      <c r="B384" s="13"/>
      <c r="C384" s="20"/>
      <c r="D384" s="20"/>
      <c r="E384" s="20"/>
      <c r="F384" s="20"/>
      <c r="G384" s="20"/>
      <c r="H384" s="20"/>
      <c r="I384" s="20"/>
      <c r="J384" s="20"/>
      <c r="K384" s="20"/>
    </row>
    <row r="385" spans="2:11" ht="15">
      <c r="B385" s="33"/>
      <c r="C385" s="20"/>
      <c r="D385" s="20"/>
      <c r="E385" s="20"/>
      <c r="F385" s="20"/>
      <c r="G385" s="20"/>
      <c r="H385" s="20"/>
      <c r="I385" s="20"/>
      <c r="J385" s="20"/>
      <c r="K385" s="20"/>
    </row>
    <row r="386" spans="2:11" ht="15">
      <c r="B386" s="15"/>
      <c r="C386" s="20"/>
      <c r="D386" s="20"/>
      <c r="E386" s="20"/>
      <c r="F386" s="20"/>
      <c r="G386" s="20"/>
      <c r="H386" s="20"/>
      <c r="I386" s="20"/>
      <c r="J386" s="20"/>
      <c r="K386" s="20"/>
    </row>
    <row r="387" spans="2:11" ht="15">
      <c r="B387" s="15"/>
      <c r="C387" s="20"/>
      <c r="D387" s="20"/>
      <c r="E387" s="20"/>
      <c r="F387" s="20"/>
      <c r="G387" s="20"/>
      <c r="H387" s="20"/>
      <c r="I387" s="20"/>
      <c r="J387" s="20"/>
      <c r="K387" s="20"/>
    </row>
    <row r="388" spans="2:11" ht="15">
      <c r="B388" s="15"/>
      <c r="C388" s="20"/>
      <c r="D388" s="20"/>
      <c r="E388" s="20"/>
      <c r="F388" s="20"/>
      <c r="G388" s="20"/>
      <c r="H388" s="20"/>
      <c r="I388" s="20"/>
      <c r="J388" s="20"/>
      <c r="K388" s="20"/>
    </row>
    <row r="389" spans="2:11" ht="15">
      <c r="B389" s="15"/>
      <c r="C389" s="20"/>
      <c r="D389" s="20"/>
      <c r="E389" s="20"/>
      <c r="F389" s="20"/>
      <c r="G389" s="20"/>
      <c r="H389" s="20"/>
      <c r="I389" s="20"/>
      <c r="J389" s="20"/>
      <c r="K389" s="20"/>
    </row>
    <row r="390" spans="2:11" ht="15">
      <c r="B390" s="15"/>
      <c r="C390" s="20"/>
      <c r="D390" s="20"/>
      <c r="E390" s="20"/>
      <c r="F390" s="20"/>
      <c r="G390" s="20"/>
      <c r="H390" s="20"/>
      <c r="I390" s="20"/>
      <c r="J390" s="20"/>
      <c r="K390" s="20"/>
    </row>
    <row r="391" spans="2:11" ht="15">
      <c r="B391" s="15"/>
      <c r="C391" s="20"/>
      <c r="D391" s="20"/>
      <c r="E391" s="20"/>
      <c r="F391" s="20"/>
      <c r="G391" s="20"/>
      <c r="H391" s="20"/>
      <c r="I391" s="20"/>
      <c r="J391" s="20"/>
      <c r="K391" s="20"/>
    </row>
    <row r="392" spans="2:11" ht="15">
      <c r="B392" s="15"/>
      <c r="C392" s="20"/>
      <c r="D392" s="20"/>
      <c r="E392" s="20"/>
      <c r="F392" s="20"/>
      <c r="G392" s="20"/>
      <c r="H392" s="20"/>
      <c r="I392" s="20"/>
      <c r="J392" s="20"/>
      <c r="K392" s="20"/>
    </row>
    <row r="393" spans="2:11" ht="15">
      <c r="B393" s="15"/>
      <c r="C393" s="20"/>
      <c r="D393" s="20"/>
      <c r="E393" s="20"/>
      <c r="F393" s="20"/>
      <c r="G393" s="20"/>
      <c r="H393" s="20"/>
      <c r="I393" s="20"/>
      <c r="J393" s="20"/>
      <c r="K393" s="20"/>
    </row>
    <row r="394" spans="2:11" ht="15">
      <c r="B394" s="15"/>
      <c r="C394" s="20"/>
      <c r="D394" s="20"/>
      <c r="E394" s="20"/>
      <c r="F394" s="20"/>
      <c r="G394" s="20"/>
      <c r="H394" s="20"/>
      <c r="I394" s="20"/>
      <c r="J394" s="20"/>
      <c r="K394" s="20"/>
    </row>
    <row r="395" spans="2:11" ht="15">
      <c r="B395" s="16"/>
      <c r="C395" s="20"/>
      <c r="D395" s="20"/>
      <c r="E395" s="20"/>
      <c r="F395" s="20"/>
      <c r="G395" s="20"/>
      <c r="H395" s="20"/>
      <c r="I395" s="20"/>
      <c r="J395" s="20"/>
      <c r="K395" s="20"/>
    </row>
    <row r="396" spans="2:11" ht="15">
      <c r="B396" s="16"/>
      <c r="C396" s="20"/>
      <c r="D396" s="20"/>
      <c r="E396" s="20"/>
      <c r="F396" s="20"/>
      <c r="G396" s="20"/>
      <c r="H396" s="20"/>
      <c r="I396" s="20"/>
      <c r="J396" s="20"/>
      <c r="K396" s="20"/>
    </row>
    <row r="397" spans="2:11" ht="15">
      <c r="B397" s="17"/>
      <c r="C397" s="20"/>
      <c r="D397" s="20"/>
      <c r="E397" s="20"/>
      <c r="F397" s="20"/>
      <c r="G397" s="20"/>
      <c r="H397" s="20"/>
      <c r="I397" s="20"/>
      <c r="J397" s="20"/>
      <c r="K397" s="20"/>
    </row>
    <row r="398" spans="2:11" ht="15">
      <c r="B398" s="17"/>
      <c r="C398" s="20"/>
      <c r="D398" s="20"/>
      <c r="E398" s="20"/>
      <c r="F398" s="20"/>
      <c r="G398" s="20"/>
      <c r="H398" s="20"/>
      <c r="I398" s="20"/>
      <c r="J398" s="20"/>
      <c r="K398" s="20"/>
    </row>
    <row r="399" spans="2:11" ht="15">
      <c r="B399" s="33"/>
      <c r="C399" s="20"/>
      <c r="D399" s="20"/>
      <c r="E399" s="20"/>
      <c r="F399" s="20"/>
      <c r="G399" s="20"/>
      <c r="H399" s="20"/>
      <c r="I399" s="20"/>
      <c r="J399" s="20"/>
      <c r="K399" s="20"/>
    </row>
    <row r="400" spans="2:11" ht="15">
      <c r="B400" s="18"/>
      <c r="C400" s="20"/>
      <c r="D400" s="20"/>
      <c r="E400" s="20"/>
      <c r="F400" s="20"/>
      <c r="G400" s="20"/>
      <c r="H400" s="20"/>
      <c r="I400" s="20"/>
      <c r="J400" s="20"/>
      <c r="K400" s="20"/>
    </row>
    <row r="401" spans="2:11" ht="15">
      <c r="B401" s="18"/>
      <c r="C401" s="20"/>
      <c r="D401" s="20"/>
      <c r="E401" s="20"/>
      <c r="F401" s="20"/>
      <c r="G401" s="20"/>
      <c r="H401" s="20"/>
      <c r="I401" s="20"/>
      <c r="J401" s="20"/>
      <c r="K401" s="20"/>
    </row>
    <row r="402" spans="2:11" ht="15">
      <c r="B402" s="13"/>
      <c r="C402" s="20"/>
      <c r="D402" s="20"/>
      <c r="E402" s="20"/>
      <c r="F402" s="20"/>
      <c r="G402" s="20"/>
      <c r="H402" s="20"/>
      <c r="I402" s="20"/>
      <c r="J402" s="20"/>
      <c r="K402" s="20"/>
    </row>
    <row r="403" spans="2:11" ht="15">
      <c r="B403" s="13"/>
      <c r="C403" s="20"/>
      <c r="D403" s="20"/>
      <c r="E403" s="20"/>
      <c r="F403" s="20"/>
      <c r="G403" s="20"/>
      <c r="H403" s="20"/>
      <c r="I403" s="20"/>
      <c r="J403" s="20"/>
      <c r="K403" s="20"/>
    </row>
    <row r="404" spans="2:11" ht="15">
      <c r="B404" s="13"/>
      <c r="C404" s="20"/>
      <c r="D404" s="20"/>
      <c r="E404" s="20"/>
      <c r="F404" s="20"/>
      <c r="G404" s="20"/>
      <c r="H404" s="20"/>
      <c r="I404" s="20"/>
      <c r="J404" s="20"/>
      <c r="K404" s="20"/>
    </row>
    <row r="405" spans="2:11" ht="15">
      <c r="B405" s="13"/>
      <c r="C405" s="20"/>
      <c r="D405" s="20"/>
      <c r="E405" s="20"/>
      <c r="F405" s="20"/>
      <c r="G405" s="20"/>
      <c r="H405" s="20"/>
      <c r="I405" s="20"/>
      <c r="J405" s="20"/>
      <c r="K405" s="20"/>
    </row>
    <row r="406" spans="2:11" ht="15">
      <c r="B406" s="13"/>
      <c r="C406" s="20"/>
      <c r="D406" s="20"/>
      <c r="E406" s="20"/>
      <c r="F406" s="20"/>
      <c r="G406" s="20"/>
      <c r="H406" s="20"/>
      <c r="I406" s="20"/>
      <c r="J406" s="20"/>
      <c r="K406" s="20"/>
    </row>
    <row r="407" spans="2:11" ht="15">
      <c r="B407" s="13"/>
      <c r="C407" s="20"/>
      <c r="D407" s="20"/>
      <c r="E407" s="20"/>
      <c r="F407" s="20"/>
      <c r="G407" s="20"/>
      <c r="H407" s="20"/>
      <c r="I407" s="20"/>
      <c r="J407" s="20"/>
      <c r="K407" s="20"/>
    </row>
    <row r="408" spans="2:11" ht="15">
      <c r="B408" s="13"/>
      <c r="C408" s="20"/>
      <c r="D408" s="20"/>
      <c r="E408" s="20"/>
      <c r="F408" s="20"/>
      <c r="G408" s="20"/>
      <c r="H408" s="20"/>
      <c r="I408" s="20"/>
      <c r="J408" s="20"/>
      <c r="K408" s="20"/>
    </row>
    <row r="409" spans="2:11" ht="15">
      <c r="B409" s="13"/>
      <c r="C409" s="20"/>
      <c r="D409" s="20"/>
      <c r="E409" s="20"/>
      <c r="F409" s="20"/>
      <c r="G409" s="20"/>
      <c r="H409" s="20"/>
      <c r="I409" s="20"/>
      <c r="J409" s="20"/>
      <c r="K409" s="20"/>
    </row>
    <row r="410" spans="2:11" ht="15">
      <c r="B410" s="13"/>
      <c r="C410" s="20"/>
      <c r="D410" s="20"/>
      <c r="E410" s="20"/>
      <c r="F410" s="20"/>
      <c r="G410" s="20"/>
      <c r="H410" s="20"/>
      <c r="I410" s="20"/>
      <c r="J410" s="20"/>
      <c r="K410" s="20"/>
    </row>
    <row r="411" spans="2:11" ht="15">
      <c r="B411" s="13"/>
      <c r="C411" s="20"/>
      <c r="D411" s="20"/>
      <c r="E411" s="20"/>
      <c r="F411" s="20"/>
      <c r="G411" s="20"/>
      <c r="H411" s="20"/>
      <c r="I411" s="20"/>
      <c r="J411" s="20"/>
      <c r="K411" s="20"/>
    </row>
    <row r="414" spans="2:11" ht="18.75">
      <c r="B414" s="755"/>
      <c r="C414" s="755"/>
      <c r="D414" s="755"/>
      <c r="E414" s="755"/>
      <c r="F414" s="755"/>
      <c r="G414" s="755"/>
      <c r="H414" s="755"/>
      <c r="I414" s="755"/>
      <c r="J414" s="755"/>
      <c r="K414" s="26"/>
    </row>
    <row r="415" spans="2:11" ht="15">
      <c r="B415" s="27"/>
      <c r="C415" s="20"/>
      <c r="D415" s="20"/>
      <c r="E415" s="20"/>
      <c r="F415" s="20"/>
      <c r="G415" s="20"/>
      <c r="H415" s="20"/>
      <c r="I415" s="20"/>
      <c r="J415" s="20"/>
      <c r="K415" s="20"/>
    </row>
    <row r="416" spans="2:11">
      <c r="B416" s="758"/>
      <c r="C416" s="758"/>
      <c r="D416" s="758"/>
      <c r="E416" s="758"/>
      <c r="F416" s="758"/>
      <c r="G416" s="758"/>
      <c r="H416" s="758"/>
      <c r="I416" s="758"/>
      <c r="J416" s="758"/>
      <c r="K416" s="26"/>
    </row>
    <row r="417" spans="2:11">
      <c r="B417" s="758"/>
      <c r="C417" s="758"/>
      <c r="D417" s="758"/>
      <c r="E417" s="758"/>
      <c r="F417" s="758"/>
      <c r="G417" s="758"/>
      <c r="H417" s="758"/>
      <c r="I417" s="758"/>
      <c r="J417" s="758"/>
      <c r="K417" s="26"/>
    </row>
    <row r="418" spans="2:11" ht="18.75" customHeight="1">
      <c r="B418" s="758"/>
      <c r="C418" s="758"/>
      <c r="D418" s="758"/>
      <c r="E418" s="758"/>
      <c r="F418" s="758"/>
      <c r="G418" s="758"/>
      <c r="H418" s="758"/>
      <c r="I418" s="758"/>
      <c r="J418" s="758"/>
      <c r="K418" s="26"/>
    </row>
    <row r="419" spans="2:11" ht="15">
      <c r="B419" s="30"/>
      <c r="C419" s="20"/>
      <c r="D419" s="23"/>
      <c r="E419" s="23"/>
      <c r="F419" s="23"/>
      <c r="G419" s="20"/>
      <c r="H419" s="20"/>
      <c r="I419" s="20"/>
      <c r="J419" s="20"/>
      <c r="K419" s="20"/>
    </row>
    <row r="420" spans="2:11" ht="15">
      <c r="B420" s="21"/>
      <c r="C420" s="23"/>
      <c r="D420" s="23"/>
      <c r="E420" s="23"/>
      <c r="F420" s="23"/>
      <c r="G420" s="23"/>
      <c r="H420" s="23"/>
      <c r="I420" s="23"/>
      <c r="J420" s="23"/>
      <c r="K420" s="23"/>
    </row>
    <row r="421" spans="2:11" ht="15">
      <c r="B421" s="13"/>
      <c r="C421" s="23"/>
      <c r="D421" s="23"/>
      <c r="E421" s="32"/>
      <c r="F421" s="32"/>
      <c r="G421" s="32"/>
      <c r="H421" s="32"/>
      <c r="I421" s="32"/>
      <c r="J421" s="32"/>
      <c r="K421" s="32"/>
    </row>
    <row r="422" spans="2:11" ht="15">
      <c r="B422" s="13"/>
      <c r="C422" s="23"/>
      <c r="D422" s="20"/>
      <c r="E422" s="20"/>
      <c r="F422" s="20"/>
      <c r="G422" s="20"/>
      <c r="H422" s="20"/>
      <c r="I422" s="20"/>
      <c r="J422" s="20"/>
      <c r="K422" s="20"/>
    </row>
    <row r="423" spans="2:11" ht="15">
      <c r="B423" s="33"/>
      <c r="C423" s="20"/>
      <c r="D423" s="20"/>
      <c r="E423" s="20"/>
      <c r="F423" s="20"/>
      <c r="G423" s="20"/>
      <c r="H423" s="20"/>
      <c r="I423" s="20"/>
      <c r="J423" s="20"/>
      <c r="K423" s="20"/>
    </row>
    <row r="424" spans="2:11" ht="15">
      <c r="B424" s="35"/>
      <c r="C424" s="20"/>
      <c r="D424" s="20"/>
      <c r="E424" s="20"/>
      <c r="F424" s="20"/>
      <c r="G424" s="20"/>
      <c r="H424" s="20"/>
      <c r="I424" s="20"/>
      <c r="J424" s="20"/>
      <c r="K424" s="20"/>
    </row>
    <row r="425" spans="2:11" ht="15">
      <c r="B425" s="35"/>
      <c r="C425" s="20"/>
      <c r="D425" s="20"/>
      <c r="E425" s="20"/>
      <c r="F425" s="20"/>
      <c r="G425" s="20"/>
      <c r="H425" s="20"/>
      <c r="I425" s="20"/>
      <c r="J425" s="20"/>
      <c r="K425" s="20"/>
    </row>
    <row r="426" spans="2:11" ht="15">
      <c r="B426" s="16"/>
      <c r="C426" s="20"/>
      <c r="D426" s="20"/>
      <c r="E426" s="20"/>
      <c r="F426" s="20"/>
      <c r="G426" s="20"/>
      <c r="H426" s="20"/>
      <c r="I426" s="20"/>
      <c r="J426" s="20"/>
      <c r="K426" s="20"/>
    </row>
    <row r="427" spans="2:11" ht="15">
      <c r="B427" s="13"/>
      <c r="C427" s="20"/>
      <c r="D427" s="20"/>
      <c r="E427" s="20"/>
      <c r="F427" s="20"/>
      <c r="G427" s="20"/>
      <c r="H427" s="20"/>
      <c r="I427" s="20"/>
      <c r="J427" s="20"/>
      <c r="K427" s="20"/>
    </row>
    <row r="428" spans="2:11" ht="15">
      <c r="B428" s="33"/>
      <c r="C428" s="20"/>
      <c r="D428" s="20"/>
      <c r="E428" s="20"/>
      <c r="F428" s="20"/>
      <c r="G428" s="20"/>
      <c r="H428" s="20"/>
      <c r="I428" s="20"/>
      <c r="J428" s="20"/>
      <c r="K428" s="20"/>
    </row>
    <row r="429" spans="2:11" ht="15">
      <c r="B429" s="15"/>
      <c r="C429" s="20"/>
      <c r="D429" s="20"/>
      <c r="E429" s="20"/>
      <c r="F429" s="20"/>
      <c r="G429" s="20"/>
      <c r="H429" s="20"/>
      <c r="I429" s="20"/>
      <c r="J429" s="20"/>
      <c r="K429" s="20"/>
    </row>
    <row r="430" spans="2:11" ht="15">
      <c r="B430" s="15"/>
      <c r="C430" s="20"/>
      <c r="D430" s="20"/>
      <c r="E430" s="20"/>
      <c r="F430" s="20"/>
      <c r="G430" s="20"/>
      <c r="H430" s="20"/>
      <c r="I430" s="20"/>
      <c r="J430" s="20"/>
      <c r="K430" s="20"/>
    </row>
    <row r="431" spans="2:11" ht="15">
      <c r="B431" s="16"/>
      <c r="C431" s="20"/>
      <c r="D431" s="20"/>
      <c r="E431" s="20"/>
      <c r="F431" s="20"/>
      <c r="G431" s="20"/>
      <c r="H431" s="20"/>
      <c r="I431" s="20"/>
      <c r="J431" s="20"/>
      <c r="K431" s="20"/>
    </row>
    <row r="432" spans="2:11" ht="15">
      <c r="B432" s="16"/>
      <c r="C432" s="20"/>
      <c r="D432" s="20"/>
      <c r="E432" s="20"/>
      <c r="F432" s="20"/>
      <c r="G432" s="20"/>
      <c r="H432" s="20"/>
      <c r="I432" s="20"/>
      <c r="J432" s="20"/>
      <c r="K432" s="20"/>
    </row>
    <row r="433" spans="2:11" ht="15">
      <c r="B433" s="17"/>
      <c r="C433" s="20"/>
      <c r="D433" s="20"/>
      <c r="E433" s="20"/>
      <c r="F433" s="20"/>
      <c r="G433" s="20"/>
      <c r="H433" s="20"/>
      <c r="I433" s="20"/>
      <c r="J433" s="20"/>
      <c r="K433" s="20"/>
    </row>
    <row r="434" spans="2:11" ht="15">
      <c r="B434" s="17"/>
      <c r="C434" s="20"/>
      <c r="D434" s="20"/>
      <c r="E434" s="20"/>
      <c r="F434" s="20"/>
      <c r="G434" s="20"/>
      <c r="H434" s="20"/>
      <c r="I434" s="20"/>
      <c r="J434" s="20"/>
      <c r="K434" s="20"/>
    </row>
    <row r="435" spans="2:11" ht="15">
      <c r="B435" s="33"/>
      <c r="C435" s="20"/>
      <c r="D435" s="20"/>
      <c r="E435" s="20"/>
      <c r="F435" s="20"/>
      <c r="G435" s="20"/>
      <c r="H435" s="20"/>
      <c r="I435" s="20"/>
      <c r="J435" s="20"/>
      <c r="K435" s="20"/>
    </row>
    <row r="436" spans="2:11" ht="15">
      <c r="B436" s="18"/>
      <c r="C436" s="20"/>
      <c r="D436" s="20"/>
      <c r="E436" s="20"/>
      <c r="F436" s="20"/>
      <c r="G436" s="20"/>
      <c r="H436" s="20"/>
      <c r="I436" s="20"/>
      <c r="J436" s="20"/>
      <c r="K436" s="20"/>
    </row>
    <row r="437" spans="2:11" ht="15">
      <c r="B437" s="18"/>
      <c r="C437" s="20"/>
      <c r="D437" s="20"/>
      <c r="E437" s="20"/>
      <c r="F437" s="20"/>
      <c r="G437" s="20"/>
      <c r="H437" s="20"/>
      <c r="I437" s="20"/>
      <c r="J437" s="20"/>
      <c r="K437" s="20"/>
    </row>
    <row r="438" spans="2:11" ht="15">
      <c r="B438" s="13"/>
      <c r="C438" s="20"/>
      <c r="D438" s="20"/>
      <c r="E438" s="20"/>
      <c r="F438" s="20"/>
      <c r="G438" s="20"/>
      <c r="H438" s="20"/>
      <c r="I438" s="20"/>
      <c r="J438" s="20"/>
      <c r="K438" s="20"/>
    </row>
    <row r="439" spans="2:11" ht="15">
      <c r="B439" s="13"/>
      <c r="C439" s="20"/>
      <c r="D439" s="20"/>
      <c r="E439" s="20"/>
      <c r="F439" s="20"/>
      <c r="G439" s="20"/>
      <c r="H439" s="20"/>
      <c r="I439" s="20"/>
      <c r="J439" s="20"/>
      <c r="K439" s="20"/>
    </row>
    <row r="440" spans="2:11" ht="15">
      <c r="B440" s="13"/>
      <c r="C440" s="20"/>
      <c r="D440" s="20"/>
      <c r="E440" s="20"/>
      <c r="F440" s="20"/>
      <c r="G440" s="20"/>
      <c r="H440" s="20"/>
      <c r="I440" s="20"/>
      <c r="J440" s="20"/>
      <c r="K440" s="20"/>
    </row>
    <row r="441" spans="2:11" ht="15">
      <c r="B441" s="13"/>
      <c r="C441" s="20"/>
      <c r="D441" s="20"/>
      <c r="E441" s="20"/>
      <c r="F441" s="20"/>
      <c r="G441" s="20"/>
      <c r="H441" s="20"/>
      <c r="I441" s="20"/>
      <c r="J441" s="20"/>
      <c r="K441" s="20"/>
    </row>
    <row r="442" spans="2:11" ht="15">
      <c r="B442" s="13"/>
      <c r="C442" s="20"/>
      <c r="D442" s="20"/>
      <c r="E442" s="20"/>
      <c r="F442" s="20"/>
      <c r="G442" s="20"/>
      <c r="H442" s="20"/>
      <c r="I442" s="20"/>
      <c r="J442" s="20"/>
      <c r="K442" s="20"/>
    </row>
    <row r="443" spans="2:11" ht="15">
      <c r="B443" s="13"/>
      <c r="C443" s="20"/>
      <c r="D443" s="20"/>
      <c r="E443" s="20"/>
      <c r="F443" s="20"/>
      <c r="G443" s="20"/>
      <c r="H443" s="20"/>
      <c r="I443" s="20"/>
      <c r="J443" s="20"/>
      <c r="K443" s="20"/>
    </row>
    <row r="444" spans="2:11" ht="15">
      <c r="B444" s="13"/>
      <c r="C444" s="20"/>
      <c r="D444" s="20"/>
      <c r="E444" s="20"/>
      <c r="F444" s="20"/>
      <c r="G444" s="20"/>
      <c r="H444" s="20"/>
      <c r="I444" s="20"/>
      <c r="J444" s="20"/>
      <c r="K444" s="20"/>
    </row>
    <row r="445" spans="2:11" ht="15">
      <c r="B445" s="13"/>
      <c r="C445" s="20"/>
      <c r="D445" s="20"/>
      <c r="E445" s="20"/>
      <c r="F445" s="20"/>
      <c r="G445" s="20"/>
      <c r="H445" s="20"/>
      <c r="I445" s="20"/>
      <c r="J445" s="20"/>
      <c r="K445" s="20"/>
    </row>
    <row r="446" spans="2:11" ht="15">
      <c r="B446" s="13"/>
      <c r="C446" s="20"/>
      <c r="D446" s="20"/>
      <c r="E446" s="20"/>
      <c r="F446" s="20"/>
      <c r="G446" s="20"/>
      <c r="H446" s="20"/>
      <c r="I446" s="20"/>
      <c r="J446" s="20"/>
      <c r="K446" s="20"/>
    </row>
    <row r="447" spans="2:11" ht="15">
      <c r="B447" s="13"/>
      <c r="C447" s="20"/>
      <c r="D447" s="20"/>
      <c r="E447" s="20"/>
      <c r="F447" s="20"/>
      <c r="G447" s="20"/>
      <c r="H447" s="20"/>
      <c r="I447" s="20"/>
      <c r="J447" s="20"/>
      <c r="K447" s="20"/>
    </row>
    <row r="450" spans="2:11" ht="18.75">
      <c r="B450" s="755"/>
      <c r="C450" s="755"/>
      <c r="D450" s="755"/>
      <c r="E450" s="755"/>
      <c r="F450" s="755"/>
      <c r="G450" s="755"/>
      <c r="H450" s="755"/>
      <c r="I450" s="755"/>
      <c r="J450" s="755"/>
      <c r="K450" s="26"/>
    </row>
    <row r="451" spans="2:11" ht="15">
      <c r="B451" s="27"/>
      <c r="C451" s="20"/>
      <c r="D451" s="20"/>
      <c r="E451" s="20"/>
      <c r="F451" s="20"/>
      <c r="G451" s="20"/>
      <c r="H451" s="20"/>
      <c r="I451" s="20"/>
      <c r="J451" s="20"/>
      <c r="K451" s="20"/>
    </row>
    <row r="452" spans="2:11">
      <c r="B452" s="754"/>
      <c r="C452" s="754"/>
      <c r="D452" s="754"/>
      <c r="E452" s="754"/>
      <c r="F452" s="754"/>
      <c r="G452" s="754"/>
      <c r="H452" s="754"/>
      <c r="I452" s="754"/>
      <c r="J452" s="754"/>
      <c r="K452" s="26"/>
    </row>
    <row r="453" spans="2:11">
      <c r="B453" s="754"/>
      <c r="C453" s="754"/>
      <c r="D453" s="754"/>
      <c r="E453" s="754"/>
      <c r="F453" s="754"/>
      <c r="G453" s="754"/>
      <c r="H453" s="754"/>
      <c r="I453" s="754"/>
      <c r="J453" s="754"/>
      <c r="K453" s="26"/>
    </row>
    <row r="454" spans="2:11">
      <c r="B454" s="754"/>
      <c r="C454" s="754"/>
      <c r="D454" s="754"/>
      <c r="E454" s="754"/>
      <c r="F454" s="754"/>
      <c r="G454" s="754"/>
      <c r="H454" s="754"/>
      <c r="I454" s="754"/>
      <c r="J454" s="754"/>
      <c r="K454" s="26"/>
    </row>
    <row r="455" spans="2:11" ht="23.25" customHeight="1">
      <c r="B455" s="754"/>
      <c r="C455" s="754"/>
      <c r="D455" s="754"/>
      <c r="E455" s="754"/>
      <c r="F455" s="754"/>
      <c r="G455" s="754"/>
      <c r="H455" s="754"/>
      <c r="I455" s="754"/>
      <c r="J455" s="754"/>
      <c r="K455" s="26"/>
    </row>
    <row r="456" spans="2:11" ht="15">
      <c r="B456" s="30"/>
      <c r="C456" s="20"/>
      <c r="D456" s="23"/>
      <c r="E456" s="23"/>
      <c r="F456" s="23"/>
      <c r="G456" s="20"/>
      <c r="H456" s="20"/>
      <c r="I456" s="20"/>
      <c r="J456" s="20"/>
      <c r="K456" s="20"/>
    </row>
    <row r="457" spans="2:11" ht="15">
      <c r="B457" s="21"/>
      <c r="C457" s="23"/>
      <c r="D457" s="23"/>
      <c r="E457" s="23"/>
      <c r="F457" s="23"/>
      <c r="G457" s="23"/>
      <c r="H457" s="23"/>
      <c r="I457" s="23"/>
      <c r="J457" s="23"/>
      <c r="K457" s="23"/>
    </row>
    <row r="458" spans="2:11" ht="15">
      <c r="B458" s="13"/>
      <c r="C458" s="23"/>
      <c r="D458" s="23"/>
      <c r="E458" s="32"/>
      <c r="F458" s="32"/>
      <c r="G458" s="32"/>
      <c r="H458" s="32"/>
      <c r="I458" s="32"/>
      <c r="J458" s="32"/>
      <c r="K458" s="32"/>
    </row>
    <row r="459" spans="2:11" ht="15">
      <c r="B459" s="13"/>
      <c r="C459" s="23"/>
      <c r="D459" s="20"/>
      <c r="E459" s="20"/>
      <c r="F459" s="20"/>
      <c r="G459" s="20"/>
      <c r="H459" s="20"/>
      <c r="I459" s="20"/>
      <c r="J459" s="20"/>
      <c r="K459" s="20"/>
    </row>
    <row r="460" spans="2:11" ht="15">
      <c r="B460" s="33"/>
      <c r="C460" s="20"/>
      <c r="D460" s="20"/>
      <c r="E460" s="20"/>
      <c r="F460" s="20"/>
      <c r="G460" s="20"/>
      <c r="H460" s="20"/>
      <c r="I460" s="20"/>
      <c r="J460" s="20"/>
      <c r="K460" s="20"/>
    </row>
    <row r="461" spans="2:11" ht="15">
      <c r="B461" s="34"/>
      <c r="C461" s="20"/>
      <c r="D461" s="20"/>
      <c r="E461" s="20"/>
      <c r="F461" s="20"/>
      <c r="G461" s="20"/>
      <c r="H461" s="20"/>
      <c r="I461" s="20"/>
      <c r="J461" s="20"/>
      <c r="K461" s="20"/>
    </row>
    <row r="462" spans="2:11" ht="15">
      <c r="B462" s="35"/>
      <c r="C462" s="20"/>
      <c r="D462" s="20"/>
      <c r="E462" s="20"/>
      <c r="F462" s="20"/>
      <c r="G462" s="20"/>
      <c r="H462" s="20"/>
      <c r="I462" s="20"/>
      <c r="J462" s="20"/>
      <c r="K462" s="20"/>
    </row>
    <row r="463" spans="2:11" ht="15">
      <c r="B463" s="35"/>
      <c r="C463" s="20"/>
      <c r="D463" s="20"/>
      <c r="E463" s="20"/>
      <c r="F463" s="20"/>
      <c r="G463" s="20"/>
      <c r="H463" s="20"/>
      <c r="I463" s="20"/>
      <c r="J463" s="20"/>
      <c r="K463" s="20"/>
    </row>
    <row r="464" spans="2:11" ht="15">
      <c r="B464" s="35"/>
      <c r="C464" s="20"/>
      <c r="D464" s="20"/>
      <c r="E464" s="20"/>
      <c r="F464" s="20"/>
      <c r="G464" s="20"/>
      <c r="H464" s="20"/>
      <c r="I464" s="20"/>
      <c r="J464" s="20"/>
      <c r="K464" s="20"/>
    </row>
    <row r="465" spans="2:11" ht="15">
      <c r="B465" s="35"/>
      <c r="C465" s="20"/>
      <c r="D465" s="20"/>
      <c r="E465" s="20"/>
      <c r="F465" s="20"/>
      <c r="G465" s="20"/>
      <c r="H465" s="20"/>
      <c r="I465" s="20"/>
      <c r="J465" s="20"/>
      <c r="K465" s="20"/>
    </row>
    <row r="466" spans="2:11" ht="15">
      <c r="B466" s="35"/>
      <c r="C466" s="20"/>
      <c r="D466" s="20"/>
      <c r="E466" s="20"/>
      <c r="F466" s="20"/>
      <c r="G466" s="20"/>
      <c r="H466" s="20"/>
      <c r="I466" s="20"/>
      <c r="J466" s="20"/>
      <c r="K466" s="20"/>
    </row>
    <row r="467" spans="2:11" ht="15">
      <c r="B467" s="16"/>
      <c r="C467" s="20"/>
      <c r="D467" s="20"/>
      <c r="E467" s="20"/>
      <c r="F467" s="20"/>
      <c r="G467" s="20"/>
      <c r="H467" s="20"/>
      <c r="I467" s="20"/>
      <c r="J467" s="20"/>
      <c r="K467" s="20"/>
    </row>
    <row r="468" spans="2:11" ht="15">
      <c r="B468" s="13"/>
      <c r="C468" s="20"/>
      <c r="D468" s="20"/>
      <c r="E468" s="20"/>
      <c r="F468" s="20"/>
      <c r="G468" s="20"/>
      <c r="H468" s="20"/>
      <c r="I468" s="20"/>
      <c r="J468" s="20"/>
      <c r="K468" s="20"/>
    </row>
    <row r="469" spans="2:11" ht="15">
      <c r="B469" s="33"/>
      <c r="C469" s="20"/>
      <c r="D469" s="20"/>
      <c r="E469" s="20"/>
      <c r="F469" s="20"/>
      <c r="G469" s="20"/>
      <c r="H469" s="20"/>
      <c r="I469" s="20"/>
      <c r="J469" s="20"/>
      <c r="K469" s="20"/>
    </row>
    <row r="470" spans="2:11" ht="15">
      <c r="B470" s="15"/>
      <c r="C470" s="20"/>
      <c r="D470" s="20"/>
      <c r="E470" s="20"/>
      <c r="F470" s="20"/>
      <c r="G470" s="20"/>
      <c r="H470" s="20"/>
      <c r="I470" s="20"/>
      <c r="J470" s="20"/>
      <c r="K470" s="20"/>
    </row>
    <row r="471" spans="2:11" ht="15">
      <c r="B471" s="15"/>
      <c r="C471" s="20"/>
      <c r="D471" s="20"/>
      <c r="E471" s="20"/>
      <c r="F471" s="20"/>
      <c r="G471" s="20"/>
      <c r="H471" s="20"/>
      <c r="I471" s="20"/>
      <c r="J471" s="20"/>
      <c r="K471" s="20"/>
    </row>
    <row r="472" spans="2:11" ht="15">
      <c r="B472" s="15"/>
      <c r="C472" s="20"/>
      <c r="D472" s="20"/>
      <c r="E472" s="20"/>
      <c r="F472" s="20"/>
      <c r="G472" s="20"/>
      <c r="H472" s="20"/>
      <c r="I472" s="20"/>
      <c r="J472" s="20"/>
      <c r="K472" s="20"/>
    </row>
    <row r="473" spans="2:11" ht="15">
      <c r="B473" s="15"/>
      <c r="C473" s="20"/>
      <c r="D473" s="20"/>
      <c r="E473" s="20"/>
      <c r="F473" s="20"/>
      <c r="G473" s="20"/>
      <c r="H473" s="20"/>
      <c r="I473" s="20"/>
      <c r="J473" s="20"/>
      <c r="K473" s="20"/>
    </row>
    <row r="474" spans="2:11" ht="15">
      <c r="B474" s="15"/>
      <c r="C474" s="20"/>
      <c r="D474" s="20"/>
      <c r="E474" s="20"/>
      <c r="F474" s="20"/>
      <c r="G474" s="20"/>
      <c r="H474" s="20"/>
      <c r="I474" s="20"/>
      <c r="J474" s="20"/>
      <c r="K474" s="20"/>
    </row>
    <row r="475" spans="2:11" ht="15">
      <c r="B475" s="16"/>
      <c r="C475" s="20"/>
      <c r="D475" s="20"/>
      <c r="E475" s="20"/>
      <c r="F475" s="20"/>
      <c r="G475" s="20"/>
      <c r="H475" s="20"/>
      <c r="I475" s="20"/>
      <c r="J475" s="20"/>
      <c r="K475" s="20"/>
    </row>
    <row r="476" spans="2:11" ht="15">
      <c r="B476" s="16"/>
      <c r="C476" s="20"/>
      <c r="D476" s="20"/>
      <c r="E476" s="20"/>
      <c r="F476" s="20"/>
      <c r="G476" s="20"/>
      <c r="H476" s="20"/>
      <c r="I476" s="20"/>
      <c r="J476" s="20"/>
      <c r="K476" s="20"/>
    </row>
    <row r="477" spans="2:11" ht="15">
      <c r="B477" s="17"/>
      <c r="C477" s="20"/>
      <c r="D477" s="20"/>
      <c r="E477" s="20"/>
      <c r="F477" s="20"/>
      <c r="G477" s="20"/>
      <c r="H477" s="20"/>
      <c r="I477" s="20"/>
      <c r="J477" s="20"/>
      <c r="K477" s="20"/>
    </row>
    <row r="478" spans="2:11" ht="15">
      <c r="B478" s="17"/>
      <c r="C478" s="20"/>
      <c r="D478" s="20"/>
      <c r="E478" s="20"/>
      <c r="F478" s="20"/>
      <c r="G478" s="20"/>
      <c r="H478" s="20"/>
      <c r="I478" s="20"/>
      <c r="J478" s="20"/>
      <c r="K478" s="20"/>
    </row>
    <row r="479" spans="2:11" ht="15">
      <c r="B479" s="33"/>
      <c r="C479" s="20"/>
      <c r="D479" s="20"/>
      <c r="E479" s="20"/>
      <c r="F479" s="20"/>
      <c r="G479" s="20"/>
      <c r="H479" s="20"/>
      <c r="I479" s="20"/>
      <c r="J479" s="20"/>
      <c r="K479" s="20"/>
    </row>
    <row r="480" spans="2:11" ht="15">
      <c r="B480" s="18"/>
      <c r="C480" s="20"/>
      <c r="D480" s="20"/>
      <c r="E480" s="20"/>
      <c r="F480" s="20"/>
      <c r="G480" s="20"/>
      <c r="H480" s="20"/>
      <c r="I480" s="20"/>
      <c r="J480" s="20"/>
      <c r="K480" s="20"/>
    </row>
    <row r="481" spans="2:11" ht="15">
      <c r="B481" s="18"/>
      <c r="C481" s="20"/>
      <c r="D481" s="20"/>
      <c r="E481" s="20"/>
      <c r="F481" s="20"/>
      <c r="G481" s="20"/>
      <c r="H481" s="20"/>
      <c r="I481" s="20"/>
      <c r="J481" s="20"/>
      <c r="K481" s="20"/>
    </row>
    <row r="482" spans="2:11" ht="15">
      <c r="B482" s="13"/>
      <c r="C482" s="20"/>
      <c r="D482" s="20"/>
      <c r="E482" s="20"/>
      <c r="F482" s="20"/>
      <c r="G482" s="20"/>
      <c r="H482" s="20"/>
      <c r="I482" s="20"/>
      <c r="J482" s="20"/>
      <c r="K482" s="20"/>
    </row>
    <row r="483" spans="2:11" ht="15">
      <c r="B483" s="13"/>
      <c r="C483" s="20"/>
      <c r="D483" s="20"/>
      <c r="E483" s="20"/>
      <c r="F483" s="20"/>
      <c r="G483" s="20"/>
      <c r="H483" s="20"/>
      <c r="I483" s="20"/>
      <c r="J483" s="20"/>
      <c r="K483" s="20"/>
    </row>
    <row r="484" spans="2:11" ht="15">
      <c r="B484" s="13"/>
      <c r="C484" s="20"/>
      <c r="D484" s="20"/>
      <c r="E484" s="20"/>
      <c r="F484" s="20"/>
      <c r="G484" s="20"/>
      <c r="H484" s="20"/>
      <c r="I484" s="20"/>
      <c r="J484" s="20"/>
      <c r="K484" s="20"/>
    </row>
    <row r="485" spans="2:11" ht="15">
      <c r="B485" s="13"/>
      <c r="C485" s="20"/>
      <c r="D485" s="20"/>
      <c r="E485" s="20"/>
      <c r="F485" s="20"/>
      <c r="G485" s="20"/>
      <c r="H485" s="20"/>
      <c r="I485" s="20"/>
      <c r="J485" s="20"/>
      <c r="K485" s="20"/>
    </row>
    <row r="486" spans="2:11" ht="15">
      <c r="B486" s="13"/>
      <c r="C486" s="20"/>
      <c r="D486" s="20"/>
      <c r="E486" s="20"/>
      <c r="F486" s="20"/>
      <c r="G486" s="20"/>
      <c r="H486" s="20"/>
      <c r="I486" s="20"/>
      <c r="J486" s="20"/>
      <c r="K486" s="20"/>
    </row>
    <row r="487" spans="2:11" ht="15">
      <c r="B487" s="13"/>
      <c r="C487" s="20"/>
      <c r="D487" s="20"/>
      <c r="E487" s="20"/>
      <c r="F487" s="20"/>
      <c r="G487" s="20"/>
      <c r="H487" s="20"/>
      <c r="I487" s="20"/>
      <c r="J487" s="20"/>
      <c r="K487" s="20"/>
    </row>
    <row r="488" spans="2:11" ht="15">
      <c r="B488" s="13"/>
      <c r="C488" s="20"/>
      <c r="D488" s="20"/>
      <c r="E488" s="20"/>
      <c r="F488" s="20"/>
      <c r="G488" s="20"/>
      <c r="H488" s="20"/>
      <c r="I488" s="20"/>
      <c r="J488" s="20"/>
      <c r="K488" s="20"/>
    </row>
    <row r="489" spans="2:11" ht="15">
      <c r="B489" s="13"/>
      <c r="C489" s="20"/>
      <c r="D489" s="20"/>
      <c r="E489" s="20"/>
      <c r="F489" s="20"/>
      <c r="G489" s="20"/>
      <c r="H489" s="20"/>
      <c r="I489" s="20"/>
      <c r="J489" s="20"/>
      <c r="K489" s="20"/>
    </row>
    <row r="490" spans="2:11" ht="15">
      <c r="B490" s="13"/>
      <c r="C490" s="20"/>
      <c r="D490" s="20"/>
      <c r="E490" s="20"/>
      <c r="F490" s="20"/>
      <c r="G490" s="20"/>
      <c r="H490" s="20"/>
      <c r="I490" s="20"/>
      <c r="J490" s="20"/>
      <c r="K490" s="20"/>
    </row>
    <row r="491" spans="2:11" ht="15">
      <c r="B491" s="13"/>
      <c r="C491" s="20"/>
      <c r="D491" s="20"/>
      <c r="E491" s="20"/>
      <c r="F491" s="20"/>
      <c r="G491" s="20"/>
      <c r="H491" s="20"/>
      <c r="I491" s="20"/>
      <c r="J491" s="20"/>
      <c r="K491" s="20"/>
    </row>
    <row r="492" spans="2:11" ht="15">
      <c r="B492" s="13"/>
      <c r="C492" s="20"/>
      <c r="D492" s="20"/>
      <c r="E492" s="20"/>
      <c r="F492" s="20"/>
      <c r="G492" s="20"/>
      <c r="H492" s="20"/>
      <c r="I492" s="20"/>
      <c r="J492" s="20"/>
      <c r="K492" s="20"/>
    </row>
    <row r="495" spans="2:11" ht="18.75">
      <c r="B495" s="755"/>
      <c r="C495" s="755"/>
      <c r="D495" s="755"/>
      <c r="E495" s="755"/>
      <c r="F495" s="755"/>
      <c r="G495" s="755"/>
      <c r="H495" s="755"/>
      <c r="I495" s="755"/>
      <c r="J495" s="755"/>
      <c r="K495" s="26"/>
    </row>
    <row r="496" spans="2:11" ht="15">
      <c r="B496" s="27"/>
      <c r="C496" s="20"/>
      <c r="D496" s="20"/>
      <c r="E496" s="20"/>
      <c r="F496" s="20"/>
      <c r="G496" s="20"/>
      <c r="H496" s="20"/>
      <c r="I496" s="20"/>
      <c r="J496" s="20"/>
      <c r="K496" s="20"/>
    </row>
    <row r="497" spans="2:11">
      <c r="B497" s="754"/>
      <c r="C497" s="754"/>
      <c r="D497" s="754"/>
      <c r="E497" s="754"/>
      <c r="F497" s="754"/>
      <c r="G497" s="754"/>
      <c r="H497" s="754"/>
      <c r="I497" s="754"/>
      <c r="J497" s="754"/>
      <c r="K497" s="26"/>
    </row>
    <row r="498" spans="2:11">
      <c r="B498" s="754"/>
      <c r="C498" s="754"/>
      <c r="D498" s="754"/>
      <c r="E498" s="754"/>
      <c r="F498" s="754"/>
      <c r="G498" s="754"/>
      <c r="H498" s="754"/>
      <c r="I498" s="754"/>
      <c r="J498" s="754"/>
      <c r="K498" s="26"/>
    </row>
    <row r="499" spans="2:11">
      <c r="B499" s="754"/>
      <c r="C499" s="754"/>
      <c r="D499" s="754"/>
      <c r="E499" s="754"/>
      <c r="F499" s="754"/>
      <c r="G499" s="754"/>
      <c r="H499" s="754"/>
      <c r="I499" s="754"/>
      <c r="J499" s="754"/>
      <c r="K499" s="26"/>
    </row>
    <row r="500" spans="2:11">
      <c r="B500" s="754"/>
      <c r="C500" s="754"/>
      <c r="D500" s="754"/>
      <c r="E500" s="754"/>
      <c r="F500" s="754"/>
      <c r="G500" s="754"/>
      <c r="H500" s="754"/>
      <c r="I500" s="754"/>
      <c r="J500" s="754"/>
      <c r="K500" s="26"/>
    </row>
    <row r="501" spans="2:11" ht="15">
      <c r="B501" s="28"/>
      <c r="C501" s="29"/>
      <c r="D501" s="29"/>
      <c r="E501" s="29"/>
      <c r="F501" s="29"/>
      <c r="G501" s="29"/>
      <c r="H501" s="20"/>
      <c r="I501" s="20"/>
      <c r="J501" s="20"/>
      <c r="K501" s="20"/>
    </row>
    <row r="502" spans="2:11" ht="15">
      <c r="B502" s="30"/>
      <c r="C502" s="20"/>
      <c r="D502" s="23"/>
      <c r="E502" s="23"/>
      <c r="F502" s="23"/>
      <c r="G502" s="20"/>
      <c r="H502" s="20"/>
      <c r="I502" s="20"/>
      <c r="J502" s="20"/>
      <c r="K502" s="20"/>
    </row>
    <row r="503" spans="2:11" ht="15">
      <c r="B503" s="21"/>
      <c r="C503" s="23"/>
      <c r="D503" s="23"/>
      <c r="E503" s="23"/>
      <c r="F503" s="23"/>
      <c r="G503" s="23"/>
      <c r="H503" s="23"/>
      <c r="I503" s="23"/>
      <c r="J503" s="23"/>
      <c r="K503" s="23"/>
    </row>
    <row r="504" spans="2:11" ht="15">
      <c r="B504" s="13"/>
      <c r="C504" s="23"/>
      <c r="D504" s="23"/>
      <c r="E504" s="32"/>
      <c r="F504" s="32"/>
      <c r="G504" s="32"/>
      <c r="H504" s="32"/>
      <c r="I504" s="32"/>
      <c r="J504" s="32"/>
      <c r="K504" s="32"/>
    </row>
    <row r="505" spans="2:11" ht="15">
      <c r="B505" s="13"/>
      <c r="C505" s="23"/>
      <c r="D505" s="20"/>
      <c r="E505" s="20"/>
      <c r="F505" s="20"/>
      <c r="G505" s="20"/>
      <c r="H505" s="20"/>
      <c r="I505" s="20"/>
      <c r="J505" s="20"/>
      <c r="K505" s="20"/>
    </row>
    <row r="506" spans="2:11" ht="15">
      <c r="B506" s="33"/>
      <c r="C506" s="20"/>
      <c r="D506" s="20"/>
      <c r="E506" s="20"/>
      <c r="F506" s="20"/>
      <c r="G506" s="20"/>
      <c r="H506" s="20"/>
      <c r="I506" s="20"/>
      <c r="J506" s="20"/>
      <c r="K506" s="20"/>
    </row>
    <row r="507" spans="2:11" ht="15">
      <c r="B507" s="35"/>
      <c r="C507" s="20"/>
      <c r="D507" s="20"/>
      <c r="E507" s="20"/>
      <c r="F507" s="20"/>
      <c r="G507" s="20"/>
      <c r="H507" s="20"/>
      <c r="I507" s="20"/>
      <c r="J507" s="20"/>
      <c r="K507" s="20"/>
    </row>
    <row r="508" spans="2:11" ht="15">
      <c r="B508" s="35"/>
      <c r="C508" s="20"/>
      <c r="D508" s="20"/>
      <c r="E508" s="20"/>
      <c r="F508" s="20"/>
      <c r="G508" s="20"/>
      <c r="H508" s="20"/>
      <c r="I508" s="20"/>
      <c r="J508" s="20"/>
      <c r="K508" s="20"/>
    </row>
    <row r="509" spans="2:11" ht="15">
      <c r="B509" s="16"/>
      <c r="C509" s="20"/>
      <c r="D509" s="20"/>
      <c r="E509" s="20"/>
      <c r="F509" s="20"/>
      <c r="G509" s="20"/>
      <c r="H509" s="20"/>
      <c r="I509" s="20"/>
      <c r="J509" s="20"/>
      <c r="K509" s="20"/>
    </row>
    <row r="510" spans="2:11" ht="15">
      <c r="B510" s="13"/>
      <c r="C510" s="20"/>
      <c r="D510" s="20"/>
      <c r="E510" s="20"/>
      <c r="F510" s="20"/>
      <c r="G510" s="20"/>
      <c r="H510" s="20"/>
      <c r="I510" s="20"/>
      <c r="J510" s="20"/>
      <c r="K510" s="20"/>
    </row>
    <row r="511" spans="2:11" ht="15">
      <c r="B511" s="33"/>
      <c r="C511" s="20"/>
      <c r="D511" s="20"/>
      <c r="E511" s="20"/>
      <c r="F511" s="20"/>
      <c r="G511" s="20"/>
      <c r="H511" s="20"/>
      <c r="I511" s="20"/>
      <c r="J511" s="20"/>
      <c r="K511" s="20"/>
    </row>
    <row r="512" spans="2:11" ht="15">
      <c r="B512" s="15"/>
      <c r="C512" s="20"/>
      <c r="D512" s="20"/>
      <c r="E512" s="20"/>
      <c r="F512" s="20"/>
      <c r="G512" s="20"/>
      <c r="H512" s="20"/>
      <c r="I512" s="20"/>
      <c r="J512" s="20"/>
      <c r="K512" s="20"/>
    </row>
    <row r="513" spans="2:11" ht="15">
      <c r="B513" s="15"/>
      <c r="C513" s="20"/>
      <c r="D513" s="20"/>
      <c r="E513" s="20"/>
      <c r="F513" s="20"/>
      <c r="G513" s="20"/>
      <c r="H513" s="20"/>
      <c r="I513" s="20"/>
      <c r="J513" s="20"/>
      <c r="K513" s="20"/>
    </row>
    <row r="514" spans="2:11" ht="15">
      <c r="B514" s="15"/>
      <c r="C514" s="20"/>
      <c r="D514" s="20"/>
      <c r="E514" s="20"/>
      <c r="F514" s="20"/>
      <c r="G514" s="20"/>
      <c r="H514" s="20"/>
      <c r="I514" s="20"/>
      <c r="J514" s="20"/>
      <c r="K514" s="20"/>
    </row>
    <row r="515" spans="2:11" ht="15">
      <c r="B515" s="15"/>
      <c r="C515" s="20"/>
      <c r="D515" s="20"/>
      <c r="E515" s="20"/>
      <c r="F515" s="20"/>
      <c r="G515" s="20"/>
      <c r="H515" s="20"/>
      <c r="I515" s="20"/>
      <c r="J515" s="20"/>
      <c r="K515" s="20"/>
    </row>
    <row r="516" spans="2:11" ht="15">
      <c r="B516" s="16"/>
      <c r="C516" s="20"/>
      <c r="D516" s="20"/>
      <c r="E516" s="20"/>
      <c r="F516" s="20"/>
      <c r="G516" s="20"/>
      <c r="H516" s="20"/>
      <c r="I516" s="20"/>
      <c r="J516" s="20"/>
      <c r="K516" s="20"/>
    </row>
    <row r="517" spans="2:11" ht="15">
      <c r="B517" s="16"/>
      <c r="C517" s="20"/>
      <c r="D517" s="20"/>
      <c r="E517" s="20"/>
      <c r="F517" s="20"/>
      <c r="G517" s="20"/>
      <c r="H517" s="20"/>
      <c r="I517" s="20"/>
      <c r="J517" s="20"/>
      <c r="K517" s="20"/>
    </row>
    <row r="518" spans="2:11" ht="15">
      <c r="B518" s="17"/>
      <c r="C518" s="20"/>
      <c r="D518" s="20"/>
      <c r="E518" s="20"/>
      <c r="F518" s="20"/>
      <c r="G518" s="20"/>
      <c r="H518" s="20"/>
      <c r="I518" s="20"/>
      <c r="J518" s="20"/>
      <c r="K518" s="20"/>
    </row>
    <row r="519" spans="2:11" ht="15">
      <c r="B519" s="17"/>
      <c r="C519" s="20"/>
      <c r="D519" s="20"/>
      <c r="E519" s="20"/>
      <c r="F519" s="20"/>
      <c r="G519" s="20"/>
      <c r="H519" s="20"/>
      <c r="I519" s="20"/>
      <c r="J519" s="20"/>
      <c r="K519" s="20"/>
    </row>
    <row r="520" spans="2:11" ht="15">
      <c r="B520" s="33"/>
      <c r="C520" s="20"/>
      <c r="D520" s="20"/>
      <c r="E520" s="20"/>
      <c r="F520" s="20"/>
      <c r="G520" s="20"/>
      <c r="H520" s="20"/>
      <c r="I520" s="20"/>
      <c r="J520" s="20"/>
      <c r="K520" s="20"/>
    </row>
    <row r="521" spans="2:11" ht="15">
      <c r="B521" s="18"/>
      <c r="C521" s="20"/>
      <c r="D521" s="20"/>
      <c r="E521" s="20"/>
      <c r="F521" s="20"/>
      <c r="G521" s="20"/>
      <c r="H521" s="20"/>
      <c r="I521" s="20"/>
      <c r="J521" s="20"/>
      <c r="K521" s="20"/>
    </row>
    <row r="522" spans="2:11" ht="15">
      <c r="B522" s="18"/>
      <c r="C522" s="20"/>
      <c r="D522" s="20"/>
      <c r="E522" s="20"/>
      <c r="F522" s="20"/>
      <c r="G522" s="20"/>
      <c r="H522" s="20"/>
      <c r="I522" s="20"/>
      <c r="J522" s="20"/>
      <c r="K522" s="20"/>
    </row>
    <row r="523" spans="2:11" ht="15">
      <c r="B523" s="13"/>
      <c r="C523" s="20"/>
      <c r="D523" s="20"/>
      <c r="E523" s="20"/>
      <c r="F523" s="20"/>
      <c r="G523" s="20"/>
      <c r="H523" s="20"/>
      <c r="I523" s="20"/>
      <c r="J523" s="20"/>
      <c r="K523" s="20"/>
    </row>
    <row r="524" spans="2:11" ht="15">
      <c r="B524" s="13"/>
      <c r="C524" s="20"/>
      <c r="D524" s="20"/>
      <c r="E524" s="20"/>
      <c r="F524" s="20"/>
      <c r="G524" s="20"/>
      <c r="H524" s="20"/>
      <c r="I524" s="20"/>
      <c r="J524" s="20"/>
      <c r="K524" s="20"/>
    </row>
    <row r="525" spans="2:11" ht="15">
      <c r="B525" s="13"/>
      <c r="C525" s="20"/>
      <c r="D525" s="20"/>
      <c r="E525" s="20"/>
      <c r="F525" s="20"/>
      <c r="G525" s="20"/>
      <c r="H525" s="20"/>
      <c r="I525" s="20"/>
      <c r="J525" s="20"/>
      <c r="K525" s="20"/>
    </row>
    <row r="526" spans="2:11" ht="15">
      <c r="B526" s="13"/>
      <c r="C526" s="20"/>
      <c r="D526" s="20"/>
      <c r="E526" s="20"/>
      <c r="F526" s="20"/>
      <c r="G526" s="20"/>
      <c r="H526" s="20"/>
      <c r="I526" s="20"/>
      <c r="J526" s="20"/>
      <c r="K526" s="20"/>
    </row>
    <row r="527" spans="2:11" ht="15">
      <c r="B527" s="13"/>
      <c r="C527" s="20"/>
      <c r="D527" s="20"/>
      <c r="E527" s="20"/>
      <c r="F527" s="20"/>
      <c r="G527" s="20"/>
      <c r="H527" s="20"/>
      <c r="I527" s="20"/>
      <c r="J527" s="20"/>
      <c r="K527" s="20"/>
    </row>
    <row r="528" spans="2:11" ht="15">
      <c r="B528" s="13"/>
      <c r="C528" s="20"/>
      <c r="D528" s="20"/>
      <c r="E528" s="20"/>
      <c r="F528" s="20"/>
      <c r="G528" s="20"/>
      <c r="H528" s="20"/>
      <c r="I528" s="20"/>
      <c r="J528" s="20"/>
      <c r="K528" s="20"/>
    </row>
    <row r="529" spans="2:11" ht="15">
      <c r="B529" s="13"/>
      <c r="C529" s="20"/>
      <c r="D529" s="20"/>
      <c r="E529" s="20"/>
      <c r="F529" s="20"/>
      <c r="G529" s="20"/>
      <c r="H529" s="20"/>
      <c r="I529" s="20"/>
      <c r="J529" s="20"/>
      <c r="K529" s="20"/>
    </row>
    <row r="530" spans="2:11" ht="15">
      <c r="B530" s="13"/>
      <c r="C530" s="20"/>
      <c r="D530" s="20"/>
      <c r="E530" s="20"/>
      <c r="F530" s="20"/>
      <c r="G530" s="20"/>
      <c r="H530" s="20"/>
      <c r="I530" s="20"/>
      <c r="J530" s="20"/>
      <c r="K530" s="20"/>
    </row>
    <row r="531" spans="2:11" ht="15">
      <c r="B531" s="13"/>
      <c r="C531" s="20"/>
      <c r="D531" s="20"/>
      <c r="E531" s="20"/>
      <c r="F531" s="20"/>
      <c r="G531" s="20"/>
      <c r="H531" s="20"/>
      <c r="I531" s="20"/>
      <c r="J531" s="20"/>
      <c r="K531" s="20"/>
    </row>
    <row r="532" spans="2:11" ht="15">
      <c r="B532" s="13"/>
      <c r="C532" s="20"/>
      <c r="D532" s="20"/>
      <c r="E532" s="20"/>
      <c r="F532" s="20"/>
      <c r="G532" s="20"/>
      <c r="H532" s="20"/>
      <c r="I532" s="20"/>
      <c r="J532" s="20"/>
      <c r="K532" s="20"/>
    </row>
    <row r="535" spans="2:11" ht="18.75">
      <c r="B535" s="755"/>
      <c r="C535" s="755"/>
      <c r="D535" s="755"/>
      <c r="E535" s="755"/>
      <c r="F535" s="755"/>
      <c r="G535" s="755"/>
      <c r="H535" s="755"/>
      <c r="I535" s="755"/>
      <c r="J535" s="755"/>
      <c r="K535" s="26"/>
    </row>
    <row r="536" spans="2:11" ht="15">
      <c r="B536" s="27"/>
      <c r="C536" s="20"/>
      <c r="D536" s="20"/>
      <c r="E536" s="20"/>
      <c r="F536" s="20"/>
      <c r="G536" s="20"/>
      <c r="H536" s="20"/>
      <c r="I536" s="20"/>
      <c r="J536" s="20"/>
      <c r="K536" s="20"/>
    </row>
    <row r="537" spans="2:11">
      <c r="B537" s="754"/>
      <c r="C537" s="754"/>
      <c r="D537" s="754"/>
      <c r="E537" s="754"/>
      <c r="F537" s="754"/>
      <c r="G537" s="754"/>
      <c r="H537" s="754"/>
      <c r="I537" s="754"/>
      <c r="J537" s="754"/>
      <c r="K537" s="26"/>
    </row>
    <row r="538" spans="2:11">
      <c r="B538" s="754"/>
      <c r="C538" s="754"/>
      <c r="D538" s="754"/>
      <c r="E538" s="754"/>
      <c r="F538" s="754"/>
      <c r="G538" s="754"/>
      <c r="H538" s="754"/>
      <c r="I538" s="754"/>
      <c r="J538" s="754"/>
      <c r="K538" s="26"/>
    </row>
    <row r="539" spans="2:11">
      <c r="B539" s="754"/>
      <c r="C539" s="754"/>
      <c r="D539" s="754"/>
      <c r="E539" s="754"/>
      <c r="F539" s="754"/>
      <c r="G539" s="754"/>
      <c r="H539" s="754"/>
      <c r="I539" s="754"/>
      <c r="J539" s="754"/>
      <c r="K539" s="26"/>
    </row>
    <row r="540" spans="2:11" ht="15">
      <c r="B540" s="30"/>
      <c r="C540" s="20"/>
      <c r="D540" s="23"/>
      <c r="E540" s="20"/>
      <c r="F540" s="23"/>
      <c r="G540" s="20"/>
      <c r="H540" s="20"/>
      <c r="I540" s="20"/>
      <c r="J540" s="20"/>
      <c r="K540" s="20"/>
    </row>
    <row r="541" spans="2:11" ht="15">
      <c r="B541" s="21"/>
      <c r="C541" s="23"/>
      <c r="D541" s="23"/>
      <c r="E541" s="23"/>
      <c r="F541" s="23"/>
      <c r="G541" s="23"/>
      <c r="H541" s="23"/>
      <c r="I541" s="23"/>
      <c r="J541" s="23"/>
      <c r="K541" s="23"/>
    </row>
    <row r="542" spans="2:11" ht="15">
      <c r="B542" s="13"/>
      <c r="C542" s="23"/>
      <c r="D542" s="23"/>
      <c r="E542" s="32"/>
      <c r="F542" s="32"/>
      <c r="G542" s="32"/>
      <c r="H542" s="32"/>
      <c r="I542" s="32"/>
      <c r="J542" s="32"/>
      <c r="K542" s="32"/>
    </row>
    <row r="543" spans="2:11" ht="15">
      <c r="B543" s="13"/>
      <c r="C543" s="23"/>
      <c r="D543" s="20"/>
      <c r="E543" s="20"/>
      <c r="F543" s="20"/>
      <c r="G543" s="20"/>
      <c r="H543" s="20"/>
      <c r="I543" s="20"/>
      <c r="J543" s="20"/>
      <c r="K543" s="20"/>
    </row>
    <row r="544" spans="2:11" ht="15">
      <c r="B544" s="33"/>
      <c r="C544" s="20"/>
      <c r="D544" s="20"/>
      <c r="E544" s="20"/>
      <c r="F544" s="20"/>
      <c r="G544" s="20"/>
      <c r="H544" s="20"/>
      <c r="I544" s="20"/>
      <c r="J544" s="20"/>
      <c r="K544" s="20"/>
    </row>
    <row r="545" spans="2:11" ht="15">
      <c r="B545" s="34"/>
      <c r="C545" s="20"/>
      <c r="D545" s="20"/>
      <c r="E545" s="20"/>
      <c r="F545" s="20"/>
      <c r="G545" s="20"/>
      <c r="H545" s="20"/>
      <c r="I545" s="20"/>
      <c r="J545" s="20"/>
      <c r="K545" s="20"/>
    </row>
    <row r="546" spans="2:11" ht="15">
      <c r="B546" s="34"/>
      <c r="C546" s="20"/>
      <c r="D546" s="20"/>
      <c r="E546" s="20"/>
      <c r="F546" s="20"/>
      <c r="G546" s="20"/>
      <c r="H546" s="20"/>
      <c r="I546" s="20"/>
      <c r="J546" s="20"/>
      <c r="K546" s="20"/>
    </row>
    <row r="547" spans="2:11" ht="15">
      <c r="B547" s="35"/>
      <c r="C547" s="20"/>
      <c r="D547" s="20"/>
      <c r="E547" s="20"/>
      <c r="F547" s="20"/>
      <c r="G547" s="20"/>
      <c r="H547" s="20"/>
      <c r="I547" s="20"/>
      <c r="J547" s="20"/>
      <c r="K547" s="20"/>
    </row>
    <row r="548" spans="2:11" ht="15">
      <c r="B548" s="35"/>
      <c r="C548" s="20"/>
      <c r="D548" s="20"/>
      <c r="E548" s="20"/>
      <c r="F548" s="20"/>
      <c r="G548" s="20"/>
      <c r="H548" s="20"/>
      <c r="I548" s="20"/>
      <c r="J548" s="20"/>
      <c r="K548" s="20"/>
    </row>
    <row r="549" spans="2:11" ht="15">
      <c r="B549" s="35"/>
      <c r="C549" s="20"/>
      <c r="D549" s="20"/>
      <c r="E549" s="20"/>
      <c r="F549" s="20"/>
      <c r="G549" s="20"/>
      <c r="H549" s="20"/>
      <c r="I549" s="20"/>
      <c r="J549" s="20"/>
      <c r="K549" s="20"/>
    </row>
    <row r="550" spans="2:11" ht="15">
      <c r="B550" s="35"/>
      <c r="C550" s="20"/>
      <c r="D550" s="20"/>
      <c r="E550" s="20"/>
      <c r="F550" s="20"/>
      <c r="G550" s="20"/>
      <c r="H550" s="20"/>
      <c r="I550" s="20"/>
      <c r="J550" s="20"/>
      <c r="K550" s="20"/>
    </row>
    <row r="551" spans="2:11" ht="15">
      <c r="B551" s="35"/>
      <c r="C551" s="20"/>
      <c r="D551" s="20"/>
      <c r="E551" s="20"/>
      <c r="F551" s="20"/>
      <c r="G551" s="20"/>
      <c r="H551" s="20"/>
      <c r="I551" s="20"/>
      <c r="J551" s="20"/>
      <c r="K551" s="20"/>
    </row>
    <row r="552" spans="2:11" ht="15">
      <c r="B552" s="35"/>
      <c r="C552" s="20"/>
      <c r="D552" s="20"/>
      <c r="E552" s="20"/>
      <c r="F552" s="20"/>
      <c r="G552" s="20"/>
      <c r="H552" s="20"/>
      <c r="I552" s="20"/>
      <c r="J552" s="20"/>
      <c r="K552" s="20"/>
    </row>
    <row r="553" spans="2:11" ht="15">
      <c r="B553" s="15"/>
      <c r="C553" s="20"/>
      <c r="D553" s="20"/>
      <c r="E553" s="20"/>
      <c r="F553" s="20"/>
      <c r="G553" s="20"/>
      <c r="H553" s="20"/>
      <c r="I553" s="20"/>
      <c r="J553" s="20"/>
      <c r="K553" s="20"/>
    </row>
    <row r="554" spans="2:11" ht="15">
      <c r="B554" s="16"/>
      <c r="C554" s="20"/>
      <c r="D554" s="20"/>
      <c r="E554" s="20"/>
      <c r="F554" s="20"/>
      <c r="G554" s="20"/>
      <c r="H554" s="20"/>
      <c r="I554" s="20"/>
      <c r="J554" s="20"/>
      <c r="K554" s="20"/>
    </row>
    <row r="555" spans="2:11" ht="15">
      <c r="B555" s="13"/>
      <c r="C555" s="20"/>
      <c r="D555" s="20"/>
      <c r="E555" s="20"/>
      <c r="F555" s="20"/>
      <c r="G555" s="20"/>
      <c r="H555" s="20"/>
      <c r="I555" s="20"/>
      <c r="J555" s="20"/>
      <c r="K555" s="20"/>
    </row>
    <row r="556" spans="2:11" ht="15">
      <c r="B556" s="33"/>
      <c r="C556" s="20"/>
      <c r="D556" s="20"/>
      <c r="E556" s="20"/>
      <c r="F556" s="20"/>
      <c r="G556" s="20"/>
      <c r="H556" s="20"/>
      <c r="I556" s="20"/>
      <c r="J556" s="20"/>
      <c r="K556" s="20"/>
    </row>
    <row r="557" spans="2:11" ht="15">
      <c r="B557" s="15"/>
      <c r="C557" s="20"/>
      <c r="D557" s="20"/>
      <c r="E557" s="20"/>
      <c r="F557" s="20"/>
      <c r="G557" s="20"/>
      <c r="H557" s="20"/>
      <c r="I557" s="20"/>
      <c r="J557" s="20"/>
      <c r="K557" s="20"/>
    </row>
    <row r="558" spans="2:11" ht="15">
      <c r="B558" s="15"/>
      <c r="C558" s="20"/>
      <c r="D558" s="20"/>
      <c r="E558" s="20"/>
      <c r="F558" s="20"/>
      <c r="G558" s="20"/>
      <c r="H558" s="20"/>
      <c r="I558" s="20"/>
      <c r="J558" s="20"/>
      <c r="K558" s="20"/>
    </row>
    <row r="559" spans="2:11" ht="15">
      <c r="B559" s="15"/>
      <c r="C559" s="20"/>
      <c r="D559" s="20"/>
      <c r="E559" s="20"/>
      <c r="F559" s="20"/>
      <c r="G559" s="20"/>
      <c r="H559" s="20"/>
      <c r="I559" s="20"/>
      <c r="J559" s="20"/>
      <c r="K559" s="20"/>
    </row>
    <row r="560" spans="2:11" ht="15">
      <c r="B560" s="15"/>
      <c r="C560" s="20"/>
      <c r="D560" s="20"/>
      <c r="E560" s="20"/>
      <c r="F560" s="20"/>
      <c r="G560" s="20"/>
      <c r="H560" s="20"/>
      <c r="I560" s="20"/>
      <c r="J560" s="20"/>
      <c r="K560" s="20"/>
    </row>
    <row r="561" spans="2:11" ht="15">
      <c r="B561" s="15"/>
      <c r="C561" s="20"/>
      <c r="D561" s="20"/>
      <c r="E561" s="20"/>
      <c r="F561" s="20"/>
      <c r="G561" s="20"/>
      <c r="H561" s="20"/>
      <c r="I561" s="20"/>
      <c r="J561" s="20"/>
      <c r="K561" s="20"/>
    </row>
    <row r="562" spans="2:11" ht="15">
      <c r="B562" s="15"/>
      <c r="C562" s="20"/>
      <c r="D562" s="20"/>
      <c r="E562" s="20"/>
      <c r="F562" s="20"/>
      <c r="G562" s="20"/>
      <c r="H562" s="20"/>
      <c r="I562" s="20"/>
      <c r="J562" s="20"/>
      <c r="K562" s="20"/>
    </row>
    <row r="563" spans="2:11" ht="15">
      <c r="B563" s="15"/>
      <c r="C563" s="20"/>
      <c r="D563" s="20"/>
      <c r="E563" s="20"/>
      <c r="F563" s="20"/>
      <c r="G563" s="20"/>
      <c r="H563" s="20"/>
      <c r="I563" s="20"/>
      <c r="J563" s="20"/>
      <c r="K563" s="20"/>
    </row>
    <row r="564" spans="2:11" ht="15">
      <c r="B564" s="16"/>
      <c r="C564" s="20"/>
      <c r="D564" s="20"/>
      <c r="E564" s="20"/>
      <c r="F564" s="20"/>
      <c r="G564" s="20"/>
      <c r="H564" s="20"/>
      <c r="I564" s="20"/>
      <c r="J564" s="20"/>
      <c r="K564" s="20"/>
    </row>
    <row r="565" spans="2:11" ht="15">
      <c r="B565" s="16"/>
      <c r="C565" s="20"/>
      <c r="D565" s="20"/>
      <c r="E565" s="20"/>
      <c r="F565" s="20"/>
      <c r="G565" s="20"/>
      <c r="H565" s="20"/>
      <c r="I565" s="20"/>
      <c r="J565" s="20"/>
      <c r="K565" s="20"/>
    </row>
    <row r="566" spans="2:11" ht="15">
      <c r="B566" s="17"/>
      <c r="C566" s="20"/>
      <c r="D566" s="20"/>
      <c r="E566" s="20"/>
      <c r="F566" s="20"/>
      <c r="G566" s="20"/>
      <c r="H566" s="20"/>
      <c r="I566" s="20"/>
      <c r="J566" s="20"/>
      <c r="K566" s="20"/>
    </row>
    <row r="567" spans="2:11" ht="15">
      <c r="B567" s="17"/>
      <c r="C567" s="20"/>
      <c r="D567" s="20"/>
      <c r="E567" s="20"/>
      <c r="F567" s="20"/>
      <c r="G567" s="20"/>
      <c r="H567" s="20"/>
      <c r="I567" s="20"/>
      <c r="J567" s="20"/>
      <c r="K567" s="20"/>
    </row>
    <row r="568" spans="2:11" ht="15">
      <c r="B568" s="33"/>
      <c r="C568" s="20"/>
      <c r="D568" s="20"/>
      <c r="E568" s="20"/>
      <c r="F568" s="20"/>
      <c r="G568" s="20"/>
      <c r="H568" s="20"/>
      <c r="I568" s="20"/>
      <c r="J568" s="20"/>
      <c r="K568" s="20"/>
    </row>
    <row r="569" spans="2:11" ht="15">
      <c r="B569" s="18"/>
      <c r="C569" s="20"/>
      <c r="D569" s="20"/>
      <c r="E569" s="20"/>
      <c r="F569" s="20"/>
      <c r="G569" s="20"/>
      <c r="H569" s="20"/>
      <c r="I569" s="20"/>
      <c r="J569" s="20"/>
      <c r="K569" s="20"/>
    </row>
    <row r="570" spans="2:11" ht="15">
      <c r="B570" s="18"/>
      <c r="C570" s="20"/>
      <c r="D570" s="20"/>
      <c r="E570" s="20"/>
      <c r="F570" s="20"/>
      <c r="G570" s="20"/>
      <c r="H570" s="20"/>
      <c r="I570" s="20"/>
      <c r="J570" s="20"/>
      <c r="K570" s="20"/>
    </row>
    <row r="571" spans="2:11" ht="15">
      <c r="B571" s="13"/>
      <c r="C571" s="20"/>
      <c r="D571" s="20"/>
      <c r="E571" s="20"/>
      <c r="F571" s="20"/>
      <c r="G571" s="20"/>
      <c r="H571" s="20"/>
      <c r="I571" s="20"/>
      <c r="J571" s="20"/>
      <c r="K571" s="20"/>
    </row>
    <row r="572" spans="2:11" ht="15">
      <c r="B572" s="13"/>
      <c r="C572" s="20"/>
      <c r="D572" s="20"/>
      <c r="E572" s="20"/>
      <c r="F572" s="20"/>
      <c r="G572" s="20"/>
      <c r="H572" s="20"/>
      <c r="I572" s="20"/>
      <c r="J572" s="20"/>
      <c r="K572" s="20"/>
    </row>
    <row r="573" spans="2:11" ht="15">
      <c r="B573" s="13"/>
      <c r="C573" s="20"/>
      <c r="D573" s="20"/>
      <c r="E573" s="20"/>
      <c r="F573" s="20"/>
      <c r="G573" s="20"/>
      <c r="H573" s="20"/>
      <c r="I573" s="20"/>
      <c r="J573" s="20"/>
      <c r="K573" s="20"/>
    </row>
    <row r="574" spans="2:11" ht="15">
      <c r="B574" s="13"/>
      <c r="C574" s="20"/>
      <c r="D574" s="20"/>
      <c r="E574" s="20"/>
      <c r="F574" s="20"/>
      <c r="G574" s="20"/>
      <c r="H574" s="20"/>
      <c r="I574" s="20"/>
      <c r="J574" s="20"/>
      <c r="K574" s="20"/>
    </row>
    <row r="575" spans="2:11" ht="15">
      <c r="B575" s="13"/>
      <c r="C575" s="20"/>
      <c r="D575" s="20"/>
      <c r="E575" s="20"/>
      <c r="F575" s="20"/>
      <c r="G575" s="20"/>
      <c r="H575" s="20"/>
      <c r="I575" s="20"/>
      <c r="J575" s="20"/>
      <c r="K575" s="20"/>
    </row>
    <row r="576" spans="2:11" ht="15">
      <c r="B576" s="13"/>
      <c r="C576" s="20"/>
      <c r="D576" s="20"/>
      <c r="E576" s="20"/>
      <c r="F576" s="20"/>
      <c r="G576" s="20"/>
      <c r="H576" s="20"/>
      <c r="I576" s="20"/>
      <c r="J576" s="20"/>
      <c r="K576" s="20"/>
    </row>
    <row r="577" spans="2:11" ht="15">
      <c r="B577" s="13"/>
      <c r="C577" s="20"/>
      <c r="D577" s="20"/>
      <c r="E577" s="20"/>
      <c r="F577" s="20"/>
      <c r="G577" s="20"/>
      <c r="H577" s="20"/>
      <c r="I577" s="20"/>
      <c r="J577" s="20"/>
      <c r="K577" s="20"/>
    </row>
    <row r="578" spans="2:11" ht="15">
      <c r="B578" s="13"/>
      <c r="C578" s="20"/>
      <c r="D578" s="20"/>
      <c r="E578" s="20"/>
      <c r="F578" s="20"/>
      <c r="G578" s="20"/>
      <c r="H578" s="20"/>
      <c r="I578" s="20"/>
      <c r="J578" s="20"/>
      <c r="K578" s="20"/>
    </row>
    <row r="579" spans="2:11" ht="15">
      <c r="B579" s="13"/>
      <c r="C579" s="20"/>
      <c r="D579" s="20"/>
      <c r="E579" s="20"/>
      <c r="F579" s="20"/>
      <c r="G579" s="20"/>
      <c r="H579" s="20"/>
      <c r="I579" s="20"/>
      <c r="J579" s="20"/>
      <c r="K579" s="20"/>
    </row>
    <row r="580" spans="2:11" ht="15">
      <c r="B580" s="13"/>
      <c r="C580" s="20"/>
      <c r="D580" s="20"/>
      <c r="E580" s="20"/>
      <c r="F580" s="20"/>
      <c r="G580" s="20"/>
      <c r="H580" s="20"/>
      <c r="I580" s="20"/>
      <c r="J580" s="20"/>
      <c r="K580" s="20"/>
    </row>
    <row r="581" spans="2:11" ht="15">
      <c r="B581" s="13"/>
      <c r="C581" s="20"/>
      <c r="D581" s="20"/>
      <c r="E581" s="20"/>
      <c r="F581" s="20"/>
      <c r="G581" s="20"/>
      <c r="H581" s="20"/>
      <c r="I581" s="20"/>
      <c r="J581" s="20"/>
      <c r="K581" s="20"/>
    </row>
    <row r="582" spans="2:11" ht="15">
      <c r="B582" s="13"/>
      <c r="C582" s="20"/>
      <c r="D582" s="20"/>
      <c r="E582" s="20"/>
      <c r="F582" s="20"/>
      <c r="G582" s="20"/>
      <c r="H582" s="20"/>
      <c r="I582" s="20"/>
      <c r="J582" s="20"/>
      <c r="K582" s="20"/>
    </row>
    <row r="584" spans="2:11" ht="18.75">
      <c r="B584" s="755"/>
      <c r="C584" s="755"/>
      <c r="D584" s="755"/>
      <c r="E584" s="755"/>
      <c r="F584" s="755"/>
      <c r="G584" s="755"/>
      <c r="H584" s="755"/>
      <c r="I584" s="755"/>
      <c r="J584" s="755"/>
      <c r="K584" s="26"/>
    </row>
    <row r="585" spans="2:11" ht="15">
      <c r="B585" s="27"/>
      <c r="C585" s="20"/>
      <c r="D585" s="20"/>
      <c r="E585" s="20"/>
      <c r="F585" s="20"/>
      <c r="G585" s="20"/>
      <c r="H585" s="20"/>
      <c r="I585" s="20"/>
      <c r="J585" s="20"/>
      <c r="K585" s="20"/>
    </row>
    <row r="586" spans="2:11">
      <c r="B586" s="754"/>
      <c r="C586" s="754"/>
      <c r="D586" s="754"/>
      <c r="E586" s="754"/>
      <c r="F586" s="754"/>
      <c r="G586" s="754"/>
      <c r="H586" s="754"/>
      <c r="I586" s="754"/>
      <c r="J586" s="754"/>
      <c r="K586" s="26"/>
    </row>
    <row r="587" spans="2:11">
      <c r="B587" s="754"/>
      <c r="C587" s="754"/>
      <c r="D587" s="754"/>
      <c r="E587" s="754"/>
      <c r="F587" s="754"/>
      <c r="G587" s="754"/>
      <c r="H587" s="754"/>
      <c r="I587" s="754"/>
      <c r="J587" s="754"/>
      <c r="K587" s="26"/>
    </row>
    <row r="588" spans="2:11" ht="15">
      <c r="B588" s="28"/>
      <c r="C588" s="29"/>
      <c r="D588" s="29"/>
      <c r="E588" s="29"/>
      <c r="F588" s="29"/>
      <c r="G588" s="29"/>
      <c r="H588" s="20"/>
      <c r="I588" s="20"/>
      <c r="J588" s="20"/>
      <c r="K588" s="20"/>
    </row>
    <row r="589" spans="2:11" ht="15">
      <c r="B589" s="30"/>
      <c r="C589" s="20"/>
      <c r="D589" s="23"/>
      <c r="E589" s="20"/>
      <c r="F589" s="23"/>
      <c r="G589" s="20"/>
      <c r="H589" s="20"/>
      <c r="I589" s="20"/>
      <c r="J589" s="20"/>
      <c r="K589" s="20"/>
    </row>
    <row r="590" spans="2:11" ht="15">
      <c r="B590" s="21"/>
      <c r="C590" s="23"/>
      <c r="D590" s="31"/>
      <c r="E590" s="23"/>
      <c r="F590" s="23"/>
      <c r="G590" s="23"/>
      <c r="H590" s="23"/>
      <c r="I590" s="23"/>
      <c r="J590" s="23"/>
      <c r="K590" s="23"/>
    </row>
    <row r="591" spans="2:11" ht="15">
      <c r="B591" s="13"/>
      <c r="C591" s="23"/>
      <c r="D591" s="23"/>
      <c r="E591" s="32"/>
      <c r="F591" s="32"/>
      <c r="G591" s="32"/>
      <c r="H591" s="32"/>
      <c r="I591" s="32"/>
      <c r="J591" s="32"/>
      <c r="K591" s="32"/>
    </row>
    <row r="592" spans="2:11" ht="15">
      <c r="B592" s="13"/>
      <c r="C592" s="23"/>
      <c r="D592" s="20"/>
      <c r="E592" s="20"/>
      <c r="F592" s="20"/>
      <c r="G592" s="20"/>
      <c r="H592" s="20"/>
      <c r="I592" s="20"/>
      <c r="J592" s="20"/>
      <c r="K592" s="20"/>
    </row>
    <row r="593" spans="2:11" ht="15">
      <c r="B593" s="33"/>
      <c r="C593" s="20"/>
      <c r="D593" s="20"/>
      <c r="E593" s="20"/>
      <c r="F593" s="20"/>
      <c r="G593" s="20"/>
      <c r="H593" s="20"/>
      <c r="I593" s="20"/>
      <c r="J593" s="20"/>
      <c r="K593" s="20"/>
    </row>
    <row r="594" spans="2:11" ht="15">
      <c r="B594" s="34"/>
      <c r="C594" s="20"/>
      <c r="D594" s="20"/>
      <c r="E594" s="20"/>
      <c r="F594" s="20"/>
      <c r="G594" s="20"/>
      <c r="H594" s="20"/>
      <c r="I594" s="20"/>
      <c r="J594" s="20"/>
      <c r="K594" s="20"/>
    </row>
    <row r="595" spans="2:11" ht="15">
      <c r="B595" s="35"/>
      <c r="C595" s="20"/>
      <c r="D595" s="20"/>
      <c r="E595" s="20"/>
      <c r="F595" s="20"/>
      <c r="G595" s="20"/>
      <c r="H595" s="20"/>
      <c r="I595" s="20"/>
      <c r="J595" s="20"/>
      <c r="K595" s="20"/>
    </row>
    <row r="596" spans="2:11" ht="15">
      <c r="B596" s="15"/>
      <c r="C596" s="20"/>
      <c r="D596" s="20"/>
      <c r="E596" s="20"/>
      <c r="F596" s="20"/>
      <c r="G596" s="20"/>
      <c r="H596" s="20"/>
      <c r="I596" s="20"/>
      <c r="J596" s="20"/>
      <c r="K596" s="20"/>
    </row>
    <row r="597" spans="2:11" ht="15">
      <c r="B597" s="16"/>
      <c r="C597" s="20"/>
      <c r="D597" s="20"/>
      <c r="E597" s="20"/>
      <c r="F597" s="20"/>
      <c r="G597" s="20"/>
      <c r="H597" s="20"/>
      <c r="I597" s="20"/>
      <c r="J597" s="20"/>
      <c r="K597" s="20"/>
    </row>
    <row r="598" spans="2:11" ht="15">
      <c r="B598" s="13"/>
      <c r="C598" s="20"/>
      <c r="D598" s="20"/>
      <c r="E598" s="20"/>
      <c r="F598" s="20"/>
      <c r="G598" s="20"/>
      <c r="H598" s="20"/>
      <c r="I598" s="20"/>
      <c r="J598" s="20"/>
      <c r="K598" s="20"/>
    </row>
    <row r="599" spans="2:11" ht="15">
      <c r="B599" s="33"/>
      <c r="C599" s="20"/>
      <c r="D599" s="20"/>
      <c r="E599" s="20"/>
      <c r="F599" s="20"/>
      <c r="G599" s="20"/>
      <c r="H599" s="20"/>
      <c r="I599" s="20"/>
      <c r="J599" s="20"/>
      <c r="K599" s="20"/>
    </row>
    <row r="600" spans="2:11" ht="15">
      <c r="B600" s="15"/>
      <c r="C600" s="20"/>
      <c r="D600" s="20"/>
      <c r="E600" s="20"/>
      <c r="F600" s="20"/>
      <c r="G600" s="20"/>
      <c r="H600" s="20"/>
      <c r="I600" s="20"/>
      <c r="J600" s="20"/>
      <c r="K600" s="20"/>
    </row>
    <row r="601" spans="2:11" ht="15">
      <c r="B601" s="16"/>
      <c r="C601" s="20"/>
      <c r="D601" s="20"/>
      <c r="E601" s="20"/>
      <c r="F601" s="20"/>
      <c r="G601" s="20"/>
      <c r="H601" s="20"/>
      <c r="I601" s="20"/>
      <c r="J601" s="20"/>
      <c r="K601" s="20"/>
    </row>
    <row r="602" spans="2:11" ht="15">
      <c r="B602" s="16"/>
      <c r="C602" s="20"/>
      <c r="D602" s="20"/>
      <c r="E602" s="20"/>
      <c r="F602" s="20"/>
      <c r="G602" s="20"/>
      <c r="H602" s="20"/>
      <c r="I602" s="20"/>
      <c r="J602" s="20"/>
      <c r="K602" s="20"/>
    </row>
    <row r="603" spans="2:11" ht="15">
      <c r="B603" s="17"/>
      <c r="C603" s="20"/>
      <c r="D603" s="20"/>
      <c r="E603" s="20"/>
      <c r="F603" s="20"/>
      <c r="G603" s="20"/>
      <c r="H603" s="20"/>
      <c r="I603" s="20"/>
      <c r="J603" s="20"/>
      <c r="K603" s="20"/>
    </row>
    <row r="604" spans="2:11" ht="15">
      <c r="B604" s="17"/>
      <c r="C604" s="20"/>
      <c r="D604" s="20"/>
      <c r="E604" s="20"/>
      <c r="F604" s="20"/>
      <c r="G604" s="20"/>
      <c r="H604" s="20"/>
      <c r="I604" s="20"/>
      <c r="J604" s="20"/>
      <c r="K604" s="20"/>
    </row>
    <row r="605" spans="2:11" ht="15">
      <c r="B605" s="33"/>
      <c r="C605" s="20"/>
      <c r="D605" s="20"/>
      <c r="E605" s="20"/>
      <c r="F605" s="20"/>
      <c r="G605" s="20"/>
      <c r="H605" s="20"/>
      <c r="I605" s="20"/>
      <c r="J605" s="20"/>
      <c r="K605" s="20"/>
    </row>
    <row r="606" spans="2:11" ht="15">
      <c r="B606" s="18"/>
      <c r="C606" s="20"/>
      <c r="D606" s="20"/>
      <c r="E606" s="20"/>
      <c r="F606" s="20"/>
      <c r="G606" s="20"/>
      <c r="H606" s="20"/>
      <c r="I606" s="20"/>
      <c r="J606" s="20"/>
      <c r="K606" s="20"/>
    </row>
    <row r="607" spans="2:11" ht="15">
      <c r="B607" s="18"/>
      <c r="C607" s="20"/>
      <c r="D607" s="20"/>
      <c r="E607" s="20"/>
      <c r="F607" s="20"/>
      <c r="G607" s="20"/>
      <c r="H607" s="20"/>
      <c r="I607" s="20"/>
      <c r="J607" s="20"/>
      <c r="K607" s="20"/>
    </row>
    <row r="608" spans="2:11" ht="15">
      <c r="B608" s="13"/>
      <c r="C608" s="20"/>
      <c r="D608" s="20"/>
      <c r="E608" s="20"/>
      <c r="F608" s="20"/>
      <c r="G608" s="20"/>
      <c r="H608" s="20"/>
      <c r="I608" s="20"/>
      <c r="J608" s="20"/>
      <c r="K608" s="20"/>
    </row>
    <row r="609" spans="2:11" ht="15">
      <c r="B609" s="13"/>
      <c r="C609" s="20"/>
      <c r="D609" s="20"/>
      <c r="E609" s="20"/>
      <c r="F609" s="20"/>
      <c r="G609" s="20"/>
      <c r="H609" s="20"/>
      <c r="I609" s="20"/>
      <c r="J609" s="20"/>
      <c r="K609" s="20"/>
    </row>
    <row r="610" spans="2:11" ht="15">
      <c r="B610" s="13"/>
      <c r="C610" s="20"/>
      <c r="D610" s="20"/>
      <c r="E610" s="20"/>
      <c r="F610" s="20"/>
      <c r="G610" s="20"/>
      <c r="H610" s="20"/>
      <c r="I610" s="20"/>
      <c r="J610" s="20"/>
      <c r="K610" s="20"/>
    </row>
    <row r="611" spans="2:11" ht="15">
      <c r="B611" s="13"/>
      <c r="C611" s="20"/>
      <c r="D611" s="20"/>
      <c r="E611" s="20"/>
      <c r="F611" s="20"/>
      <c r="G611" s="20"/>
      <c r="H611" s="20"/>
      <c r="I611" s="20"/>
      <c r="J611" s="20"/>
      <c r="K611" s="20"/>
    </row>
    <row r="612" spans="2:11" ht="15">
      <c r="B612" s="13"/>
      <c r="C612" s="20"/>
      <c r="D612" s="20"/>
      <c r="E612" s="20"/>
      <c r="F612" s="20"/>
      <c r="G612" s="20"/>
      <c r="H612" s="20"/>
      <c r="I612" s="20"/>
      <c r="J612" s="20"/>
      <c r="K612" s="20"/>
    </row>
    <row r="613" spans="2:11" ht="15">
      <c r="B613" s="13"/>
      <c r="C613" s="20"/>
      <c r="D613" s="20"/>
      <c r="E613" s="20"/>
      <c r="F613" s="20"/>
      <c r="G613" s="20"/>
      <c r="H613" s="20"/>
      <c r="I613" s="20"/>
      <c r="J613" s="20"/>
      <c r="K613" s="20"/>
    </row>
    <row r="614" spans="2:11" ht="15">
      <c r="B614" s="13"/>
      <c r="C614" s="20"/>
      <c r="D614" s="20"/>
      <c r="E614" s="20"/>
      <c r="F614" s="20"/>
      <c r="G614" s="20"/>
      <c r="H614" s="20"/>
      <c r="I614" s="20"/>
      <c r="J614" s="20"/>
      <c r="K614" s="20"/>
    </row>
    <row r="615" spans="2:11" ht="15">
      <c r="B615" s="13"/>
      <c r="C615" s="20"/>
      <c r="D615" s="20"/>
      <c r="E615" s="20"/>
      <c r="F615" s="20"/>
      <c r="G615" s="20"/>
      <c r="H615" s="20"/>
      <c r="I615" s="20"/>
      <c r="J615" s="20"/>
      <c r="K615" s="20"/>
    </row>
    <row r="616" spans="2:11" ht="15">
      <c r="B616" s="13"/>
      <c r="C616" s="20"/>
      <c r="D616" s="20"/>
      <c r="E616" s="20"/>
      <c r="F616" s="20"/>
      <c r="G616" s="20"/>
      <c r="H616" s="20"/>
      <c r="I616" s="20"/>
      <c r="J616" s="20"/>
      <c r="K616" s="20"/>
    </row>
    <row r="617" spans="2:11" ht="15">
      <c r="B617" s="13"/>
      <c r="C617" s="20"/>
      <c r="D617" s="20"/>
      <c r="E617" s="20"/>
      <c r="F617" s="20"/>
      <c r="G617" s="20"/>
      <c r="H617" s="20"/>
      <c r="I617" s="20"/>
      <c r="J617" s="20"/>
      <c r="K617" s="20"/>
    </row>
    <row r="618" spans="2:11" ht="15">
      <c r="B618" s="13"/>
      <c r="C618" s="20"/>
      <c r="D618" s="20"/>
      <c r="E618" s="20"/>
      <c r="F618" s="20"/>
      <c r="G618" s="20"/>
      <c r="H618" s="20"/>
      <c r="I618" s="20"/>
      <c r="J618" s="20"/>
      <c r="K618" s="20"/>
    </row>
    <row r="621" spans="2:11" ht="18.75">
      <c r="B621" s="755"/>
      <c r="C621" s="755"/>
      <c r="D621" s="755"/>
      <c r="E621" s="755"/>
      <c r="F621" s="755"/>
      <c r="G621" s="755"/>
      <c r="H621" s="755"/>
      <c r="I621" s="755"/>
      <c r="J621" s="755"/>
      <c r="K621" s="26"/>
    </row>
    <row r="622" spans="2:11" ht="15">
      <c r="B622" s="27"/>
      <c r="C622" s="20"/>
      <c r="D622" s="20"/>
      <c r="E622" s="20"/>
      <c r="F622" s="20"/>
      <c r="G622" s="20"/>
      <c r="H622" s="20"/>
      <c r="I622" s="20"/>
      <c r="J622" s="20"/>
      <c r="K622" s="20"/>
    </row>
    <row r="623" spans="2:11">
      <c r="B623" s="754"/>
      <c r="C623" s="754"/>
      <c r="D623" s="754"/>
      <c r="E623" s="754"/>
      <c r="F623" s="754"/>
      <c r="G623" s="754"/>
      <c r="H623" s="754"/>
      <c r="I623" s="754"/>
      <c r="J623" s="754"/>
      <c r="K623" s="26"/>
    </row>
    <row r="624" spans="2:11">
      <c r="B624" s="754"/>
      <c r="C624" s="754"/>
      <c r="D624" s="754"/>
      <c r="E624" s="754"/>
      <c r="F624" s="754"/>
      <c r="G624" s="754"/>
      <c r="H624" s="754"/>
      <c r="I624" s="754"/>
      <c r="J624" s="754"/>
      <c r="K624" s="26"/>
    </row>
    <row r="625" spans="2:11" ht="15">
      <c r="B625" s="28"/>
      <c r="C625" s="29"/>
      <c r="D625" s="29"/>
      <c r="E625" s="29"/>
      <c r="F625" s="29"/>
      <c r="G625" s="29"/>
      <c r="H625" s="20"/>
      <c r="I625" s="20"/>
      <c r="J625" s="20"/>
      <c r="K625" s="20"/>
    </row>
    <row r="626" spans="2:11" ht="15">
      <c r="B626" s="30"/>
      <c r="C626" s="20"/>
      <c r="D626" s="23"/>
      <c r="E626" s="20"/>
      <c r="F626" s="23"/>
      <c r="G626" s="20"/>
      <c r="H626" s="20"/>
      <c r="I626" s="20"/>
      <c r="J626" s="20"/>
      <c r="K626" s="20"/>
    </row>
    <row r="627" spans="2:11" ht="15">
      <c r="B627" s="21"/>
      <c r="C627" s="23"/>
      <c r="D627" s="23"/>
      <c r="E627" s="23"/>
      <c r="F627" s="23"/>
      <c r="G627" s="23"/>
      <c r="H627" s="23"/>
      <c r="I627" s="23"/>
      <c r="J627" s="23"/>
      <c r="K627" s="23"/>
    </row>
    <row r="628" spans="2:11" ht="15">
      <c r="B628" s="13"/>
      <c r="C628" s="23"/>
      <c r="D628" s="23"/>
      <c r="E628" s="32"/>
      <c r="F628" s="32"/>
      <c r="G628" s="32"/>
      <c r="H628" s="32"/>
      <c r="I628" s="32"/>
      <c r="J628" s="32"/>
      <c r="K628" s="32"/>
    </row>
    <row r="629" spans="2:11" ht="15">
      <c r="B629" s="13"/>
      <c r="C629" s="23"/>
      <c r="D629" s="20"/>
      <c r="E629" s="20"/>
      <c r="F629" s="20"/>
      <c r="G629" s="20"/>
      <c r="H629" s="20"/>
      <c r="I629" s="20"/>
      <c r="J629" s="20"/>
      <c r="K629" s="20"/>
    </row>
    <row r="630" spans="2:11" ht="15">
      <c r="B630" s="33"/>
      <c r="C630" s="20"/>
      <c r="D630" s="20"/>
      <c r="E630" s="20"/>
      <c r="F630" s="20"/>
      <c r="G630" s="20"/>
      <c r="H630" s="20"/>
      <c r="I630" s="20"/>
      <c r="J630" s="20"/>
      <c r="K630" s="20"/>
    </row>
    <row r="631" spans="2:11" ht="15">
      <c r="B631" s="35"/>
      <c r="C631" s="20"/>
      <c r="D631" s="20"/>
      <c r="E631" s="20"/>
      <c r="F631" s="20"/>
      <c r="G631" s="20"/>
      <c r="H631" s="20"/>
      <c r="I631" s="20"/>
      <c r="J631" s="20"/>
      <c r="K631" s="20"/>
    </row>
    <row r="632" spans="2:11" ht="15">
      <c r="B632" s="35"/>
      <c r="C632" s="20"/>
      <c r="D632" s="20"/>
      <c r="E632" s="20"/>
      <c r="F632" s="20"/>
      <c r="G632" s="20"/>
      <c r="H632" s="20"/>
      <c r="I632" s="20"/>
      <c r="J632" s="20"/>
      <c r="K632" s="20"/>
    </row>
    <row r="633" spans="2:11" ht="15">
      <c r="B633" s="35"/>
      <c r="C633" s="20"/>
      <c r="D633" s="20"/>
      <c r="E633" s="20"/>
      <c r="F633" s="20"/>
      <c r="G633" s="20"/>
      <c r="H633" s="20"/>
      <c r="I633" s="20"/>
      <c r="J633" s="20"/>
      <c r="K633" s="20"/>
    </row>
    <row r="634" spans="2:11" ht="15">
      <c r="B634" s="16"/>
      <c r="C634" s="20"/>
      <c r="D634" s="20"/>
      <c r="E634" s="20"/>
      <c r="F634" s="20"/>
      <c r="G634" s="20"/>
      <c r="H634" s="20"/>
      <c r="I634" s="20"/>
      <c r="J634" s="20"/>
      <c r="K634" s="20"/>
    </row>
    <row r="635" spans="2:11" ht="15">
      <c r="B635" s="13"/>
      <c r="C635" s="20"/>
      <c r="D635" s="20"/>
      <c r="E635" s="20"/>
      <c r="F635" s="20"/>
      <c r="G635" s="20"/>
      <c r="H635" s="20"/>
      <c r="I635" s="20"/>
      <c r="J635" s="20"/>
      <c r="K635" s="20"/>
    </row>
    <row r="636" spans="2:11" ht="15">
      <c r="B636" s="33"/>
      <c r="C636" s="20"/>
      <c r="D636" s="20"/>
      <c r="E636" s="20"/>
      <c r="F636" s="20"/>
      <c r="G636" s="20"/>
      <c r="H636" s="20"/>
      <c r="I636" s="20"/>
      <c r="J636" s="20"/>
      <c r="K636" s="20"/>
    </row>
    <row r="637" spans="2:11" ht="15">
      <c r="B637" s="15"/>
      <c r="C637" s="20"/>
      <c r="D637" s="20"/>
      <c r="E637" s="20"/>
      <c r="F637" s="20"/>
      <c r="G637" s="20"/>
      <c r="H637" s="20"/>
      <c r="I637" s="20"/>
      <c r="J637" s="20"/>
      <c r="K637" s="20"/>
    </row>
    <row r="638" spans="2:11" ht="15">
      <c r="B638" s="35"/>
      <c r="C638" s="20"/>
      <c r="D638" s="20"/>
      <c r="E638" s="20"/>
      <c r="F638" s="20"/>
      <c r="G638" s="20"/>
      <c r="H638" s="20"/>
      <c r="I638" s="20"/>
      <c r="J638" s="20"/>
      <c r="K638" s="20"/>
    </row>
    <row r="639" spans="2:11" ht="15">
      <c r="B639" s="16"/>
      <c r="C639" s="20"/>
      <c r="D639" s="20"/>
      <c r="E639" s="20"/>
      <c r="F639" s="20"/>
      <c r="G639" s="20"/>
      <c r="H639" s="20"/>
      <c r="I639" s="20"/>
      <c r="J639" s="20"/>
      <c r="K639" s="20"/>
    </row>
    <row r="640" spans="2:11" ht="15">
      <c r="B640" s="16"/>
      <c r="C640" s="20"/>
      <c r="D640" s="20"/>
      <c r="E640" s="20"/>
      <c r="F640" s="20"/>
      <c r="G640" s="20"/>
      <c r="H640" s="20"/>
      <c r="I640" s="20"/>
      <c r="J640" s="20"/>
      <c r="K640" s="20"/>
    </row>
    <row r="641" spans="2:11" ht="15">
      <c r="B641" s="17"/>
      <c r="C641" s="20"/>
      <c r="D641" s="20"/>
      <c r="E641" s="20"/>
      <c r="F641" s="20"/>
      <c r="G641" s="20"/>
      <c r="H641" s="20"/>
      <c r="I641" s="20"/>
      <c r="J641" s="20"/>
      <c r="K641" s="20"/>
    </row>
    <row r="642" spans="2:11" ht="15">
      <c r="B642" s="17"/>
      <c r="C642" s="20"/>
      <c r="D642" s="20"/>
      <c r="E642" s="20"/>
      <c r="F642" s="20"/>
      <c r="G642" s="20"/>
      <c r="H642" s="20"/>
      <c r="I642" s="20"/>
      <c r="J642" s="20"/>
      <c r="K642" s="20"/>
    </row>
    <row r="643" spans="2:11" ht="15">
      <c r="B643" s="33"/>
      <c r="C643" s="20"/>
      <c r="D643" s="20"/>
      <c r="E643" s="20"/>
      <c r="F643" s="20"/>
      <c r="G643" s="20"/>
      <c r="H643" s="20"/>
      <c r="I643" s="20"/>
      <c r="J643" s="20"/>
      <c r="K643" s="20"/>
    </row>
    <row r="644" spans="2:11" ht="15">
      <c r="B644" s="18"/>
      <c r="C644" s="20"/>
      <c r="D644" s="20"/>
      <c r="E644" s="20"/>
      <c r="F644" s="20"/>
      <c r="G644" s="20"/>
      <c r="H644" s="20"/>
      <c r="I644" s="20"/>
      <c r="J644" s="20"/>
      <c r="K644" s="20"/>
    </row>
    <row r="645" spans="2:11" ht="15">
      <c r="B645" s="18"/>
      <c r="C645" s="20"/>
      <c r="D645" s="20"/>
      <c r="E645" s="20"/>
      <c r="F645" s="20"/>
      <c r="G645" s="20"/>
      <c r="H645" s="20"/>
      <c r="I645" s="20"/>
      <c r="J645" s="20"/>
      <c r="K645" s="20"/>
    </row>
    <row r="646" spans="2:11" ht="15">
      <c r="B646" s="13"/>
      <c r="C646" s="20"/>
      <c r="D646" s="20"/>
      <c r="E646" s="20"/>
      <c r="F646" s="20"/>
      <c r="G646" s="20"/>
      <c r="H646" s="20"/>
      <c r="I646" s="20"/>
      <c r="J646" s="20"/>
      <c r="K646" s="20"/>
    </row>
    <row r="647" spans="2:11" ht="15">
      <c r="B647" s="13"/>
      <c r="C647" s="20"/>
      <c r="D647" s="20"/>
      <c r="E647" s="20"/>
      <c r="F647" s="20"/>
      <c r="G647" s="20"/>
      <c r="H647" s="20"/>
      <c r="I647" s="20"/>
      <c r="J647" s="20"/>
      <c r="K647" s="20"/>
    </row>
    <row r="648" spans="2:11" ht="15">
      <c r="B648" s="13"/>
      <c r="C648" s="20"/>
      <c r="D648" s="20"/>
      <c r="E648" s="20"/>
      <c r="F648" s="20"/>
      <c r="G648" s="20"/>
      <c r="H648" s="20"/>
      <c r="I648" s="20"/>
      <c r="J648" s="20"/>
      <c r="K648" s="20"/>
    </row>
    <row r="649" spans="2:11" ht="15">
      <c r="B649" s="13"/>
      <c r="C649" s="20"/>
      <c r="D649" s="20"/>
      <c r="E649" s="20"/>
      <c r="F649" s="20"/>
      <c r="G649" s="20"/>
      <c r="H649" s="20"/>
      <c r="I649" s="20"/>
      <c r="J649" s="20"/>
      <c r="K649" s="20"/>
    </row>
    <row r="650" spans="2:11" ht="15">
      <c r="B650" s="13"/>
      <c r="C650" s="20"/>
      <c r="D650" s="20"/>
      <c r="E650" s="20"/>
      <c r="F650" s="20"/>
      <c r="G650" s="20"/>
      <c r="H650" s="20"/>
      <c r="I650" s="20"/>
      <c r="J650" s="20"/>
      <c r="K650" s="20"/>
    </row>
    <row r="651" spans="2:11" ht="15">
      <c r="B651" s="13"/>
      <c r="C651" s="20"/>
      <c r="D651" s="20"/>
      <c r="E651" s="20"/>
      <c r="F651" s="20"/>
      <c r="G651" s="20"/>
      <c r="H651" s="20"/>
      <c r="I651" s="20"/>
      <c r="J651" s="20"/>
      <c r="K651" s="20"/>
    </row>
    <row r="652" spans="2:11" ht="15">
      <c r="B652" s="13"/>
      <c r="C652" s="20"/>
      <c r="D652" s="20"/>
      <c r="E652" s="20"/>
      <c r="F652" s="20"/>
      <c r="G652" s="20"/>
      <c r="H652" s="20"/>
      <c r="I652" s="20"/>
      <c r="J652" s="20"/>
      <c r="K652" s="20"/>
    </row>
    <row r="653" spans="2:11" ht="15">
      <c r="B653" s="13"/>
      <c r="C653" s="20"/>
      <c r="D653" s="20"/>
      <c r="E653" s="20"/>
      <c r="F653" s="20"/>
      <c r="G653" s="20"/>
      <c r="H653" s="20"/>
      <c r="I653" s="20"/>
      <c r="J653" s="20"/>
      <c r="K653" s="20"/>
    </row>
    <row r="654" spans="2:11" ht="15">
      <c r="B654" s="13"/>
      <c r="C654" s="20"/>
      <c r="D654" s="20"/>
      <c r="E654" s="20"/>
      <c r="F654" s="20"/>
      <c r="G654" s="20"/>
      <c r="H654" s="20"/>
      <c r="I654" s="20"/>
      <c r="J654" s="20"/>
      <c r="K654" s="20"/>
    </row>
    <row r="655" spans="2:11" ht="15">
      <c r="B655" s="13"/>
      <c r="C655" s="20"/>
      <c r="D655" s="20"/>
      <c r="E655" s="20"/>
      <c r="F655" s="20"/>
      <c r="G655" s="20"/>
      <c r="H655" s="20"/>
      <c r="I655" s="20"/>
      <c r="J655" s="20"/>
      <c r="K655" s="20"/>
    </row>
    <row r="656" spans="2:11" ht="15">
      <c r="B656" s="13"/>
      <c r="C656" s="20"/>
      <c r="D656" s="20"/>
      <c r="E656" s="20"/>
      <c r="F656" s="20"/>
      <c r="G656" s="20"/>
      <c r="H656" s="20"/>
      <c r="I656" s="20"/>
      <c r="J656" s="20"/>
      <c r="K656" s="20"/>
    </row>
    <row r="657" spans="2:11" ht="15">
      <c r="B657" s="13"/>
      <c r="C657" s="20"/>
      <c r="D657" s="20"/>
      <c r="E657" s="20"/>
      <c r="F657" s="20"/>
      <c r="G657" s="20"/>
      <c r="H657" s="20"/>
      <c r="I657" s="20"/>
      <c r="J657" s="20"/>
      <c r="K657" s="20"/>
    </row>
    <row r="659" spans="2:11" ht="18.75">
      <c r="B659" s="755"/>
      <c r="C659" s="755"/>
      <c r="D659" s="755"/>
      <c r="E659" s="755"/>
      <c r="F659" s="755"/>
      <c r="G659" s="755"/>
      <c r="H659" s="755"/>
      <c r="I659" s="755"/>
      <c r="J659" s="755"/>
      <c r="K659" s="26"/>
    </row>
    <row r="660" spans="2:11" ht="15">
      <c r="B660" s="27"/>
      <c r="C660" s="20"/>
      <c r="D660" s="20"/>
      <c r="E660" s="20"/>
      <c r="F660" s="20"/>
      <c r="G660" s="20"/>
      <c r="H660" s="20"/>
      <c r="I660" s="20"/>
      <c r="J660" s="20"/>
      <c r="K660" s="20"/>
    </row>
    <row r="661" spans="2:11">
      <c r="B661" s="754"/>
      <c r="C661" s="754"/>
      <c r="D661" s="754"/>
      <c r="E661" s="754"/>
      <c r="F661" s="754"/>
      <c r="G661" s="754"/>
      <c r="H661" s="754"/>
      <c r="I661" s="754"/>
      <c r="J661" s="754"/>
      <c r="K661" s="26"/>
    </row>
    <row r="662" spans="2:11" ht="18" customHeight="1">
      <c r="B662" s="754"/>
      <c r="C662" s="754"/>
      <c r="D662" s="754"/>
      <c r="E662" s="754"/>
      <c r="F662" s="754"/>
      <c r="G662" s="754"/>
      <c r="H662" s="754"/>
      <c r="I662" s="754"/>
      <c r="J662" s="754"/>
      <c r="K662" s="26"/>
    </row>
    <row r="663" spans="2:11" ht="15">
      <c r="B663" s="30"/>
      <c r="C663" s="20"/>
      <c r="D663" s="31"/>
      <c r="E663" s="20"/>
      <c r="F663" s="23"/>
      <c r="G663" s="20"/>
      <c r="H663" s="20"/>
      <c r="I663" s="20"/>
      <c r="J663" s="20"/>
      <c r="K663" s="20"/>
    </row>
    <row r="664" spans="2:11" ht="15">
      <c r="B664" s="21"/>
      <c r="C664" s="23"/>
      <c r="D664" s="23"/>
      <c r="E664" s="23"/>
      <c r="F664" s="23"/>
      <c r="G664" s="23"/>
      <c r="H664" s="23"/>
      <c r="I664" s="23"/>
      <c r="J664" s="23"/>
      <c r="K664" s="23"/>
    </row>
    <row r="665" spans="2:11" ht="15">
      <c r="B665" s="13"/>
      <c r="C665" s="23"/>
      <c r="D665" s="23"/>
      <c r="E665" s="32"/>
      <c r="F665" s="32"/>
      <c r="G665" s="32"/>
      <c r="H665" s="32"/>
      <c r="I665" s="32"/>
      <c r="J665" s="32"/>
      <c r="K665" s="32"/>
    </row>
    <row r="666" spans="2:11" ht="15">
      <c r="B666" s="13"/>
      <c r="C666" s="23"/>
      <c r="D666" s="20"/>
      <c r="E666" s="20"/>
      <c r="F666" s="20"/>
      <c r="G666" s="20"/>
      <c r="H666" s="20"/>
      <c r="I666" s="20"/>
      <c r="J666" s="20"/>
      <c r="K666" s="20"/>
    </row>
    <row r="667" spans="2:11" ht="15">
      <c r="B667" s="33"/>
      <c r="C667" s="20"/>
      <c r="D667" s="20"/>
      <c r="E667" s="20"/>
      <c r="F667" s="20"/>
      <c r="G667" s="20"/>
      <c r="H667" s="20"/>
      <c r="I667" s="20"/>
      <c r="J667" s="20"/>
      <c r="K667" s="20"/>
    </row>
    <row r="668" spans="2:11" ht="15">
      <c r="B668" s="34"/>
      <c r="C668" s="20"/>
      <c r="D668" s="20"/>
      <c r="E668" s="20"/>
      <c r="F668" s="20"/>
      <c r="G668" s="20"/>
      <c r="H668" s="20"/>
      <c r="I668" s="20"/>
      <c r="J668" s="20"/>
      <c r="K668" s="20"/>
    </row>
    <row r="669" spans="2:11" ht="15">
      <c r="B669" s="35"/>
      <c r="C669" s="20"/>
      <c r="D669" s="20"/>
      <c r="E669" s="20"/>
      <c r="F669" s="20"/>
      <c r="G669" s="20"/>
      <c r="H669" s="20"/>
      <c r="I669" s="20"/>
      <c r="J669" s="20"/>
      <c r="K669" s="20"/>
    </row>
    <row r="670" spans="2:11" ht="15">
      <c r="B670" s="16"/>
      <c r="C670" s="20"/>
      <c r="D670" s="20"/>
      <c r="E670" s="20"/>
      <c r="F670" s="20"/>
      <c r="G670" s="20"/>
      <c r="H670" s="20"/>
      <c r="I670" s="20"/>
      <c r="J670" s="20"/>
      <c r="K670" s="20"/>
    </row>
    <row r="671" spans="2:11" ht="15">
      <c r="B671" s="13"/>
      <c r="C671" s="20"/>
      <c r="D671" s="20"/>
      <c r="E671" s="20"/>
      <c r="F671" s="20"/>
      <c r="G671" s="20"/>
      <c r="H671" s="20"/>
      <c r="I671" s="20"/>
      <c r="J671" s="20"/>
      <c r="K671" s="20"/>
    </row>
    <row r="672" spans="2:11" ht="15">
      <c r="B672" s="33"/>
      <c r="C672" s="20"/>
      <c r="D672" s="20"/>
      <c r="E672" s="20"/>
      <c r="F672" s="20"/>
      <c r="G672" s="20"/>
      <c r="H672" s="20"/>
      <c r="I672" s="20"/>
      <c r="J672" s="20"/>
      <c r="K672" s="20"/>
    </row>
    <row r="673" spans="2:11" ht="15">
      <c r="B673" s="15"/>
      <c r="C673" s="20"/>
      <c r="D673" s="20"/>
      <c r="E673" s="20"/>
      <c r="F673" s="20"/>
      <c r="G673" s="20"/>
      <c r="H673" s="20"/>
      <c r="I673" s="20"/>
      <c r="J673" s="20"/>
      <c r="K673" s="20"/>
    </row>
    <row r="674" spans="2:11" ht="15">
      <c r="B674" s="15"/>
      <c r="C674" s="20"/>
      <c r="D674" s="20"/>
      <c r="E674" s="20"/>
      <c r="F674" s="20"/>
      <c r="G674" s="20"/>
      <c r="H674" s="20"/>
      <c r="I674" s="20"/>
      <c r="J674" s="20"/>
      <c r="K674" s="20"/>
    </row>
    <row r="675" spans="2:11" ht="15">
      <c r="B675" s="15"/>
      <c r="C675" s="20"/>
      <c r="D675" s="20"/>
      <c r="E675" s="20"/>
      <c r="F675" s="20"/>
      <c r="G675" s="20"/>
      <c r="H675" s="20"/>
      <c r="I675" s="20"/>
      <c r="J675" s="20"/>
      <c r="K675" s="20"/>
    </row>
    <row r="676" spans="2:11" ht="15">
      <c r="B676" s="15"/>
      <c r="C676" s="20"/>
      <c r="D676" s="20"/>
      <c r="E676" s="20"/>
      <c r="F676" s="20"/>
      <c r="G676" s="20"/>
      <c r="H676" s="20"/>
      <c r="I676" s="20"/>
      <c r="J676" s="20"/>
      <c r="K676" s="20"/>
    </row>
    <row r="677" spans="2:11" ht="15">
      <c r="B677" s="16"/>
      <c r="C677" s="20"/>
      <c r="D677" s="20"/>
      <c r="E677" s="20"/>
      <c r="F677" s="20"/>
      <c r="G677" s="20"/>
      <c r="H677" s="20"/>
      <c r="I677" s="20"/>
      <c r="J677" s="20"/>
      <c r="K677" s="20"/>
    </row>
    <row r="678" spans="2:11" ht="15">
      <c r="B678" s="16"/>
      <c r="C678" s="20"/>
      <c r="D678" s="20"/>
      <c r="E678" s="20"/>
      <c r="F678" s="20"/>
      <c r="G678" s="20"/>
      <c r="H678" s="20"/>
      <c r="I678" s="20"/>
      <c r="J678" s="20"/>
      <c r="K678" s="20"/>
    </row>
    <row r="679" spans="2:11" ht="15">
      <c r="B679" s="17"/>
      <c r="C679" s="20"/>
      <c r="D679" s="20"/>
      <c r="E679" s="20"/>
      <c r="F679" s="20"/>
      <c r="G679" s="20"/>
      <c r="H679" s="20"/>
      <c r="I679" s="20"/>
      <c r="J679" s="20"/>
      <c r="K679" s="20"/>
    </row>
    <row r="680" spans="2:11" ht="15">
      <c r="B680" s="17"/>
      <c r="C680" s="20"/>
      <c r="D680" s="20"/>
      <c r="E680" s="20"/>
      <c r="F680" s="20"/>
      <c r="G680" s="20"/>
      <c r="H680" s="20"/>
      <c r="I680" s="20"/>
      <c r="J680" s="20"/>
      <c r="K680" s="20"/>
    </row>
    <row r="681" spans="2:11" ht="15">
      <c r="B681" s="33"/>
      <c r="C681" s="20"/>
      <c r="D681" s="20"/>
      <c r="E681" s="20"/>
      <c r="F681" s="20"/>
      <c r="G681" s="20"/>
      <c r="H681" s="20"/>
      <c r="I681" s="20"/>
      <c r="J681" s="20"/>
      <c r="K681" s="20"/>
    </row>
    <row r="682" spans="2:11" ht="15">
      <c r="B682" s="18"/>
      <c r="C682" s="20"/>
      <c r="D682" s="20"/>
      <c r="E682" s="20"/>
      <c r="F682" s="20"/>
      <c r="G682" s="20"/>
      <c r="H682" s="20"/>
      <c r="I682" s="20"/>
      <c r="J682" s="20"/>
      <c r="K682" s="20"/>
    </row>
    <row r="683" spans="2:11" ht="15">
      <c r="B683" s="18"/>
      <c r="C683" s="20"/>
      <c r="D683" s="20"/>
      <c r="E683" s="20"/>
      <c r="F683" s="20"/>
      <c r="G683" s="20"/>
      <c r="H683" s="20"/>
      <c r="I683" s="20"/>
      <c r="J683" s="20"/>
      <c r="K683" s="20"/>
    </row>
    <row r="684" spans="2:11" ht="15">
      <c r="B684" s="13"/>
      <c r="C684" s="20"/>
      <c r="D684" s="20"/>
      <c r="E684" s="20"/>
      <c r="F684" s="20"/>
      <c r="G684" s="20"/>
      <c r="H684" s="20"/>
      <c r="I684" s="20"/>
      <c r="J684" s="20"/>
      <c r="K684" s="20"/>
    </row>
    <row r="685" spans="2:11" ht="15">
      <c r="B685" s="13"/>
      <c r="C685" s="20"/>
      <c r="D685" s="20"/>
      <c r="E685" s="20"/>
      <c r="F685" s="20"/>
      <c r="G685" s="20"/>
      <c r="H685" s="20"/>
      <c r="I685" s="20"/>
      <c r="J685" s="20"/>
      <c r="K685" s="20"/>
    </row>
    <row r="686" spans="2:11" ht="15">
      <c r="B686" s="13"/>
      <c r="C686" s="20"/>
      <c r="D686" s="20"/>
      <c r="E686" s="20"/>
      <c r="F686" s="20"/>
      <c r="G686" s="20"/>
      <c r="H686" s="20"/>
      <c r="I686" s="20"/>
      <c r="J686" s="20"/>
      <c r="K686" s="20"/>
    </row>
    <row r="687" spans="2:11" ht="15">
      <c r="B687" s="13"/>
      <c r="C687" s="20"/>
      <c r="D687" s="20"/>
      <c r="E687" s="20"/>
      <c r="F687" s="20"/>
      <c r="G687" s="20"/>
      <c r="H687" s="20"/>
      <c r="I687" s="20"/>
      <c r="J687" s="20"/>
      <c r="K687" s="20"/>
    </row>
    <row r="688" spans="2:11" ht="15">
      <c r="B688" s="13"/>
      <c r="C688" s="20"/>
      <c r="D688" s="20"/>
      <c r="E688" s="20"/>
      <c r="F688" s="20"/>
      <c r="G688" s="20"/>
      <c r="H688" s="20"/>
      <c r="I688" s="20"/>
      <c r="J688" s="20"/>
      <c r="K688" s="20"/>
    </row>
    <row r="689" spans="2:11" ht="15">
      <c r="B689" s="13"/>
      <c r="C689" s="20"/>
      <c r="D689" s="20"/>
      <c r="E689" s="20"/>
      <c r="F689" s="20"/>
      <c r="G689" s="20"/>
      <c r="H689" s="20"/>
      <c r="I689" s="20"/>
      <c r="J689" s="20"/>
      <c r="K689" s="20"/>
    </row>
    <row r="690" spans="2:11" ht="15">
      <c r="B690" s="13"/>
      <c r="C690" s="20"/>
      <c r="D690" s="20"/>
      <c r="E690" s="20"/>
      <c r="F690" s="20"/>
      <c r="G690" s="20"/>
      <c r="H690" s="20"/>
      <c r="I690" s="20"/>
      <c r="J690" s="20"/>
      <c r="K690" s="20"/>
    </row>
    <row r="691" spans="2:11" ht="15">
      <c r="B691" s="13"/>
      <c r="C691" s="20"/>
      <c r="D691" s="20"/>
      <c r="E691" s="20"/>
      <c r="F691" s="20"/>
      <c r="G691" s="20"/>
      <c r="H691" s="20"/>
      <c r="I691" s="20"/>
      <c r="J691" s="20"/>
      <c r="K691" s="20"/>
    </row>
    <row r="692" spans="2:11" ht="15">
      <c r="B692" s="13"/>
      <c r="C692" s="20"/>
      <c r="D692" s="20"/>
      <c r="E692" s="20"/>
      <c r="F692" s="20"/>
      <c r="G692" s="20"/>
      <c r="H692" s="20"/>
      <c r="I692" s="20"/>
      <c r="J692" s="20"/>
      <c r="K692" s="20"/>
    </row>
    <row r="693" spans="2:11" ht="15">
      <c r="B693" s="13"/>
      <c r="C693" s="20"/>
      <c r="D693" s="20"/>
      <c r="E693" s="20"/>
      <c r="F693" s="20"/>
      <c r="G693" s="20"/>
      <c r="H693" s="20"/>
      <c r="I693" s="20"/>
      <c r="J693" s="20"/>
      <c r="K693" s="20"/>
    </row>
    <row r="694" spans="2:11" ht="15">
      <c r="B694" s="13"/>
      <c r="C694" s="20"/>
      <c r="D694" s="20"/>
      <c r="E694" s="20"/>
      <c r="F694" s="20"/>
      <c r="G694" s="20"/>
      <c r="H694" s="20"/>
      <c r="I694" s="20"/>
      <c r="J694" s="20"/>
      <c r="K694" s="20"/>
    </row>
    <row r="696" spans="2:11" ht="18.75">
      <c r="B696" s="755"/>
      <c r="C696" s="755"/>
      <c r="D696" s="755"/>
      <c r="E696" s="755"/>
      <c r="F696" s="755"/>
      <c r="G696" s="755"/>
      <c r="H696" s="755"/>
      <c r="I696" s="755"/>
      <c r="J696" s="755"/>
      <c r="K696" s="26"/>
    </row>
    <row r="697" spans="2:11" ht="15">
      <c r="B697" s="27"/>
      <c r="C697" s="20"/>
      <c r="D697" s="20"/>
      <c r="E697" s="20"/>
      <c r="F697" s="20"/>
      <c r="G697" s="20"/>
      <c r="H697" s="20"/>
      <c r="I697" s="20"/>
      <c r="J697" s="20"/>
      <c r="K697" s="20"/>
    </row>
    <row r="698" spans="2:11">
      <c r="B698" s="754"/>
      <c r="C698" s="754"/>
      <c r="D698" s="754"/>
      <c r="E698" s="754"/>
      <c r="F698" s="754"/>
      <c r="G698" s="754"/>
      <c r="H698" s="754"/>
      <c r="I698" s="754"/>
      <c r="J698" s="754"/>
      <c r="K698" s="26"/>
    </row>
    <row r="699" spans="2:11" ht="18.75" customHeight="1">
      <c r="B699" s="754"/>
      <c r="C699" s="754"/>
      <c r="D699" s="754"/>
      <c r="E699" s="754"/>
      <c r="F699" s="754"/>
      <c r="G699" s="754"/>
      <c r="H699" s="754"/>
      <c r="I699" s="754"/>
      <c r="J699" s="754"/>
      <c r="K699" s="26"/>
    </row>
    <row r="700" spans="2:11" ht="15">
      <c r="B700" s="28"/>
      <c r="C700" s="29"/>
      <c r="D700" s="29"/>
      <c r="E700" s="29"/>
      <c r="F700" s="29"/>
      <c r="G700" s="29"/>
      <c r="H700" s="29"/>
      <c r="I700" s="20"/>
      <c r="J700" s="20"/>
      <c r="K700" s="20"/>
    </row>
    <row r="701" spans="2:11" ht="15">
      <c r="B701" s="30"/>
      <c r="C701" s="20"/>
      <c r="D701" s="31"/>
      <c r="E701" s="31"/>
      <c r="F701" s="23"/>
      <c r="G701" s="20"/>
      <c r="H701" s="20"/>
      <c r="I701" s="20"/>
      <c r="J701" s="20"/>
      <c r="K701" s="20"/>
    </row>
    <row r="702" spans="2:11" ht="15">
      <c r="B702" s="21"/>
      <c r="C702" s="23"/>
      <c r="D702" s="23"/>
      <c r="E702" s="23"/>
      <c r="F702" s="23"/>
      <c r="G702" s="23"/>
      <c r="H702" s="23"/>
      <c r="I702" s="23"/>
      <c r="J702" s="23"/>
      <c r="K702" s="23"/>
    </row>
    <row r="703" spans="2:11" ht="15">
      <c r="B703" s="13"/>
      <c r="C703" s="23"/>
      <c r="D703" s="23"/>
      <c r="E703" s="32"/>
      <c r="F703" s="32"/>
      <c r="G703" s="32"/>
      <c r="H703" s="32"/>
      <c r="I703" s="32"/>
      <c r="J703" s="32"/>
      <c r="K703" s="32"/>
    </row>
    <row r="704" spans="2:11" ht="15">
      <c r="B704" s="13"/>
      <c r="C704" s="23"/>
      <c r="D704" s="20"/>
      <c r="E704" s="20"/>
      <c r="F704" s="20"/>
      <c r="G704" s="20"/>
      <c r="H704" s="20"/>
      <c r="I704" s="20"/>
      <c r="J704" s="20"/>
      <c r="K704" s="20"/>
    </row>
    <row r="705" spans="2:11" ht="15">
      <c r="B705" s="33"/>
      <c r="C705" s="20"/>
      <c r="D705" s="20"/>
      <c r="E705" s="20"/>
      <c r="F705" s="20"/>
      <c r="G705" s="20"/>
      <c r="H705" s="20"/>
      <c r="I705" s="20"/>
      <c r="J705" s="20"/>
      <c r="K705" s="20"/>
    </row>
    <row r="706" spans="2:11" ht="15">
      <c r="B706" s="34"/>
      <c r="C706" s="20"/>
      <c r="D706" s="20"/>
      <c r="E706" s="20"/>
      <c r="F706" s="20"/>
      <c r="G706" s="20"/>
      <c r="H706" s="20"/>
      <c r="I706" s="20"/>
      <c r="J706" s="20"/>
      <c r="K706" s="20"/>
    </row>
    <row r="707" spans="2:11" ht="15">
      <c r="B707" s="35"/>
      <c r="C707" s="20"/>
      <c r="D707" s="20"/>
      <c r="E707" s="20"/>
      <c r="F707" s="20"/>
      <c r="G707" s="20"/>
      <c r="H707" s="20"/>
      <c r="I707" s="20"/>
      <c r="J707" s="20"/>
      <c r="K707" s="20"/>
    </row>
    <row r="708" spans="2:11" ht="15">
      <c r="B708" s="16"/>
      <c r="C708" s="20"/>
      <c r="D708" s="20"/>
      <c r="E708" s="20"/>
      <c r="F708" s="20"/>
      <c r="G708" s="20"/>
      <c r="H708" s="20"/>
      <c r="I708" s="20"/>
      <c r="J708" s="20"/>
      <c r="K708" s="20"/>
    </row>
    <row r="709" spans="2:11" ht="15">
      <c r="B709" s="13"/>
      <c r="C709" s="20"/>
      <c r="D709" s="20"/>
      <c r="E709" s="20"/>
      <c r="F709" s="20"/>
      <c r="G709" s="20"/>
      <c r="H709" s="20"/>
      <c r="I709" s="20"/>
      <c r="J709" s="20"/>
      <c r="K709" s="20"/>
    </row>
    <row r="710" spans="2:11" ht="15">
      <c r="B710" s="33"/>
      <c r="C710" s="20"/>
      <c r="D710" s="20"/>
      <c r="E710" s="20"/>
      <c r="F710" s="20"/>
      <c r="G710" s="20"/>
      <c r="H710" s="20"/>
      <c r="I710" s="20"/>
      <c r="J710" s="20"/>
      <c r="K710" s="20"/>
    </row>
    <row r="711" spans="2:11" ht="15">
      <c r="B711" s="15"/>
      <c r="C711" s="20"/>
      <c r="D711" s="20"/>
      <c r="E711" s="20"/>
      <c r="F711" s="20"/>
      <c r="G711" s="20"/>
      <c r="H711" s="20"/>
      <c r="I711" s="20"/>
      <c r="J711" s="20"/>
      <c r="K711" s="20"/>
    </row>
    <row r="712" spans="2:11" ht="15">
      <c r="B712" s="15"/>
      <c r="C712" s="20"/>
      <c r="D712" s="20"/>
      <c r="E712" s="20"/>
      <c r="F712" s="20"/>
      <c r="G712" s="20"/>
      <c r="H712" s="20"/>
      <c r="I712" s="20"/>
      <c r="J712" s="20"/>
      <c r="K712" s="20"/>
    </row>
    <row r="713" spans="2:11" ht="15">
      <c r="B713" s="16"/>
      <c r="C713" s="20"/>
      <c r="D713" s="20"/>
      <c r="E713" s="20"/>
      <c r="F713" s="20"/>
      <c r="G713" s="20"/>
      <c r="H713" s="20"/>
      <c r="I713" s="20"/>
      <c r="J713" s="20"/>
      <c r="K713" s="20"/>
    </row>
    <row r="714" spans="2:11" ht="15">
      <c r="B714" s="16"/>
      <c r="C714" s="20"/>
      <c r="D714" s="20"/>
      <c r="E714" s="20"/>
      <c r="F714" s="20"/>
      <c r="G714" s="20"/>
      <c r="H714" s="20"/>
      <c r="I714" s="20"/>
      <c r="J714" s="20"/>
      <c r="K714" s="20"/>
    </row>
    <row r="715" spans="2:11" ht="15">
      <c r="B715" s="17"/>
      <c r="C715" s="20"/>
      <c r="D715" s="20"/>
      <c r="E715" s="20"/>
      <c r="F715" s="20"/>
      <c r="G715" s="20"/>
      <c r="H715" s="20"/>
      <c r="I715" s="20"/>
      <c r="J715" s="20"/>
      <c r="K715" s="20"/>
    </row>
    <row r="716" spans="2:11" ht="15">
      <c r="B716" s="17"/>
      <c r="C716" s="20"/>
      <c r="D716" s="20"/>
      <c r="E716" s="20"/>
      <c r="F716" s="20"/>
      <c r="G716" s="20"/>
      <c r="H716" s="20"/>
      <c r="I716" s="20"/>
      <c r="J716" s="20"/>
      <c r="K716" s="20"/>
    </row>
    <row r="717" spans="2:11" ht="15">
      <c r="B717" s="33"/>
      <c r="C717" s="20"/>
      <c r="D717" s="20"/>
      <c r="E717" s="20"/>
      <c r="F717" s="20"/>
      <c r="G717" s="20"/>
      <c r="H717" s="20"/>
      <c r="I717" s="20"/>
      <c r="J717" s="20"/>
      <c r="K717" s="20"/>
    </row>
    <row r="718" spans="2:11" ht="15">
      <c r="B718" s="18"/>
      <c r="C718" s="20"/>
      <c r="D718" s="20"/>
      <c r="E718" s="20"/>
      <c r="F718" s="20"/>
      <c r="G718" s="20"/>
      <c r="H718" s="20"/>
      <c r="I718" s="20"/>
      <c r="J718" s="20"/>
      <c r="K718" s="20"/>
    </row>
    <row r="719" spans="2:11" ht="15">
      <c r="B719" s="18"/>
      <c r="C719" s="20"/>
      <c r="D719" s="20"/>
      <c r="E719" s="20"/>
      <c r="F719" s="20"/>
      <c r="G719" s="20"/>
      <c r="H719" s="20"/>
      <c r="I719" s="20"/>
      <c r="J719" s="20"/>
      <c r="K719" s="20"/>
    </row>
    <row r="720" spans="2:11" ht="15">
      <c r="B720" s="13"/>
      <c r="C720" s="20"/>
      <c r="D720" s="20"/>
      <c r="E720" s="20"/>
      <c r="F720" s="20"/>
      <c r="G720" s="20"/>
      <c r="H720" s="20"/>
      <c r="I720" s="20"/>
      <c r="J720" s="20"/>
      <c r="K720" s="20"/>
    </row>
    <row r="721" spans="2:11" ht="15">
      <c r="B721" s="13"/>
      <c r="C721" s="20"/>
      <c r="D721" s="20"/>
      <c r="E721" s="20"/>
      <c r="F721" s="20"/>
      <c r="G721" s="20"/>
      <c r="H721" s="20"/>
      <c r="I721" s="20"/>
      <c r="J721" s="20"/>
      <c r="K721" s="20"/>
    </row>
    <row r="722" spans="2:11" ht="15">
      <c r="B722" s="13"/>
      <c r="C722" s="20"/>
      <c r="D722" s="20"/>
      <c r="E722" s="20"/>
      <c r="F722" s="20"/>
      <c r="G722" s="20"/>
      <c r="H722" s="20"/>
      <c r="I722" s="20"/>
      <c r="J722" s="20"/>
      <c r="K722" s="20"/>
    </row>
    <row r="723" spans="2:11" ht="15">
      <c r="B723" s="13"/>
      <c r="C723" s="20"/>
      <c r="D723" s="20"/>
      <c r="E723" s="20"/>
      <c r="F723" s="20"/>
      <c r="G723" s="20"/>
      <c r="H723" s="20"/>
      <c r="I723" s="20"/>
      <c r="J723" s="20"/>
      <c r="K723" s="20"/>
    </row>
    <row r="724" spans="2:11" ht="15">
      <c r="B724" s="13"/>
      <c r="C724" s="20"/>
      <c r="D724" s="20"/>
      <c r="E724" s="20"/>
      <c r="F724" s="20"/>
      <c r="G724" s="20"/>
      <c r="H724" s="20"/>
      <c r="I724" s="20"/>
      <c r="J724" s="20"/>
      <c r="K724" s="20"/>
    </row>
    <row r="725" spans="2:11" ht="15">
      <c r="B725" s="13"/>
      <c r="C725" s="20"/>
      <c r="D725" s="20"/>
      <c r="E725" s="20"/>
      <c r="F725" s="20"/>
      <c r="G725" s="20"/>
      <c r="H725" s="20"/>
      <c r="I725" s="20"/>
      <c r="J725" s="20"/>
      <c r="K725" s="20"/>
    </row>
    <row r="726" spans="2:11" ht="15">
      <c r="B726" s="13"/>
      <c r="C726" s="20"/>
      <c r="D726" s="20"/>
      <c r="E726" s="20"/>
      <c r="F726" s="20"/>
      <c r="G726" s="20"/>
      <c r="H726" s="20"/>
      <c r="I726" s="20"/>
      <c r="J726" s="20"/>
      <c r="K726" s="20"/>
    </row>
    <row r="727" spans="2:11" ht="15">
      <c r="B727" s="13"/>
      <c r="C727" s="20"/>
      <c r="D727" s="20"/>
      <c r="E727" s="20"/>
      <c r="F727" s="20"/>
      <c r="G727" s="20"/>
      <c r="H727" s="20"/>
      <c r="I727" s="20"/>
      <c r="J727" s="20"/>
      <c r="K727" s="20"/>
    </row>
    <row r="728" spans="2:11" ht="15">
      <c r="B728" s="13"/>
      <c r="C728" s="20"/>
      <c r="D728" s="20"/>
      <c r="E728" s="20"/>
      <c r="F728" s="20"/>
      <c r="G728" s="20"/>
      <c r="H728" s="20"/>
      <c r="I728" s="20"/>
      <c r="J728" s="20"/>
      <c r="K728" s="20"/>
    </row>
    <row r="729" spans="2:11" ht="15">
      <c r="B729" s="13"/>
      <c r="C729" s="20"/>
      <c r="D729" s="20"/>
      <c r="E729" s="20"/>
      <c r="F729" s="20"/>
      <c r="G729" s="20"/>
      <c r="H729" s="20"/>
      <c r="I729" s="20"/>
      <c r="J729" s="20"/>
      <c r="K729" s="20"/>
    </row>
    <row r="730" spans="2:11" ht="15">
      <c r="B730" s="13"/>
      <c r="C730" s="20"/>
      <c r="D730" s="20"/>
      <c r="E730" s="20"/>
      <c r="F730" s="20"/>
      <c r="G730" s="20"/>
      <c r="H730" s="20"/>
      <c r="I730" s="20"/>
      <c r="J730" s="20"/>
      <c r="K730" s="20"/>
    </row>
    <row r="731" spans="2:11" ht="15">
      <c r="B731" s="13"/>
      <c r="C731" s="20"/>
      <c r="D731" s="20"/>
      <c r="E731" s="20"/>
      <c r="F731" s="20"/>
      <c r="G731" s="20"/>
      <c r="H731" s="20"/>
      <c r="I731" s="20"/>
      <c r="J731" s="20"/>
      <c r="K731" s="20"/>
    </row>
    <row r="732" spans="2:11" ht="15">
      <c r="B732" s="13"/>
      <c r="C732" s="20"/>
      <c r="D732" s="20"/>
      <c r="E732" s="20"/>
      <c r="F732" s="20"/>
      <c r="G732" s="20"/>
      <c r="H732" s="20"/>
      <c r="I732" s="20"/>
      <c r="J732" s="20"/>
      <c r="K732" s="20"/>
    </row>
    <row r="733" spans="2:11" ht="18.75">
      <c r="B733" s="755"/>
      <c r="C733" s="755"/>
      <c r="D733" s="755"/>
      <c r="E733" s="755"/>
      <c r="F733" s="755"/>
      <c r="G733" s="755"/>
      <c r="H733" s="755"/>
      <c r="I733" s="755"/>
      <c r="J733" s="755"/>
      <c r="K733" s="26"/>
    </row>
    <row r="734" spans="2:11" ht="15">
      <c r="B734" s="27"/>
      <c r="C734" s="20"/>
      <c r="D734" s="20"/>
      <c r="E734" s="20"/>
      <c r="F734" s="20"/>
      <c r="G734" s="20"/>
      <c r="H734" s="20"/>
      <c r="I734" s="20"/>
      <c r="J734" s="20"/>
      <c r="K734" s="20"/>
    </row>
    <row r="735" spans="2:11" ht="15">
      <c r="B735" s="754"/>
      <c r="C735" s="754"/>
      <c r="D735" s="754"/>
      <c r="E735" s="754"/>
      <c r="F735" s="754"/>
      <c r="G735" s="754"/>
      <c r="H735" s="754"/>
      <c r="I735" s="754"/>
      <c r="J735" s="754"/>
      <c r="K735" s="26"/>
    </row>
    <row r="736" spans="2:11" ht="15">
      <c r="B736" s="28"/>
      <c r="C736" s="29"/>
      <c r="D736" s="29"/>
      <c r="E736" s="29"/>
      <c r="F736" s="29"/>
      <c r="G736" s="29"/>
      <c r="H736" s="29"/>
      <c r="I736" s="20"/>
      <c r="J736" s="20"/>
      <c r="K736" s="20"/>
    </row>
    <row r="737" spans="2:11" ht="15">
      <c r="B737" s="30"/>
      <c r="C737" s="20"/>
      <c r="D737" s="23"/>
      <c r="E737" s="20"/>
      <c r="F737" s="23"/>
      <c r="G737" s="20"/>
      <c r="H737" s="20"/>
      <c r="I737" s="20"/>
      <c r="J737" s="20"/>
      <c r="K737" s="20"/>
    </row>
    <row r="738" spans="2:11" ht="15">
      <c r="B738" s="21"/>
      <c r="C738" s="23"/>
      <c r="D738" s="23"/>
      <c r="E738" s="23"/>
      <c r="F738" s="23"/>
      <c r="G738" s="23"/>
      <c r="H738" s="23"/>
      <c r="I738" s="23"/>
      <c r="J738" s="23"/>
      <c r="K738" s="23"/>
    </row>
    <row r="739" spans="2:11" ht="15">
      <c r="B739" s="13"/>
      <c r="C739" s="23"/>
      <c r="D739" s="23"/>
      <c r="E739" s="32"/>
      <c r="F739" s="32"/>
      <c r="G739" s="32"/>
      <c r="H739" s="32"/>
      <c r="I739" s="32"/>
      <c r="J739" s="32"/>
      <c r="K739" s="32"/>
    </row>
    <row r="740" spans="2:11" ht="15">
      <c r="B740" s="13"/>
      <c r="C740" s="23"/>
      <c r="D740" s="20"/>
      <c r="E740" s="20"/>
      <c r="F740" s="20"/>
      <c r="G740" s="20"/>
      <c r="H740" s="20"/>
      <c r="I740" s="20"/>
      <c r="J740" s="20"/>
      <c r="K740" s="20"/>
    </row>
    <row r="741" spans="2:11" ht="15">
      <c r="B741" s="33"/>
      <c r="C741" s="20"/>
      <c r="D741" s="20"/>
      <c r="E741" s="20"/>
      <c r="F741" s="20"/>
      <c r="G741" s="20"/>
      <c r="H741" s="20"/>
      <c r="I741" s="20"/>
      <c r="J741" s="20"/>
      <c r="K741" s="20"/>
    </row>
    <row r="742" spans="2:11" ht="15">
      <c r="B742" s="34"/>
      <c r="C742" s="20"/>
      <c r="D742" s="20"/>
      <c r="E742" s="20"/>
      <c r="F742" s="20"/>
      <c r="G742" s="20"/>
      <c r="H742" s="20"/>
      <c r="I742" s="20"/>
      <c r="J742" s="20"/>
      <c r="K742" s="20"/>
    </row>
    <row r="743" spans="2:11" ht="15">
      <c r="B743" s="35"/>
      <c r="C743" s="20"/>
      <c r="D743" s="20"/>
      <c r="E743" s="20"/>
      <c r="F743" s="20"/>
      <c r="G743" s="20"/>
      <c r="H743" s="20"/>
      <c r="I743" s="20"/>
      <c r="J743" s="20"/>
      <c r="K743" s="20"/>
    </row>
    <row r="744" spans="2:11" ht="15">
      <c r="B744" s="16"/>
      <c r="C744" s="20"/>
      <c r="D744" s="20"/>
      <c r="E744" s="20"/>
      <c r="F744" s="20"/>
      <c r="G744" s="20"/>
      <c r="H744" s="20"/>
      <c r="I744" s="20"/>
      <c r="J744" s="20"/>
      <c r="K744" s="20"/>
    </row>
    <row r="745" spans="2:11" ht="15">
      <c r="B745" s="13"/>
      <c r="C745" s="20"/>
      <c r="D745" s="20"/>
      <c r="E745" s="20"/>
      <c r="F745" s="20"/>
      <c r="G745" s="20"/>
      <c r="H745" s="20"/>
      <c r="I745" s="20"/>
      <c r="J745" s="20"/>
      <c r="K745" s="20"/>
    </row>
    <row r="746" spans="2:11" ht="15">
      <c r="B746" s="33"/>
      <c r="C746" s="20"/>
      <c r="D746" s="20"/>
      <c r="E746" s="20"/>
      <c r="F746" s="20"/>
      <c r="G746" s="20"/>
      <c r="H746" s="20"/>
      <c r="I746" s="20"/>
      <c r="J746" s="20"/>
      <c r="K746" s="20"/>
    </row>
    <row r="747" spans="2:11" ht="15">
      <c r="B747" s="15"/>
      <c r="C747" s="20"/>
      <c r="D747" s="20"/>
      <c r="E747" s="20"/>
      <c r="F747" s="20"/>
      <c r="G747" s="20"/>
      <c r="H747" s="20"/>
      <c r="I747" s="20"/>
      <c r="J747" s="20"/>
      <c r="K747" s="20"/>
    </row>
    <row r="748" spans="2:11" ht="15">
      <c r="B748" s="15"/>
      <c r="C748" s="20"/>
      <c r="D748" s="20"/>
      <c r="E748" s="20"/>
      <c r="F748" s="20"/>
      <c r="G748" s="20"/>
      <c r="H748" s="20"/>
      <c r="I748" s="20"/>
      <c r="J748" s="20"/>
      <c r="K748" s="20"/>
    </row>
    <row r="749" spans="2:11" ht="15">
      <c r="B749" s="16"/>
      <c r="C749" s="20"/>
      <c r="D749" s="20"/>
      <c r="E749" s="20"/>
      <c r="F749" s="20"/>
      <c r="G749" s="20"/>
      <c r="H749" s="20"/>
      <c r="I749" s="20"/>
      <c r="J749" s="20"/>
      <c r="K749" s="20"/>
    </row>
    <row r="750" spans="2:11" ht="15">
      <c r="B750" s="16"/>
      <c r="C750" s="20"/>
      <c r="D750" s="20"/>
      <c r="E750" s="20"/>
      <c r="F750" s="20"/>
      <c r="G750" s="20"/>
      <c r="H750" s="20"/>
      <c r="I750" s="20"/>
      <c r="J750" s="20"/>
      <c r="K750" s="20"/>
    </row>
    <row r="751" spans="2:11" ht="15">
      <c r="B751" s="17"/>
      <c r="C751" s="20"/>
      <c r="D751" s="20"/>
      <c r="E751" s="20"/>
      <c r="F751" s="20"/>
      <c r="G751" s="20"/>
      <c r="H751" s="20"/>
      <c r="I751" s="20"/>
      <c r="J751" s="20"/>
      <c r="K751" s="20"/>
    </row>
    <row r="752" spans="2:11" ht="15">
      <c r="B752" s="17"/>
      <c r="C752" s="20"/>
      <c r="D752" s="20"/>
      <c r="E752" s="20"/>
      <c r="F752" s="20"/>
      <c r="G752" s="20"/>
      <c r="H752" s="20"/>
      <c r="I752" s="20"/>
      <c r="J752" s="20"/>
      <c r="K752" s="20"/>
    </row>
    <row r="753" spans="2:11" ht="15">
      <c r="B753" s="33"/>
      <c r="C753" s="20"/>
      <c r="D753" s="20"/>
      <c r="E753" s="20"/>
      <c r="F753" s="20"/>
      <c r="G753" s="20"/>
      <c r="H753" s="20"/>
      <c r="I753" s="20"/>
      <c r="J753" s="20"/>
      <c r="K753" s="20"/>
    </row>
    <row r="754" spans="2:11" ht="15">
      <c r="B754" s="18"/>
      <c r="C754" s="20"/>
      <c r="D754" s="20"/>
      <c r="E754" s="20"/>
      <c r="F754" s="20"/>
      <c r="G754" s="20"/>
      <c r="H754" s="20"/>
      <c r="I754" s="20"/>
      <c r="J754" s="20"/>
      <c r="K754" s="20"/>
    </row>
    <row r="755" spans="2:11" ht="15">
      <c r="B755" s="18"/>
      <c r="C755" s="20"/>
      <c r="D755" s="20"/>
      <c r="E755" s="20"/>
      <c r="F755" s="20"/>
      <c r="G755" s="20"/>
      <c r="H755" s="20"/>
      <c r="I755" s="20"/>
      <c r="J755" s="20"/>
      <c r="K755" s="20"/>
    </row>
    <row r="756" spans="2:11" ht="15">
      <c r="B756" s="13"/>
      <c r="C756" s="20"/>
      <c r="D756" s="20"/>
      <c r="E756" s="20"/>
      <c r="F756" s="20"/>
      <c r="G756" s="20"/>
      <c r="H756" s="20"/>
      <c r="I756" s="20"/>
      <c r="J756" s="20"/>
      <c r="K756" s="20"/>
    </row>
    <row r="757" spans="2:11" ht="15">
      <c r="B757" s="13"/>
      <c r="C757" s="20"/>
      <c r="D757" s="20"/>
      <c r="E757" s="20"/>
      <c r="F757" s="20"/>
      <c r="G757" s="20"/>
      <c r="H757" s="20"/>
      <c r="I757" s="20"/>
      <c r="J757" s="20"/>
      <c r="K757" s="20"/>
    </row>
    <row r="758" spans="2:11" ht="15">
      <c r="B758" s="13"/>
      <c r="C758" s="20"/>
      <c r="D758" s="20"/>
      <c r="E758" s="20"/>
      <c r="F758" s="20"/>
      <c r="G758" s="20"/>
      <c r="H758" s="20"/>
      <c r="I758" s="20"/>
      <c r="J758" s="20"/>
      <c r="K758" s="20"/>
    </row>
    <row r="759" spans="2:11" ht="15">
      <c r="B759" s="13"/>
      <c r="C759" s="20"/>
      <c r="D759" s="20"/>
      <c r="E759" s="20"/>
      <c r="F759" s="20"/>
      <c r="G759" s="20"/>
      <c r="H759" s="20"/>
      <c r="I759" s="20"/>
      <c r="J759" s="20"/>
      <c r="K759" s="20"/>
    </row>
    <row r="760" spans="2:11" ht="15">
      <c r="B760" s="13"/>
      <c r="C760" s="20"/>
      <c r="D760" s="20"/>
      <c r="E760" s="20"/>
      <c r="F760" s="20"/>
      <c r="G760" s="20"/>
      <c r="H760" s="20"/>
      <c r="I760" s="20"/>
      <c r="J760" s="20"/>
      <c r="K760" s="20"/>
    </row>
    <row r="761" spans="2:11" ht="15">
      <c r="B761" s="13"/>
      <c r="C761" s="20"/>
      <c r="D761" s="20"/>
      <c r="E761" s="20"/>
      <c r="F761" s="20"/>
      <c r="G761" s="20"/>
      <c r="H761" s="20"/>
      <c r="I761" s="20"/>
      <c r="J761" s="20"/>
      <c r="K761" s="20"/>
    </row>
    <row r="762" spans="2:11" ht="15">
      <c r="B762" s="13"/>
      <c r="C762" s="20"/>
      <c r="D762" s="20"/>
      <c r="E762" s="20"/>
      <c r="F762" s="20"/>
      <c r="G762" s="20"/>
      <c r="H762" s="20"/>
      <c r="I762" s="20"/>
      <c r="J762" s="20"/>
      <c r="K762" s="20"/>
    </row>
    <row r="763" spans="2:11" ht="15">
      <c r="B763" s="13"/>
      <c r="C763" s="20"/>
      <c r="D763" s="20"/>
      <c r="E763" s="20"/>
      <c r="F763" s="20"/>
      <c r="G763" s="20"/>
      <c r="H763" s="20"/>
      <c r="I763" s="20"/>
      <c r="J763" s="20"/>
      <c r="K763" s="20"/>
    </row>
    <row r="764" spans="2:11" ht="15">
      <c r="B764" s="13"/>
      <c r="C764" s="20"/>
      <c r="D764" s="20"/>
      <c r="E764" s="20"/>
      <c r="F764" s="20"/>
      <c r="G764" s="20"/>
      <c r="H764" s="20"/>
      <c r="I764" s="20"/>
      <c r="J764" s="20"/>
      <c r="K764" s="20"/>
    </row>
    <row r="765" spans="2:11" ht="15">
      <c r="B765" s="13"/>
      <c r="C765" s="20"/>
      <c r="D765" s="20"/>
      <c r="E765" s="20"/>
      <c r="F765" s="20"/>
      <c r="G765" s="20"/>
      <c r="H765" s="20"/>
      <c r="I765" s="20"/>
      <c r="J765" s="20"/>
      <c r="K765" s="20"/>
    </row>
    <row r="766" spans="2:11" ht="15">
      <c r="B766" s="13"/>
      <c r="C766" s="20"/>
      <c r="D766" s="20"/>
      <c r="E766" s="20"/>
      <c r="F766" s="20"/>
      <c r="G766" s="20"/>
      <c r="H766" s="20"/>
      <c r="I766" s="20"/>
      <c r="J766" s="20"/>
      <c r="K766" s="20"/>
    </row>
    <row r="767" spans="2:11" ht="15">
      <c r="B767" s="13"/>
      <c r="C767" s="20"/>
      <c r="D767" s="20"/>
      <c r="E767" s="20"/>
      <c r="F767" s="20"/>
      <c r="G767" s="20"/>
      <c r="H767" s="20"/>
      <c r="I767" s="20"/>
      <c r="J767" s="20"/>
      <c r="K767" s="20"/>
    </row>
  </sheetData>
  <mergeCells count="40">
    <mergeCell ref="B1:K1"/>
    <mergeCell ref="B3:K5"/>
    <mergeCell ref="B32:K32"/>
    <mergeCell ref="B34:K36"/>
    <mergeCell ref="B205:J205"/>
    <mergeCell ref="B92:K92"/>
    <mergeCell ref="B94:K97"/>
    <mergeCell ref="B244:J244"/>
    <mergeCell ref="B122:K122"/>
    <mergeCell ref="B124:K125"/>
    <mergeCell ref="B153:K153"/>
    <mergeCell ref="B155:K156"/>
    <mergeCell ref="B735:J735"/>
    <mergeCell ref="B535:J535"/>
    <mergeCell ref="B537:J539"/>
    <mergeCell ref="B584:J584"/>
    <mergeCell ref="B586:J587"/>
    <mergeCell ref="B621:J621"/>
    <mergeCell ref="B623:J624"/>
    <mergeCell ref="B659:J659"/>
    <mergeCell ref="B661:J662"/>
    <mergeCell ref="B696:J696"/>
    <mergeCell ref="B698:J699"/>
    <mergeCell ref="B733:J733"/>
    <mergeCell ref="B497:J500"/>
    <mergeCell ref="B282:J282"/>
    <mergeCell ref="B61:K61"/>
    <mergeCell ref="B63:K64"/>
    <mergeCell ref="B284:J285"/>
    <mergeCell ref="B320:J320"/>
    <mergeCell ref="B322:J323"/>
    <mergeCell ref="B368:J368"/>
    <mergeCell ref="B370:J371"/>
    <mergeCell ref="B414:J414"/>
    <mergeCell ref="B416:J418"/>
    <mergeCell ref="B450:J450"/>
    <mergeCell ref="B452:J455"/>
    <mergeCell ref="B495:J495"/>
    <mergeCell ref="B207:J208"/>
    <mergeCell ref="B242:J242"/>
  </mergeCells>
  <pageMargins left="0" right="0" top="0.5" bottom="0.25" header="0" footer="0"/>
  <pageSetup scale="92" orientation="landscape" r:id="rId1"/>
  <rowBreaks count="19" manualBreakCount="19">
    <brk id="31" max="10" man="1"/>
    <brk id="60" max="10" man="1"/>
    <brk id="91" max="10" man="1"/>
    <brk id="121" max="10" man="1"/>
    <brk id="152" max="10" man="1"/>
    <brk id="203" max="16383" man="1"/>
    <brk id="241" max="16383" man="1"/>
    <brk id="280" max="16383" man="1"/>
    <brk id="318" max="16383" man="1"/>
    <brk id="366" max="16383" man="1"/>
    <brk id="412" max="16383" man="1"/>
    <brk id="448" max="16383" man="1"/>
    <brk id="493" max="16383" man="1"/>
    <brk id="533" max="16383" man="1"/>
    <brk id="582" max="16383" man="1"/>
    <brk id="619" max="16383" man="1"/>
    <brk id="657" max="16383" man="1"/>
    <brk id="694" max="16383" man="1"/>
    <brk id="731" max="16383" man="1"/>
  </rowBreaks>
  <drawing r:id="rId2"/>
</worksheet>
</file>

<file path=xl/worksheets/sheet6.xml><?xml version="1.0" encoding="utf-8"?>
<worksheet xmlns="http://schemas.openxmlformats.org/spreadsheetml/2006/main" xmlns:r="http://schemas.openxmlformats.org/officeDocument/2006/relationships">
  <dimension ref="A1:K64"/>
  <sheetViews>
    <sheetView zoomScale="75" zoomScaleNormal="75" zoomScaleSheetLayoutView="100" workbookViewId="0">
      <selection activeCell="O19" sqref="O19:O20"/>
    </sheetView>
  </sheetViews>
  <sheetFormatPr defaultRowHeight="12.75"/>
  <cols>
    <col min="1" max="1" width="3.7109375" customWidth="1"/>
    <col min="2" max="2" width="33" customWidth="1"/>
    <col min="3" max="4" width="12.7109375" style="24" customWidth="1"/>
    <col min="5" max="11" width="12.7109375" style="25" customWidth="1"/>
  </cols>
  <sheetData>
    <row r="1" spans="1:11" s="122" customFormat="1" ht="18.75">
      <c r="A1" s="125"/>
      <c r="B1" s="756" t="s">
        <v>968</v>
      </c>
      <c r="C1" s="756"/>
      <c r="D1" s="756"/>
      <c r="E1" s="756"/>
      <c r="F1" s="756"/>
      <c r="G1" s="756"/>
      <c r="H1" s="756"/>
      <c r="I1" s="756"/>
      <c r="J1" s="756"/>
      <c r="K1" s="756"/>
    </row>
    <row r="2" spans="1:11" s="122" customFormat="1" ht="15" customHeight="1">
      <c r="A2" s="125"/>
      <c r="B2" s="65"/>
      <c r="C2" s="3"/>
      <c r="D2" s="2"/>
      <c r="E2" s="2"/>
      <c r="F2" s="2"/>
      <c r="G2" s="2"/>
      <c r="H2" s="2"/>
      <c r="I2" s="2"/>
      <c r="J2" s="2"/>
      <c r="K2" s="2"/>
    </row>
    <row r="3" spans="1:11" s="122" customFormat="1" ht="12.75" customHeight="1">
      <c r="A3" s="125"/>
      <c r="B3" s="761" t="s">
        <v>1193</v>
      </c>
      <c r="C3" s="761"/>
      <c r="D3" s="761"/>
      <c r="E3" s="761"/>
      <c r="F3" s="761"/>
      <c r="G3" s="761"/>
      <c r="H3" s="761"/>
      <c r="I3" s="761"/>
      <c r="J3" s="761"/>
      <c r="K3" s="761"/>
    </row>
    <row r="4" spans="1:11" s="122" customFormat="1" ht="12.75" customHeight="1">
      <c r="A4" s="125"/>
      <c r="B4" s="761"/>
      <c r="C4" s="761"/>
      <c r="D4" s="761"/>
      <c r="E4" s="761"/>
      <c r="F4" s="761"/>
      <c r="G4" s="761"/>
      <c r="H4" s="761"/>
      <c r="I4" s="761"/>
      <c r="J4" s="761"/>
      <c r="K4" s="761"/>
    </row>
    <row r="5" spans="1:11" s="122" customFormat="1" ht="12.75" customHeight="1">
      <c r="A5" s="125"/>
      <c r="B5" s="761"/>
      <c r="C5" s="761"/>
      <c r="D5" s="761"/>
      <c r="E5" s="761"/>
      <c r="F5" s="761"/>
      <c r="G5" s="761"/>
      <c r="H5" s="761"/>
      <c r="I5" s="761"/>
      <c r="J5" s="761"/>
      <c r="K5" s="761"/>
    </row>
    <row r="6" spans="1:11" s="122" customFormat="1" ht="15" customHeight="1">
      <c r="A6" s="125"/>
      <c r="B6" s="761"/>
      <c r="C6" s="761"/>
      <c r="D6" s="761"/>
      <c r="E6" s="761"/>
      <c r="F6" s="761"/>
      <c r="G6" s="761"/>
      <c r="H6" s="761"/>
      <c r="I6" s="761"/>
      <c r="J6" s="761"/>
      <c r="K6" s="761"/>
    </row>
    <row r="7" spans="1:11" s="122" customFormat="1" ht="12" customHeight="1">
      <c r="A7" s="125"/>
      <c r="B7" s="417"/>
      <c r="C7" s="22"/>
      <c r="D7" s="22"/>
      <c r="E7" s="22"/>
      <c r="F7" s="22"/>
      <c r="G7" s="22"/>
      <c r="H7" s="2"/>
      <c r="I7" s="2"/>
      <c r="J7" s="2"/>
      <c r="K7" s="2"/>
    </row>
    <row r="8" spans="1:11" s="122" customFormat="1" ht="15">
      <c r="A8" s="125"/>
      <c r="B8" s="5"/>
      <c r="C8" s="65"/>
      <c r="D8" s="66"/>
      <c r="E8" s="65" t="s">
        <v>257</v>
      </c>
      <c r="F8" s="1"/>
      <c r="G8" s="1"/>
      <c r="H8" s="1"/>
      <c r="I8" s="1"/>
      <c r="J8" s="1"/>
      <c r="K8" s="1"/>
    </row>
    <row r="9" spans="1:11" s="122" customFormat="1" ht="15">
      <c r="A9" s="125"/>
      <c r="B9" s="66"/>
      <c r="C9" s="65" t="s">
        <v>249</v>
      </c>
      <c r="D9" s="49" t="s">
        <v>256</v>
      </c>
      <c r="E9" s="66" t="s">
        <v>763</v>
      </c>
      <c r="F9" s="66" t="s">
        <v>257</v>
      </c>
      <c r="G9" s="66" t="s">
        <v>258</v>
      </c>
      <c r="H9" s="66" t="s">
        <v>926</v>
      </c>
      <c r="I9" s="66" t="s">
        <v>1026</v>
      </c>
      <c r="J9" s="66" t="s">
        <v>1060</v>
      </c>
      <c r="K9" s="66" t="s">
        <v>1061</v>
      </c>
    </row>
    <row r="10" spans="1:11" s="122" customFormat="1" ht="15.75" thickBot="1">
      <c r="A10" s="125"/>
      <c r="B10" s="136"/>
      <c r="C10" s="68" t="s">
        <v>1</v>
      </c>
      <c r="D10" s="68" t="s">
        <v>1</v>
      </c>
      <c r="E10" s="68" t="s">
        <v>720</v>
      </c>
      <c r="F10" s="68" t="s">
        <v>19</v>
      </c>
      <c r="G10" s="68" t="str">
        <f>'Fund Cover Sheets'!$M$1</f>
        <v>Adopted</v>
      </c>
      <c r="H10" s="68" t="s">
        <v>19</v>
      </c>
      <c r="I10" s="68" t="s">
        <v>19</v>
      </c>
      <c r="J10" s="68" t="s">
        <v>19</v>
      </c>
      <c r="K10" s="68" t="s">
        <v>19</v>
      </c>
    </row>
    <row r="11" spans="1:11" s="122" customFormat="1" ht="7.5" customHeight="1">
      <c r="A11" s="125"/>
      <c r="B11" s="64"/>
      <c r="C11" s="137"/>
      <c r="D11" s="2"/>
      <c r="E11" s="2"/>
      <c r="F11" s="2"/>
      <c r="G11" s="2"/>
      <c r="H11" s="2"/>
      <c r="I11" s="2"/>
      <c r="J11" s="2"/>
      <c r="K11" s="2"/>
    </row>
    <row r="12" spans="1:11" s="122" customFormat="1" ht="15">
      <c r="A12" s="125"/>
      <c r="B12" s="128" t="s">
        <v>764</v>
      </c>
      <c r="C12" s="2"/>
      <c r="D12" s="2"/>
      <c r="E12" s="2"/>
      <c r="F12" s="2"/>
      <c r="G12" s="2"/>
      <c r="H12" s="2"/>
      <c r="I12" s="2"/>
      <c r="J12" s="2"/>
      <c r="K12" s="2"/>
    </row>
    <row r="13" spans="1:11" s="122" customFormat="1" ht="20.100000000000001" customHeight="1">
      <c r="A13" s="125"/>
      <c r="B13" s="438" t="s">
        <v>767</v>
      </c>
      <c r="C13" s="2">
        <f>SUM('Budget Detail FY 2014-21'!L448:L453)</f>
        <v>76414</v>
      </c>
      <c r="D13" s="2">
        <f>SUM('Budget Detail FY 2014-21'!M448:M453)</f>
        <v>59700</v>
      </c>
      <c r="E13" s="2">
        <f>SUM('Budget Detail FY 2014-21'!N448:N453)</f>
        <v>49275</v>
      </c>
      <c r="F13" s="2">
        <f>SUM('Budget Detail FY 2014-21'!O448:O453)</f>
        <v>26000</v>
      </c>
      <c r="G13" s="2">
        <f>SUM('Budget Detail FY 2014-21'!P448:P453)</f>
        <v>26000</v>
      </c>
      <c r="H13" s="2">
        <f>SUM('Budget Detail FY 2014-21'!Q448:Q453)</f>
        <v>48775</v>
      </c>
      <c r="I13" s="2">
        <f>SUM('Budget Detail FY 2014-21'!R448:R453)</f>
        <v>48775</v>
      </c>
      <c r="J13" s="2">
        <f>SUM('Budget Detail FY 2014-21'!S448:S453)</f>
        <v>48775</v>
      </c>
      <c r="K13" s="2">
        <f>SUM('Budget Detail FY 2014-21'!T448:T453)</f>
        <v>48775</v>
      </c>
    </row>
    <row r="14" spans="1:11" ht="20.100000000000001" customHeight="1">
      <c r="A14" s="125"/>
      <c r="B14" s="438" t="s">
        <v>768</v>
      </c>
      <c r="C14" s="2">
        <f>SUM('Budget Detail FY 2014-21'!L454:L456)</f>
        <v>8253</v>
      </c>
      <c r="D14" s="2">
        <f>SUM('Budget Detail FY 2014-21'!M454:M456)</f>
        <v>9181</v>
      </c>
      <c r="E14" s="2">
        <f>SUM('Budget Detail FY 2014-21'!N454:N456)</f>
        <v>12750</v>
      </c>
      <c r="F14" s="2">
        <f>SUM('Budget Detail FY 2014-21'!O454:O456)</f>
        <v>10200</v>
      </c>
      <c r="G14" s="2">
        <f>SUM('Budget Detail FY 2014-21'!P454:P456)</f>
        <v>10200</v>
      </c>
      <c r="H14" s="2">
        <f>SUM('Budget Detail FY 2014-21'!Q454:Q456)</f>
        <v>10200</v>
      </c>
      <c r="I14" s="2">
        <f>SUM('Budget Detail FY 2014-21'!R454:R456)</f>
        <v>10200</v>
      </c>
      <c r="J14" s="2">
        <f>SUM('Budget Detail FY 2014-21'!S454:S456)</f>
        <v>10200</v>
      </c>
      <c r="K14" s="2">
        <f>SUM('Budget Detail FY 2014-21'!T454:T456)</f>
        <v>10200</v>
      </c>
    </row>
    <row r="15" spans="1:11" ht="20.100000000000001" customHeight="1">
      <c r="A15" s="125"/>
      <c r="B15" s="438" t="s">
        <v>769</v>
      </c>
      <c r="C15" s="2">
        <f>SUM('Budget Detail FY 2014-21'!L457:L460)</f>
        <v>157495</v>
      </c>
      <c r="D15" s="2">
        <f>SUM('Budget Detail FY 2014-21'!M457:M460)</f>
        <v>301715</v>
      </c>
      <c r="E15" s="2">
        <f>SUM('Budget Detail FY 2014-21'!N457:N460)</f>
        <v>373063</v>
      </c>
      <c r="F15" s="2">
        <f>SUM('Budget Detail FY 2014-21'!O457:O460)</f>
        <v>443478</v>
      </c>
      <c r="G15" s="2">
        <f>SUM('Budget Detail FY 2014-21'!P457:P460)</f>
        <v>101633</v>
      </c>
      <c r="H15" s="2">
        <f>SUM('Budget Detail FY 2014-21'!Q457:Q460)</f>
        <v>131698</v>
      </c>
      <c r="I15" s="2">
        <f>SUM('Budget Detail FY 2014-21'!R457:R460)</f>
        <v>131698</v>
      </c>
      <c r="J15" s="2">
        <f>SUM('Budget Detail FY 2014-21'!S457:S460)</f>
        <v>131698</v>
      </c>
      <c r="K15" s="2">
        <f>SUM('Budget Detail FY 2014-21'!T457:T460)</f>
        <v>131698</v>
      </c>
    </row>
    <row r="16" spans="1:11" ht="20.100000000000001" customHeight="1">
      <c r="A16" s="125"/>
      <c r="B16" s="438" t="s">
        <v>770</v>
      </c>
      <c r="C16" s="2">
        <f>SUM('Budget Detail FY 2014-21'!L461:L462)</f>
        <v>446</v>
      </c>
      <c r="D16" s="2">
        <f>SUM('Budget Detail FY 2014-21'!M461:M462)</f>
        <v>449</v>
      </c>
      <c r="E16" s="2">
        <f>SUM('Budget Detail FY 2014-21'!N461:N462)</f>
        <v>250</v>
      </c>
      <c r="F16" s="2">
        <f>SUM('Budget Detail FY 2014-21'!O461:O462)</f>
        <v>50</v>
      </c>
      <c r="G16" s="2">
        <f>SUM('Budget Detail FY 2014-21'!P461:P462)</f>
        <v>50</v>
      </c>
      <c r="H16" s="2">
        <f>SUM('Budget Detail FY 2014-21'!Q461:Q462)</f>
        <v>50</v>
      </c>
      <c r="I16" s="2">
        <f>SUM('Budget Detail FY 2014-21'!R461:R462)</f>
        <v>50</v>
      </c>
      <c r="J16" s="2">
        <f>SUM('Budget Detail FY 2014-21'!S461:S462)</f>
        <v>50</v>
      </c>
      <c r="K16" s="2">
        <f>SUM('Budget Detail FY 2014-21'!T461:T462)</f>
        <v>50</v>
      </c>
    </row>
    <row r="17" spans="1:11" ht="20.100000000000001" customHeight="1">
      <c r="A17" s="125"/>
      <c r="B17" s="438" t="s">
        <v>771</v>
      </c>
      <c r="C17" s="2">
        <f>'Budget Detail FY 2014-21'!L463</f>
        <v>50000</v>
      </c>
      <c r="D17" s="2">
        <f>'Budget Detail FY 2014-21'!M463</f>
        <v>97771</v>
      </c>
      <c r="E17" s="2">
        <f>'Budget Detail FY 2014-21'!N463</f>
        <v>0</v>
      </c>
      <c r="F17" s="2">
        <f>'Budget Detail FY 2014-21'!O463</f>
        <v>0</v>
      </c>
      <c r="G17" s="2">
        <f>'Budget Detail FY 2014-21'!P463</f>
        <v>0</v>
      </c>
      <c r="H17" s="2">
        <f>'Budget Detail FY 2014-21'!Q463</f>
        <v>0</v>
      </c>
      <c r="I17" s="2">
        <f>'Budget Detail FY 2014-21'!R463</f>
        <v>0</v>
      </c>
      <c r="J17" s="2">
        <f>'Budget Detail FY 2014-21'!S463</f>
        <v>0</v>
      </c>
      <c r="K17" s="2">
        <f>'Budget Detail FY 2014-21'!T463</f>
        <v>0</v>
      </c>
    </row>
    <row r="18" spans="1:11" ht="20.100000000000001" customHeight="1">
      <c r="A18" s="125"/>
      <c r="B18" s="438" t="s">
        <v>772</v>
      </c>
      <c r="C18" s="2">
        <f>SUM('Budget Detail FY 2014-21'!L464:L465)</f>
        <v>4994</v>
      </c>
      <c r="D18" s="2">
        <f>SUM('Budget Detail FY 2014-21'!M464:M465)</f>
        <v>2193</v>
      </c>
      <c r="E18" s="2">
        <f>SUM('Budget Detail FY 2014-21'!N464:N465)</f>
        <v>1000</v>
      </c>
      <c r="F18" s="2">
        <f>SUM('Budget Detail FY 2014-21'!O464:O465)</f>
        <v>3929</v>
      </c>
      <c r="G18" s="2">
        <f>SUM('Budget Detail FY 2014-21'!P464:P465)</f>
        <v>2000</v>
      </c>
      <c r="H18" s="2">
        <f>SUM('Budget Detail FY 2014-21'!Q464:Q465)</f>
        <v>2000</v>
      </c>
      <c r="I18" s="2">
        <f>SUM('Budget Detail FY 2014-21'!R464:R465)</f>
        <v>2000</v>
      </c>
      <c r="J18" s="2">
        <f>SUM('Budget Detail FY 2014-21'!S464:S465)</f>
        <v>2000</v>
      </c>
      <c r="K18" s="2">
        <f>SUM('Budget Detail FY 2014-21'!T464:T465)</f>
        <v>2000</v>
      </c>
    </row>
    <row r="19" spans="1:11" ht="20.100000000000001" customHeight="1">
      <c r="A19" s="125"/>
      <c r="B19" s="438" t="s">
        <v>773</v>
      </c>
      <c r="C19" s="2">
        <f>SUM('Budget Detail FY 2014-21'!L466:L468)</f>
        <v>7825</v>
      </c>
      <c r="D19" s="2">
        <f>SUM('Budget Detail FY 2014-21'!M466:M468)</f>
        <v>0</v>
      </c>
      <c r="E19" s="2">
        <f>SUM('Budget Detail FY 2014-21'!N466:N468)</f>
        <v>36000</v>
      </c>
      <c r="F19" s="2">
        <f>SUM('Budget Detail FY 2014-21'!O466:O468)</f>
        <v>45275</v>
      </c>
      <c r="G19" s="2">
        <f>SUM('Budget Detail FY 2014-21'!P466:P468)</f>
        <v>1000</v>
      </c>
      <c r="H19" s="2">
        <f>SUM('Budget Detail FY 2014-21'!Q466:Q468)</f>
        <v>1000</v>
      </c>
      <c r="I19" s="2">
        <f>SUM('Budget Detail FY 2014-21'!R466:R468)</f>
        <v>1000</v>
      </c>
      <c r="J19" s="2">
        <f>SUM('Budget Detail FY 2014-21'!S466:S468)</f>
        <v>1000</v>
      </c>
      <c r="K19" s="2">
        <f>SUM('Budget Detail FY 2014-21'!T466:T468)</f>
        <v>1000</v>
      </c>
    </row>
    <row r="20" spans="1:11" ht="20.100000000000001" customHeight="1" thickBot="1">
      <c r="A20" s="125"/>
      <c r="B20" s="127" t="s">
        <v>774</v>
      </c>
      <c r="C20" s="124">
        <f>SUM(C13:C19)</f>
        <v>305427</v>
      </c>
      <c r="D20" s="124">
        <f t="shared" ref="D20:K20" si="0">SUM(D13:D19)</f>
        <v>471009</v>
      </c>
      <c r="E20" s="124">
        <f t="shared" si="0"/>
        <v>472338</v>
      </c>
      <c r="F20" s="124">
        <f t="shared" si="0"/>
        <v>528932</v>
      </c>
      <c r="G20" s="124">
        <f t="shared" si="0"/>
        <v>140883</v>
      </c>
      <c r="H20" s="124">
        <f t="shared" si="0"/>
        <v>193723</v>
      </c>
      <c r="I20" s="124">
        <f t="shared" si="0"/>
        <v>193723</v>
      </c>
      <c r="J20" s="124">
        <f t="shared" si="0"/>
        <v>193723</v>
      </c>
      <c r="K20" s="124">
        <f t="shared" si="0"/>
        <v>193723</v>
      </c>
    </row>
    <row r="21" spans="1:11" ht="7.5" customHeight="1">
      <c r="A21" s="125"/>
      <c r="B21" s="1"/>
      <c r="C21" s="2"/>
      <c r="D21" s="2"/>
      <c r="E21" s="2"/>
      <c r="F21" s="2"/>
      <c r="G21" s="2"/>
      <c r="H21" s="2"/>
      <c r="I21" s="2"/>
      <c r="J21" s="2"/>
      <c r="K21" s="2"/>
    </row>
    <row r="22" spans="1:11" ht="15">
      <c r="A22" s="125"/>
      <c r="B22" s="128" t="s">
        <v>971</v>
      </c>
      <c r="C22" s="2"/>
      <c r="D22" s="2"/>
      <c r="E22" s="2"/>
      <c r="F22" s="2"/>
      <c r="G22" s="2"/>
      <c r="H22" s="2"/>
      <c r="I22" s="2"/>
      <c r="J22" s="2"/>
      <c r="K22" s="2"/>
    </row>
    <row r="23" spans="1:11" ht="20.100000000000001" customHeight="1">
      <c r="A23" s="125"/>
      <c r="B23" s="439" t="s">
        <v>777</v>
      </c>
      <c r="C23" s="2">
        <f>SUM('Budget Detail FY 2014-21'!L473:L475)</f>
        <v>22521</v>
      </c>
      <c r="D23" s="2">
        <f>SUM('Budget Detail FY 2014-21'!M473:M475)</f>
        <v>15803</v>
      </c>
      <c r="E23" s="2">
        <f>SUM('Budget Detail FY 2014-21'!N473:N475)</f>
        <v>17667</v>
      </c>
      <c r="F23" s="2">
        <f>SUM('Budget Detail FY 2014-21'!O473:O475)</f>
        <v>16833</v>
      </c>
      <c r="G23" s="2">
        <f>SUM('Budget Detail FY 2014-21'!P473:P475)</f>
        <v>16833</v>
      </c>
      <c r="H23" s="2">
        <f>SUM('Budget Detail FY 2014-21'!Q473:Q475)</f>
        <v>16833</v>
      </c>
      <c r="I23" s="2">
        <f>SUM('Budget Detail FY 2014-21'!R473:R475)</f>
        <v>16833</v>
      </c>
      <c r="J23" s="2">
        <f>SUM('Budget Detail FY 2014-21'!S473:S475)</f>
        <v>16833</v>
      </c>
      <c r="K23" s="2">
        <f>SUM('Budget Detail FY 2014-21'!T473:T475)</f>
        <v>16833</v>
      </c>
    </row>
    <row r="24" spans="1:11" ht="20.100000000000001" customHeight="1">
      <c r="A24" s="125"/>
      <c r="B24" s="439" t="s">
        <v>779</v>
      </c>
      <c r="C24" s="2">
        <f>SUM('Budget Detail FY 2014-21'!L476:L477)</f>
        <v>93750</v>
      </c>
      <c r="D24" s="2">
        <f>SUM('Budget Detail FY 2014-21'!M476:M477)</f>
        <v>112242</v>
      </c>
      <c r="E24" s="2">
        <f>SUM('Budget Detail FY 2014-21'!N476:N477)</f>
        <v>204000</v>
      </c>
      <c r="F24" s="2">
        <f>SUM('Budget Detail FY 2014-21'!O476:O477)</f>
        <v>204000</v>
      </c>
      <c r="G24" s="2">
        <f>SUM('Budget Detail FY 2014-21'!P476:P477)</f>
        <v>55000</v>
      </c>
      <c r="H24" s="2">
        <f>SUM('Budget Detail FY 2014-21'!Q476:Q477)</f>
        <v>55000</v>
      </c>
      <c r="I24" s="2">
        <f>SUM('Budget Detail FY 2014-21'!R476:R477)</f>
        <v>55000</v>
      </c>
      <c r="J24" s="2">
        <f>SUM('Budget Detail FY 2014-21'!S476:S477)</f>
        <v>55000</v>
      </c>
      <c r="K24" s="2">
        <f>SUM('Budget Detail FY 2014-21'!T476:T477)</f>
        <v>55000</v>
      </c>
    </row>
    <row r="25" spans="1:11" ht="20.100000000000001" customHeight="1" thickBot="1">
      <c r="A25" s="125"/>
      <c r="B25" s="127" t="s">
        <v>976</v>
      </c>
      <c r="C25" s="141">
        <f t="shared" ref="C25:K25" si="1">SUM(C23:C24)</f>
        <v>116271</v>
      </c>
      <c r="D25" s="141">
        <f t="shared" si="1"/>
        <v>128045</v>
      </c>
      <c r="E25" s="141">
        <f t="shared" si="1"/>
        <v>221667</v>
      </c>
      <c r="F25" s="141">
        <f t="shared" si="1"/>
        <v>220833</v>
      </c>
      <c r="G25" s="141">
        <f t="shared" si="1"/>
        <v>71833</v>
      </c>
      <c r="H25" s="141">
        <f t="shared" si="1"/>
        <v>71833</v>
      </c>
      <c r="I25" s="141">
        <f t="shared" si="1"/>
        <v>71833</v>
      </c>
      <c r="J25" s="141">
        <f t="shared" si="1"/>
        <v>71833</v>
      </c>
      <c r="K25" s="141">
        <f t="shared" si="1"/>
        <v>71833</v>
      </c>
    </row>
    <row r="26" spans="1:11" ht="7.5" customHeight="1">
      <c r="A26" s="125"/>
      <c r="B26" s="130"/>
      <c r="C26" s="4"/>
      <c r="D26" s="4"/>
      <c r="E26" s="4"/>
      <c r="F26" s="4"/>
      <c r="G26" s="4"/>
      <c r="H26" s="4"/>
      <c r="I26" s="4"/>
      <c r="J26" s="4"/>
      <c r="K26" s="4"/>
    </row>
    <row r="27" spans="1:11" ht="15">
      <c r="A27" s="125"/>
      <c r="B27" s="128" t="s">
        <v>972</v>
      </c>
      <c r="C27" s="2"/>
      <c r="D27" s="2"/>
      <c r="E27" s="2"/>
      <c r="F27" s="2"/>
      <c r="G27" s="2"/>
      <c r="H27" s="2"/>
      <c r="I27" s="2"/>
      <c r="J27" s="2"/>
      <c r="K27" s="2"/>
    </row>
    <row r="28" spans="1:11" ht="20.100000000000001" customHeight="1">
      <c r="A28" s="125"/>
      <c r="B28" s="439" t="s">
        <v>777</v>
      </c>
      <c r="C28" s="2">
        <f>SUM('Budget Detail FY 2014-21'!L481:L483)</f>
        <v>26929</v>
      </c>
      <c r="D28" s="2">
        <f>SUM('Budget Detail FY 2014-21'!M481:M483)</f>
        <v>31608</v>
      </c>
      <c r="E28" s="2">
        <f>SUM('Budget Detail FY 2014-21'!N481:N483)</f>
        <v>6500</v>
      </c>
      <c r="F28" s="2">
        <f>SUM('Budget Detail FY 2014-21'!O481:O483)</f>
        <v>1176</v>
      </c>
      <c r="G28" s="2">
        <f>SUM('Budget Detail FY 2014-21'!P481:P483)</f>
        <v>1750</v>
      </c>
      <c r="H28" s="2">
        <f>SUM('Budget Detail FY 2014-21'!Q481:Q483)</f>
        <v>1750</v>
      </c>
      <c r="I28" s="2">
        <f>SUM('Budget Detail FY 2014-21'!R481:R483)</f>
        <v>1750</v>
      </c>
      <c r="J28" s="2">
        <f>SUM('Budget Detail FY 2014-21'!S481:S483)</f>
        <v>1750</v>
      </c>
      <c r="K28" s="2">
        <f>SUM('Budget Detail FY 2014-21'!T481:T483)</f>
        <v>1750</v>
      </c>
    </row>
    <row r="29" spans="1:11" ht="20.100000000000001" customHeight="1">
      <c r="A29" s="125"/>
      <c r="B29" s="439" t="s">
        <v>778</v>
      </c>
      <c r="C29" s="2">
        <f>'Budget Detail FY 2014-21'!L484</f>
        <v>0</v>
      </c>
      <c r="D29" s="2">
        <f>'Budget Detail FY 2014-21'!M484</f>
        <v>499</v>
      </c>
      <c r="E29" s="2">
        <f>'Budget Detail FY 2014-21'!N484</f>
        <v>2000</v>
      </c>
      <c r="F29" s="2">
        <f>'Budget Detail FY 2014-21'!O484</f>
        <v>3929</v>
      </c>
      <c r="G29" s="2">
        <f>'Budget Detail FY 2014-21'!P484</f>
        <v>2000</v>
      </c>
      <c r="H29" s="2">
        <f>'Budget Detail FY 2014-21'!Q484</f>
        <v>2000</v>
      </c>
      <c r="I29" s="2">
        <f>'Budget Detail FY 2014-21'!R484</f>
        <v>2000</v>
      </c>
      <c r="J29" s="2">
        <f>'Budget Detail FY 2014-21'!S484</f>
        <v>2000</v>
      </c>
      <c r="K29" s="2">
        <f>'Budget Detail FY 2014-21'!T484</f>
        <v>2000</v>
      </c>
    </row>
    <row r="30" spans="1:11" ht="20.100000000000001" customHeight="1">
      <c r="A30" s="125"/>
      <c r="B30" s="439" t="s">
        <v>779</v>
      </c>
      <c r="C30" s="2">
        <f>SUM('Budget Detail FY 2014-21'!L485:L486)</f>
        <v>48689</v>
      </c>
      <c r="D30" s="2">
        <f>SUM('Budget Detail FY 2014-21'!M485:M486)</f>
        <v>163750</v>
      </c>
      <c r="E30" s="2">
        <f>SUM('Budget Detail FY 2014-21'!N485:N486)</f>
        <v>185000</v>
      </c>
      <c r="F30" s="2">
        <f>SUM('Budget Detail FY 2014-21'!O485:O486)</f>
        <v>158658</v>
      </c>
      <c r="G30" s="2">
        <f>SUM('Budget Detail FY 2014-21'!P485:P486)</f>
        <v>45000</v>
      </c>
      <c r="H30" s="2">
        <f>SUM('Budget Detail FY 2014-21'!Q485:Q486)</f>
        <v>45000</v>
      </c>
      <c r="I30" s="2">
        <f>SUM('Budget Detail FY 2014-21'!R485:R486)</f>
        <v>45000</v>
      </c>
      <c r="J30" s="2">
        <f>SUM('Budget Detail FY 2014-21'!S485:S486)</f>
        <v>45000</v>
      </c>
      <c r="K30" s="2">
        <f>SUM('Budget Detail FY 2014-21'!T485:T486)</f>
        <v>45000</v>
      </c>
    </row>
    <row r="31" spans="1:11" ht="20.100000000000001" customHeight="1">
      <c r="A31" s="125"/>
      <c r="B31" s="439" t="s">
        <v>705</v>
      </c>
      <c r="C31" s="2">
        <f>SUM('Budget Detail FY 2014-21'!L488:L489)</f>
        <v>76054</v>
      </c>
      <c r="D31" s="2">
        <f>SUM('Budget Detail FY 2014-21'!M488:M489)</f>
        <v>70816</v>
      </c>
      <c r="E31" s="2">
        <f>SUM('Budget Detail FY 2014-21'!N488:N489)</f>
        <v>70815</v>
      </c>
      <c r="F31" s="2">
        <f>SUM('Budget Detail FY 2014-21'!O488:O489)</f>
        <v>70815</v>
      </c>
      <c r="G31" s="2">
        <f>SUM('Budget Detail FY 2014-21'!P488:P489)</f>
        <v>70815</v>
      </c>
      <c r="H31" s="2">
        <f>SUM('Budget Detail FY 2014-21'!Q488:Q489)</f>
        <v>70815</v>
      </c>
      <c r="I31" s="2">
        <f>SUM('Budget Detail FY 2014-21'!R488:R489)</f>
        <v>70815</v>
      </c>
      <c r="J31" s="2">
        <f>SUM('Budget Detail FY 2014-21'!S488:S489)</f>
        <v>70815</v>
      </c>
      <c r="K31" s="2">
        <f>SUM('Budget Detail FY 2014-21'!T488:T489)</f>
        <v>70815</v>
      </c>
    </row>
    <row r="32" spans="1:11" ht="20.100000000000001" customHeight="1" thickBot="1">
      <c r="A32" s="125"/>
      <c r="B32" s="127" t="s">
        <v>976</v>
      </c>
      <c r="C32" s="141">
        <f>SUM(C28:C31)</f>
        <v>151672</v>
      </c>
      <c r="D32" s="141">
        <f t="shared" ref="D32:K32" si="2">SUM(D28:D31)</f>
        <v>266673</v>
      </c>
      <c r="E32" s="141">
        <f t="shared" si="2"/>
        <v>264315</v>
      </c>
      <c r="F32" s="141">
        <f t="shared" si="2"/>
        <v>234578</v>
      </c>
      <c r="G32" s="141">
        <f t="shared" si="2"/>
        <v>119565</v>
      </c>
      <c r="H32" s="141">
        <f t="shared" si="2"/>
        <v>119565</v>
      </c>
      <c r="I32" s="141">
        <f t="shared" si="2"/>
        <v>119565</v>
      </c>
      <c r="J32" s="141">
        <f t="shared" si="2"/>
        <v>119565</v>
      </c>
      <c r="K32" s="141">
        <f t="shared" si="2"/>
        <v>119565</v>
      </c>
    </row>
    <row r="33" spans="1:11" ht="7.5" customHeight="1">
      <c r="A33" s="125"/>
      <c r="B33" s="130"/>
      <c r="C33" s="4"/>
      <c r="D33" s="4"/>
      <c r="E33" s="4"/>
      <c r="F33" s="4"/>
      <c r="G33" s="4"/>
      <c r="H33" s="4"/>
      <c r="I33" s="4"/>
      <c r="J33" s="4"/>
      <c r="K33" s="4"/>
    </row>
    <row r="34" spans="1:11" ht="15">
      <c r="A34" s="125"/>
      <c r="B34" s="128" t="s">
        <v>1135</v>
      </c>
      <c r="C34" s="2"/>
      <c r="D34" s="2"/>
      <c r="E34" s="2"/>
      <c r="F34" s="2"/>
      <c r="G34" s="2"/>
      <c r="H34" s="2"/>
      <c r="I34" s="2"/>
      <c r="J34" s="2"/>
      <c r="K34" s="2"/>
    </row>
    <row r="35" spans="1:11" ht="20.100000000000001" customHeight="1">
      <c r="A35" s="125"/>
      <c r="B35" s="439" t="s">
        <v>777</v>
      </c>
      <c r="C35" s="2">
        <f>'Budget Detail FY 2014-21'!L493+'Budget Detail FY 2014-21'!L494</f>
        <v>800</v>
      </c>
      <c r="D35" s="2">
        <f>'Budget Detail FY 2014-21'!M493+'Budget Detail FY 2014-21'!M494</f>
        <v>4303</v>
      </c>
      <c r="E35" s="2">
        <f>'Budget Detail FY 2014-21'!N493+'Budget Detail FY 2014-21'!N494</f>
        <v>0</v>
      </c>
      <c r="F35" s="2">
        <f>'Budget Detail FY 2014-21'!O493+'Budget Detail FY 2014-21'!O494</f>
        <v>0</v>
      </c>
      <c r="G35" s="2">
        <f>'Budget Detail FY 2014-21'!P493+'Budget Detail FY 2014-21'!P494</f>
        <v>0</v>
      </c>
      <c r="H35" s="2">
        <f>'Budget Detail FY 2014-21'!Q493+'Budget Detail FY 2014-21'!Q494</f>
        <v>0</v>
      </c>
      <c r="I35" s="2">
        <f>'Budget Detail FY 2014-21'!R493+'Budget Detail FY 2014-21'!R494</f>
        <v>0</v>
      </c>
      <c r="J35" s="2">
        <f>'Budget Detail FY 2014-21'!S493+'Budget Detail FY 2014-21'!S494</f>
        <v>0</v>
      </c>
      <c r="K35" s="2">
        <f>'Budget Detail FY 2014-21'!T493+'Budget Detail FY 2014-21'!T494</f>
        <v>0</v>
      </c>
    </row>
    <row r="36" spans="1:11" ht="20.100000000000001" customHeight="1">
      <c r="A36" s="125"/>
      <c r="B36" s="439" t="s">
        <v>779</v>
      </c>
      <c r="C36" s="2">
        <f>SUM('Budget Detail FY 2014-21'!L495:L500)</f>
        <v>12143</v>
      </c>
      <c r="D36" s="2">
        <f>SUM('Budget Detail FY 2014-21'!M495:M500)</f>
        <v>111937</v>
      </c>
      <c r="E36" s="2">
        <f>SUM('Budget Detail FY 2014-21'!N495:N500)</f>
        <v>127929</v>
      </c>
      <c r="F36" s="2">
        <f>SUM('Budget Detail FY 2014-21'!O495:O500)</f>
        <v>124145</v>
      </c>
      <c r="G36" s="2">
        <f>SUM('Budget Detail FY 2014-21'!P495:P500)</f>
        <v>0</v>
      </c>
      <c r="H36" s="2">
        <f>SUM('Budget Detail FY 2014-21'!Q495:Q500)</f>
        <v>0</v>
      </c>
      <c r="I36" s="2">
        <f>SUM('Budget Detail FY 2014-21'!R495:R500)</f>
        <v>0</v>
      </c>
      <c r="J36" s="2">
        <f>SUM('Budget Detail FY 2014-21'!S495:S500)</f>
        <v>0</v>
      </c>
      <c r="K36" s="2">
        <f>SUM('Budget Detail FY 2014-21'!T495:T500)</f>
        <v>0</v>
      </c>
    </row>
    <row r="37" spans="1:11" ht="20.100000000000001" customHeight="1">
      <c r="A37" s="125"/>
      <c r="B37" s="439" t="s">
        <v>705</v>
      </c>
      <c r="C37" s="2">
        <f>SUM('Budget Detail FY 2014-21'!L502:L503)</f>
        <v>2383</v>
      </c>
      <c r="D37" s="2">
        <f>SUM('Budget Detail FY 2014-21'!M502:M503)</f>
        <v>2219</v>
      </c>
      <c r="E37" s="2">
        <f>SUM('Budget Detail FY 2014-21'!N502:N503)</f>
        <v>2219</v>
      </c>
      <c r="F37" s="2">
        <f>SUM('Budget Detail FY 2014-21'!O502:O503)</f>
        <v>2219</v>
      </c>
      <c r="G37" s="2">
        <f>SUM('Budget Detail FY 2014-21'!P502:P503)</f>
        <v>2219</v>
      </c>
      <c r="H37" s="2">
        <f>SUM('Budget Detail FY 2014-21'!Q502:Q503)</f>
        <v>2219</v>
      </c>
      <c r="I37" s="2">
        <f>SUM('Budget Detail FY 2014-21'!R502:R503)</f>
        <v>2219</v>
      </c>
      <c r="J37" s="2">
        <f>SUM('Budget Detail FY 2014-21'!S502:S503)</f>
        <v>2219</v>
      </c>
      <c r="K37" s="2">
        <f>SUM('Budget Detail FY 2014-21'!T502:T503)</f>
        <v>2219</v>
      </c>
    </row>
    <row r="38" spans="1:11" ht="20.100000000000001" customHeight="1">
      <c r="A38" s="125"/>
      <c r="B38" s="438" t="s">
        <v>781</v>
      </c>
      <c r="C38" s="2">
        <f>SUM('Budget Detail FY 2014-21'!L504:L504)</f>
        <v>50000</v>
      </c>
      <c r="D38" s="2">
        <f>SUM('Budget Detail FY 2014-21'!M504:M504)</f>
        <v>0</v>
      </c>
      <c r="E38" s="2">
        <f>SUM('Budget Detail FY 2014-21'!N504:N504)</f>
        <v>0</v>
      </c>
      <c r="F38" s="2">
        <f>SUM('Budget Detail FY 2014-21'!O504:O504)</f>
        <v>0</v>
      </c>
      <c r="G38" s="2">
        <f>SUM('Budget Detail FY 2014-21'!P504:P504)</f>
        <v>0</v>
      </c>
      <c r="H38" s="2">
        <f>SUM('Budget Detail FY 2014-21'!Q504:Q504)</f>
        <v>0</v>
      </c>
      <c r="I38" s="2">
        <f>SUM('Budget Detail FY 2014-21'!R504:R504)</f>
        <v>0</v>
      </c>
      <c r="J38" s="2">
        <f>SUM('Budget Detail FY 2014-21'!S504:S504)</f>
        <v>0</v>
      </c>
      <c r="K38" s="2">
        <f>SUM('Budget Detail FY 2014-21'!T504:T504)</f>
        <v>0</v>
      </c>
    </row>
    <row r="39" spans="1:11" ht="20.100000000000001" customHeight="1" thickBot="1">
      <c r="A39" s="125"/>
      <c r="B39" s="127" t="s">
        <v>976</v>
      </c>
      <c r="C39" s="141">
        <f>SUM(C35:C38)</f>
        <v>65326</v>
      </c>
      <c r="D39" s="141">
        <f t="shared" ref="D39:K39" si="3">SUM(D35:D38)</f>
        <v>118459</v>
      </c>
      <c r="E39" s="141">
        <f t="shared" si="3"/>
        <v>130148</v>
      </c>
      <c r="F39" s="141">
        <f t="shared" si="3"/>
        <v>126364</v>
      </c>
      <c r="G39" s="141">
        <f t="shared" si="3"/>
        <v>2219</v>
      </c>
      <c r="H39" s="141">
        <f t="shared" si="3"/>
        <v>2219</v>
      </c>
      <c r="I39" s="141">
        <f t="shared" si="3"/>
        <v>2219</v>
      </c>
      <c r="J39" s="141">
        <f t="shared" si="3"/>
        <v>2219</v>
      </c>
      <c r="K39" s="141">
        <f t="shared" si="3"/>
        <v>2219</v>
      </c>
    </row>
    <row r="40" spans="1:11" ht="7.5" customHeight="1">
      <c r="A40" s="125"/>
      <c r="B40" s="130"/>
      <c r="C40" s="4"/>
      <c r="D40" s="4"/>
      <c r="E40" s="4"/>
      <c r="F40" s="4"/>
      <c r="G40" s="4"/>
      <c r="H40" s="4"/>
      <c r="I40" s="4"/>
      <c r="J40" s="4"/>
      <c r="K40" s="4"/>
    </row>
    <row r="41" spans="1:11" ht="20.100000000000001" customHeight="1" thickBot="1">
      <c r="A41" s="125"/>
      <c r="B41" s="127" t="s">
        <v>782</v>
      </c>
      <c r="C41" s="124">
        <f t="shared" ref="C41:K41" si="4">C25+C32+C39</f>
        <v>333269</v>
      </c>
      <c r="D41" s="124">
        <f t="shared" si="4"/>
        <v>513177</v>
      </c>
      <c r="E41" s="124">
        <f t="shared" si="4"/>
        <v>616130</v>
      </c>
      <c r="F41" s="124">
        <f t="shared" si="4"/>
        <v>581775</v>
      </c>
      <c r="G41" s="124">
        <f t="shared" si="4"/>
        <v>193617</v>
      </c>
      <c r="H41" s="124">
        <f t="shared" si="4"/>
        <v>193617</v>
      </c>
      <c r="I41" s="124">
        <f t="shared" si="4"/>
        <v>193617</v>
      </c>
      <c r="J41" s="124">
        <f t="shared" si="4"/>
        <v>193617</v>
      </c>
      <c r="K41" s="124">
        <f t="shared" si="4"/>
        <v>193617</v>
      </c>
    </row>
    <row r="42" spans="1:11" ht="7.5" customHeight="1">
      <c r="A42" s="125"/>
      <c r="B42" s="130"/>
      <c r="C42" s="4"/>
      <c r="D42" s="4"/>
      <c r="E42" s="4"/>
      <c r="F42" s="4"/>
      <c r="G42" s="4"/>
      <c r="H42" s="4"/>
      <c r="I42" s="4"/>
      <c r="J42" s="4"/>
      <c r="K42" s="4"/>
    </row>
    <row r="43" spans="1:11" ht="20.100000000000001" customHeight="1">
      <c r="A43" s="125"/>
      <c r="B43" s="441" t="s">
        <v>783</v>
      </c>
      <c r="C43" s="3">
        <f t="shared" ref="C43:K43" si="5">C20-C41</f>
        <v>-27842</v>
      </c>
      <c r="D43" s="3">
        <f t="shared" si="5"/>
        <v>-42168</v>
      </c>
      <c r="E43" s="3">
        <f t="shared" si="5"/>
        <v>-143792</v>
      </c>
      <c r="F43" s="3">
        <f t="shared" si="5"/>
        <v>-52843</v>
      </c>
      <c r="G43" s="3">
        <f t="shared" si="5"/>
        <v>-52734</v>
      </c>
      <c r="H43" s="3">
        <f t="shared" si="5"/>
        <v>106</v>
      </c>
      <c r="I43" s="3">
        <f t="shared" si="5"/>
        <v>106</v>
      </c>
      <c r="J43" s="3">
        <f t="shared" si="5"/>
        <v>106</v>
      </c>
      <c r="K43" s="3">
        <f t="shared" si="5"/>
        <v>106</v>
      </c>
    </row>
    <row r="44" spans="1:11" ht="7.5" customHeight="1">
      <c r="A44" s="125"/>
      <c r="B44" s="139"/>
      <c r="C44" s="108"/>
      <c r="D44" s="108"/>
      <c r="E44" s="108"/>
      <c r="F44" s="108"/>
      <c r="G44" s="108"/>
      <c r="H44" s="108"/>
      <c r="I44" s="108"/>
      <c r="J44" s="108"/>
      <c r="K44" s="108"/>
    </row>
    <row r="45" spans="1:11" ht="15">
      <c r="A45" s="125"/>
      <c r="B45" s="140" t="s">
        <v>973</v>
      </c>
      <c r="C45" s="95">
        <v>39371</v>
      </c>
      <c r="D45" s="95">
        <v>0</v>
      </c>
      <c r="E45" s="95">
        <f>'Budget Detail FY 2014-21'!N511</f>
        <v>0</v>
      </c>
      <c r="F45" s="95">
        <f>'Budget Detail FY 2014-21'!O511</f>
        <v>0</v>
      </c>
      <c r="G45" s="95">
        <f>'Budget Detail FY 2014-21'!P511</f>
        <v>0</v>
      </c>
      <c r="H45" s="95">
        <f>'Budget Detail FY 2014-21'!Q511</f>
        <v>0</v>
      </c>
      <c r="I45" s="95">
        <f>'Budget Detail FY 2014-21'!R511</f>
        <v>0</v>
      </c>
      <c r="J45" s="95">
        <f>'Budget Detail FY 2014-21'!S511</f>
        <v>0</v>
      </c>
      <c r="K45" s="95">
        <f>'Budget Detail FY 2014-21'!T511</f>
        <v>0</v>
      </c>
    </row>
    <row r="46" spans="1:11" ht="7.5" customHeight="1">
      <c r="A46" s="125"/>
      <c r="B46" s="140"/>
      <c r="C46" s="95"/>
      <c r="D46" s="95"/>
      <c r="E46" s="95"/>
      <c r="F46" s="95"/>
      <c r="G46" s="95"/>
      <c r="H46" s="95"/>
      <c r="I46" s="95"/>
      <c r="J46" s="95"/>
      <c r="K46" s="95"/>
    </row>
    <row r="47" spans="1:11" ht="15">
      <c r="A47" s="125"/>
      <c r="B47" s="140" t="s">
        <v>974</v>
      </c>
      <c r="C47" s="95">
        <f>'Budget Detail FY 2014-21'!L513</f>
        <v>74302</v>
      </c>
      <c r="D47" s="95">
        <v>-20106</v>
      </c>
      <c r="E47" s="95">
        <f>'Budget Detail FY 2014-21'!N513</f>
        <v>0</v>
      </c>
      <c r="F47" s="95">
        <f>'Budget Detail FY 2014-21'!O513</f>
        <v>51565</v>
      </c>
      <c r="G47" s="95">
        <f>'Budget Detail FY 2014-21'!P513</f>
        <v>0</v>
      </c>
      <c r="H47" s="95">
        <f>'Budget Detail FY 2014-21'!Q513</f>
        <v>0</v>
      </c>
      <c r="I47" s="95">
        <f>'Budget Detail FY 2014-21'!R513</f>
        <v>0</v>
      </c>
      <c r="J47" s="95">
        <f>'Budget Detail FY 2014-21'!S513</f>
        <v>0</v>
      </c>
      <c r="K47" s="95">
        <f>'Budget Detail FY 2014-21'!T513</f>
        <v>0</v>
      </c>
    </row>
    <row r="48" spans="1:11" ht="7.5" customHeight="1">
      <c r="A48" s="125"/>
      <c r="B48" s="140"/>
      <c r="C48" s="95"/>
      <c r="D48" s="95"/>
      <c r="E48" s="95"/>
      <c r="F48" s="95"/>
      <c r="G48" s="95"/>
      <c r="H48" s="95"/>
      <c r="I48" s="95"/>
      <c r="J48" s="95"/>
      <c r="K48" s="95"/>
    </row>
    <row r="49" spans="1:11" ht="15">
      <c r="A49" s="125"/>
      <c r="B49" s="140" t="s">
        <v>1136</v>
      </c>
      <c r="C49" s="95">
        <v>34073</v>
      </c>
      <c r="D49" s="95">
        <v>125683</v>
      </c>
      <c r="E49" s="95">
        <f>'Budget Detail FY 2014-21'!N515</f>
        <v>-1224</v>
      </c>
      <c r="F49" s="95">
        <f>'Budget Detail FY 2014-21'!O515</f>
        <v>1169</v>
      </c>
      <c r="G49" s="95">
        <f>'Budget Detail FY 2014-21'!P515</f>
        <v>0</v>
      </c>
      <c r="H49" s="95">
        <f>'Budget Detail FY 2014-21'!Q515</f>
        <v>106</v>
      </c>
      <c r="I49" s="95">
        <f>'Budget Detail FY 2014-21'!R515</f>
        <v>212</v>
      </c>
      <c r="J49" s="95">
        <f>'Budget Detail FY 2014-21'!S515</f>
        <v>318</v>
      </c>
      <c r="K49" s="95">
        <f>'Budget Detail FY 2014-21'!T515</f>
        <v>424</v>
      </c>
    </row>
    <row r="50" spans="1:11" ht="7.5" customHeight="1">
      <c r="A50" s="125"/>
      <c r="B50" s="140"/>
      <c r="C50" s="95"/>
      <c r="D50" s="95"/>
      <c r="E50" s="95"/>
      <c r="F50" s="95"/>
      <c r="G50" s="95"/>
      <c r="H50" s="95"/>
      <c r="I50" s="95"/>
      <c r="J50" s="95"/>
      <c r="K50" s="95"/>
    </row>
    <row r="51" spans="1:11" ht="15" thickBot="1">
      <c r="A51" s="125"/>
      <c r="B51" s="126" t="s">
        <v>784</v>
      </c>
      <c r="C51" s="81">
        <v>147746</v>
      </c>
      <c r="D51" s="81">
        <v>105577</v>
      </c>
      <c r="E51" s="81">
        <v>-1224</v>
      </c>
      <c r="F51" s="81">
        <f>D51+F43</f>
        <v>52734</v>
      </c>
      <c r="G51" s="81">
        <f>F51+G43</f>
        <v>0</v>
      </c>
      <c r="H51" s="81">
        <f>G51+H43</f>
        <v>106</v>
      </c>
      <c r="I51" s="81">
        <f>H51+I43</f>
        <v>212</v>
      </c>
      <c r="J51" s="81">
        <f>I51+J43</f>
        <v>318</v>
      </c>
      <c r="K51" s="81">
        <f>J51+K43</f>
        <v>424</v>
      </c>
    </row>
    <row r="52" spans="1:11" ht="7.5" customHeight="1" thickTop="1">
      <c r="A52" s="125"/>
      <c r="B52" s="132"/>
      <c r="C52" s="3"/>
      <c r="D52" s="3"/>
      <c r="E52" s="3"/>
      <c r="F52" s="2"/>
      <c r="G52" s="2"/>
      <c r="H52" s="2"/>
      <c r="I52" s="2"/>
      <c r="J52" s="2"/>
      <c r="K52" s="2"/>
    </row>
    <row r="53" spans="1:11" ht="15">
      <c r="A53" s="125"/>
      <c r="B53" s="132"/>
      <c r="C53" s="2"/>
      <c r="D53" s="2"/>
      <c r="E53" s="2"/>
      <c r="F53" s="2"/>
      <c r="G53" s="2"/>
      <c r="H53" s="2"/>
      <c r="I53" s="2"/>
      <c r="J53" s="2"/>
      <c r="K53" s="2"/>
    </row>
    <row r="54" spans="1:11" ht="15">
      <c r="A54" s="125"/>
      <c r="B54" s="1"/>
      <c r="C54" s="2"/>
      <c r="D54" s="2"/>
      <c r="E54" s="2"/>
      <c r="F54" s="2"/>
      <c r="G54" s="2"/>
      <c r="H54" s="2"/>
      <c r="I54" s="2"/>
      <c r="J54" s="2"/>
      <c r="K54" s="2"/>
    </row>
    <row r="55" spans="1:11" ht="15">
      <c r="A55" s="125"/>
      <c r="B55" s="1"/>
      <c r="C55" s="2"/>
      <c r="D55" s="2"/>
      <c r="E55" s="2"/>
      <c r="F55" s="2"/>
      <c r="G55" s="2"/>
      <c r="H55" s="2"/>
      <c r="I55" s="2"/>
      <c r="J55" s="2"/>
      <c r="K55" s="2"/>
    </row>
    <row r="56" spans="1:11" ht="15">
      <c r="A56" s="125"/>
      <c r="B56" s="1"/>
      <c r="C56" s="2"/>
      <c r="D56" s="2"/>
      <c r="E56" s="2"/>
      <c r="F56" s="2"/>
      <c r="G56" s="2"/>
      <c r="H56" s="2"/>
      <c r="I56" s="2"/>
      <c r="J56" s="2"/>
      <c r="K56" s="2"/>
    </row>
    <row r="57" spans="1:11" ht="15">
      <c r="A57" s="125"/>
      <c r="B57" s="1"/>
      <c r="C57" s="2"/>
      <c r="D57" s="2"/>
      <c r="E57" s="2"/>
      <c r="F57" s="2"/>
      <c r="G57" s="2"/>
      <c r="H57" s="2"/>
      <c r="I57" s="2"/>
      <c r="J57" s="2"/>
      <c r="K57" s="2"/>
    </row>
    <row r="58" spans="1:11" s="122" customFormat="1" ht="15">
      <c r="A58" s="125"/>
      <c r="B58" s="1"/>
      <c r="C58" s="2"/>
      <c r="D58" s="2"/>
      <c r="E58" s="2"/>
      <c r="F58" s="2"/>
      <c r="G58" s="2"/>
      <c r="H58" s="2"/>
      <c r="I58" s="2"/>
      <c r="J58" s="2"/>
      <c r="K58" s="2"/>
    </row>
    <row r="59" spans="1:11" s="122" customFormat="1" ht="15">
      <c r="A59" s="125"/>
      <c r="B59" s="1"/>
      <c r="C59" s="2"/>
      <c r="D59" s="2"/>
      <c r="E59" s="2"/>
      <c r="F59" s="2"/>
      <c r="G59" s="2"/>
      <c r="H59" s="2"/>
      <c r="I59" s="2"/>
      <c r="J59" s="2"/>
      <c r="K59" s="2"/>
    </row>
    <row r="60" spans="1:11" s="122" customFormat="1" ht="15">
      <c r="A60" s="125"/>
      <c r="B60" s="1"/>
      <c r="C60" s="2"/>
      <c r="D60" s="2"/>
      <c r="E60" s="2"/>
      <c r="F60" s="2"/>
      <c r="G60" s="2"/>
      <c r="H60" s="2"/>
      <c r="I60" s="2"/>
      <c r="J60" s="2"/>
      <c r="K60" s="2"/>
    </row>
    <row r="61" spans="1:11" s="122" customFormat="1" ht="15">
      <c r="A61" s="125"/>
      <c r="B61" s="1"/>
      <c r="C61" s="2"/>
      <c r="D61" s="2"/>
      <c r="E61" s="2"/>
      <c r="F61" s="2"/>
      <c r="G61" s="2"/>
      <c r="H61" s="2"/>
      <c r="I61" s="2"/>
      <c r="J61" s="2"/>
      <c r="K61" s="2"/>
    </row>
    <row r="62" spans="1:11" s="122" customFormat="1" ht="15">
      <c r="A62" s="125"/>
      <c r="B62" s="1"/>
      <c r="C62" s="2"/>
      <c r="D62" s="2"/>
      <c r="E62" s="2"/>
      <c r="F62" s="2"/>
      <c r="G62" s="2"/>
      <c r="H62" s="2"/>
      <c r="I62" s="2"/>
      <c r="J62" s="2"/>
      <c r="K62" s="2"/>
    </row>
    <row r="63" spans="1:11" s="122" customFormat="1" ht="15">
      <c r="A63" s="125"/>
      <c r="B63" s="1"/>
      <c r="C63" s="2"/>
      <c r="D63" s="2"/>
      <c r="E63" s="2"/>
      <c r="F63" s="2"/>
      <c r="G63" s="2"/>
      <c r="H63" s="2"/>
      <c r="I63" s="2"/>
      <c r="J63" s="2"/>
      <c r="K63" s="2"/>
    </row>
    <row r="64" spans="1:11" s="122" customFormat="1">
      <c r="A64" s="125"/>
      <c r="B64" s="125"/>
      <c r="C64" s="134"/>
      <c r="D64" s="134"/>
      <c r="E64" s="135"/>
      <c r="F64" s="135"/>
      <c r="G64" s="135"/>
      <c r="H64" s="135"/>
      <c r="I64" s="135"/>
      <c r="J64" s="135"/>
      <c r="K64" s="135"/>
    </row>
  </sheetData>
  <mergeCells count="2">
    <mergeCell ref="B1:K1"/>
    <mergeCell ref="B3:K6"/>
  </mergeCells>
  <printOptions horizontalCentered="1"/>
  <pageMargins left="0" right="0" top="0.5" bottom="0" header="0" footer="0"/>
  <pageSetup scale="70" orientation="portrait" r:id="rId1"/>
  <rowBreaks count="1" manualBreakCount="1">
    <brk id="63" max="16383" man="1"/>
  </rowBreaks>
  <drawing r:id="rId2"/>
</worksheet>
</file>

<file path=xl/worksheets/sheet7.xml><?xml version="1.0" encoding="utf-8"?>
<worksheet xmlns="http://schemas.openxmlformats.org/spreadsheetml/2006/main" xmlns:r="http://schemas.openxmlformats.org/officeDocument/2006/relationships">
  <dimension ref="A1:AJ917"/>
  <sheetViews>
    <sheetView zoomScale="85" zoomScaleNormal="85" zoomScaleSheetLayoutView="100" workbookViewId="0">
      <selection activeCell="S11" sqref="S11"/>
    </sheetView>
  </sheetViews>
  <sheetFormatPr defaultRowHeight="15"/>
  <cols>
    <col min="1" max="1" width="3.7109375" style="484" customWidth="1"/>
    <col min="2" max="2" width="33" style="484" customWidth="1"/>
    <col min="3" max="4" width="12.7109375" style="491" customWidth="1"/>
    <col min="5" max="11" width="12.7109375" style="492" customWidth="1"/>
    <col min="12" max="12" width="9.140625" style="484"/>
    <col min="13" max="13" width="27.85546875" style="484" customWidth="1"/>
    <col min="14" max="14" width="11.85546875" style="484" customWidth="1"/>
    <col min="15" max="24" width="9.140625" style="484"/>
    <col min="25" max="25" width="11.5703125" style="484" customWidth="1"/>
    <col min="26" max="34" width="12.7109375" style="484" customWidth="1"/>
    <col min="35" max="16384" width="9.140625" style="484"/>
  </cols>
  <sheetData>
    <row r="1" spans="1:36">
      <c r="A1" s="1"/>
      <c r="B1" s="764" t="s">
        <v>761</v>
      </c>
      <c r="C1" s="764"/>
      <c r="D1" s="764"/>
      <c r="E1" s="764"/>
      <c r="F1" s="764"/>
      <c r="G1" s="764"/>
      <c r="H1" s="764"/>
      <c r="I1" s="764"/>
      <c r="J1" s="764"/>
      <c r="K1" s="764"/>
      <c r="M1" s="486" t="s">
        <v>763</v>
      </c>
    </row>
    <row r="2" spans="1:36" ht="7.5" customHeight="1">
      <c r="A2" s="1"/>
      <c r="B2" s="65"/>
      <c r="C2" s="3"/>
      <c r="D2" s="2"/>
      <c r="E2" s="2"/>
      <c r="F2" s="2"/>
      <c r="G2" s="2"/>
      <c r="H2" s="2"/>
      <c r="I2" s="2"/>
      <c r="J2" s="2"/>
      <c r="K2" s="2"/>
    </row>
    <row r="3" spans="1:36" ht="15" customHeight="1">
      <c r="A3" s="1"/>
      <c r="B3" s="761" t="s">
        <v>762</v>
      </c>
      <c r="C3" s="761"/>
      <c r="D3" s="761"/>
      <c r="E3" s="761"/>
      <c r="F3" s="761"/>
      <c r="G3" s="761"/>
      <c r="H3" s="761"/>
      <c r="I3" s="761"/>
      <c r="J3" s="761"/>
      <c r="K3" s="761"/>
    </row>
    <row r="4" spans="1:36">
      <c r="A4" s="1"/>
      <c r="B4" s="761"/>
      <c r="C4" s="761"/>
      <c r="D4" s="761"/>
      <c r="E4" s="761"/>
      <c r="F4" s="761"/>
      <c r="G4" s="761"/>
      <c r="H4" s="761"/>
      <c r="I4" s="761"/>
      <c r="J4" s="761"/>
      <c r="K4" s="761"/>
      <c r="W4" s="715"/>
      <c r="X4" s="715"/>
      <c r="Y4" s="715"/>
      <c r="Z4" s="715"/>
      <c r="AA4" s="715"/>
      <c r="AB4" s="715"/>
      <c r="AC4" s="715"/>
      <c r="AD4" s="715"/>
      <c r="AE4" s="715"/>
      <c r="AF4" s="715"/>
      <c r="AG4" s="715"/>
      <c r="AH4" s="715"/>
      <c r="AI4" s="715"/>
      <c r="AJ4" s="715"/>
    </row>
    <row r="5" spans="1:36" ht="7.5" customHeight="1">
      <c r="A5" s="1"/>
      <c r="B5" s="481"/>
      <c r="C5" s="22"/>
      <c r="D5" s="22"/>
      <c r="E5" s="22"/>
      <c r="F5" s="22"/>
      <c r="G5" s="22"/>
      <c r="H5" s="2"/>
      <c r="I5" s="2"/>
      <c r="J5" s="2"/>
      <c r="K5" s="2"/>
      <c r="W5" s="715"/>
      <c r="X5" s="715"/>
      <c r="Y5" s="715"/>
      <c r="Z5" s="715"/>
      <c r="AA5" s="715"/>
      <c r="AB5" s="715"/>
      <c r="AC5" s="715"/>
      <c r="AD5" s="715"/>
      <c r="AE5" s="715"/>
      <c r="AF5" s="715"/>
      <c r="AG5" s="715"/>
      <c r="AH5" s="715"/>
      <c r="AI5" s="715"/>
      <c r="AJ5" s="715"/>
    </row>
    <row r="6" spans="1:36">
      <c r="A6" s="1"/>
      <c r="B6" s="5"/>
      <c r="C6" s="65"/>
      <c r="D6" s="66"/>
      <c r="E6" s="65" t="s">
        <v>257</v>
      </c>
      <c r="F6" s="1"/>
      <c r="G6" s="1"/>
      <c r="H6" s="1"/>
      <c r="I6" s="1"/>
      <c r="J6" s="1"/>
      <c r="K6" s="1"/>
      <c r="W6" s="715"/>
      <c r="X6" s="715"/>
      <c r="Y6" s="715"/>
      <c r="Z6" s="715"/>
      <c r="AA6" s="715"/>
      <c r="AB6" s="715"/>
      <c r="AC6" s="715"/>
      <c r="AD6" s="715"/>
      <c r="AE6" s="715"/>
      <c r="AF6" s="715"/>
      <c r="AG6" s="715"/>
      <c r="AH6" s="715"/>
      <c r="AI6" s="715"/>
      <c r="AJ6" s="715"/>
    </row>
    <row r="7" spans="1:36">
      <c r="A7" s="1"/>
      <c r="B7" s="66"/>
      <c r="C7" s="65" t="s">
        <v>249</v>
      </c>
      <c r="D7" s="49" t="s">
        <v>256</v>
      </c>
      <c r="E7" s="66" t="s">
        <v>763</v>
      </c>
      <c r="F7" s="66" t="s">
        <v>257</v>
      </c>
      <c r="G7" s="66" t="s">
        <v>258</v>
      </c>
      <c r="H7" s="66" t="s">
        <v>926</v>
      </c>
      <c r="I7" s="66" t="s">
        <v>1026</v>
      </c>
      <c r="J7" s="66" t="s">
        <v>1060</v>
      </c>
      <c r="K7" s="66" t="s">
        <v>1061</v>
      </c>
      <c r="W7" s="715"/>
      <c r="X7" s="715"/>
      <c r="Y7" s="715"/>
      <c r="Z7" s="715"/>
      <c r="AA7" s="715"/>
      <c r="AB7" s="715"/>
      <c r="AC7" s="715"/>
      <c r="AD7" s="715"/>
      <c r="AE7" s="715"/>
      <c r="AF7" s="715"/>
      <c r="AG7" s="715"/>
      <c r="AH7" s="715"/>
      <c r="AI7" s="715"/>
      <c r="AJ7" s="715"/>
    </row>
    <row r="8" spans="1:36" ht="15.75" thickBot="1">
      <c r="A8" s="1"/>
      <c r="B8" s="136"/>
      <c r="C8" s="68" t="s">
        <v>1</v>
      </c>
      <c r="D8" s="68" t="s">
        <v>1</v>
      </c>
      <c r="E8" s="68" t="s">
        <v>720</v>
      </c>
      <c r="F8" s="68" t="s">
        <v>19</v>
      </c>
      <c r="G8" s="68" t="str">
        <f>$M$1</f>
        <v>Adopted</v>
      </c>
      <c r="H8" s="68" t="s">
        <v>19</v>
      </c>
      <c r="I8" s="68" t="s">
        <v>19</v>
      </c>
      <c r="J8" s="68" t="s">
        <v>19</v>
      </c>
      <c r="K8" s="68" t="s">
        <v>19</v>
      </c>
      <c r="N8" s="66"/>
      <c r="W8" s="715"/>
      <c r="X8" s="715"/>
      <c r="Y8" s="715"/>
      <c r="Z8" s="70"/>
      <c r="AA8" s="70"/>
      <c r="AB8" s="70"/>
      <c r="AC8" s="70"/>
      <c r="AD8" s="70"/>
      <c r="AE8" s="70"/>
      <c r="AF8" s="70"/>
      <c r="AG8" s="70"/>
      <c r="AH8" s="70"/>
      <c r="AI8" s="715"/>
      <c r="AJ8" s="715"/>
    </row>
    <row r="9" spans="1:36">
      <c r="A9" s="1"/>
      <c r="B9" s="64"/>
      <c r="C9" s="137"/>
      <c r="D9" s="2"/>
      <c r="E9" s="2"/>
      <c r="F9" s="2"/>
      <c r="G9" s="2"/>
      <c r="H9" s="2"/>
      <c r="I9" s="2"/>
      <c r="J9" s="2"/>
      <c r="K9" s="2"/>
      <c r="N9" s="570"/>
      <c r="W9" s="715"/>
      <c r="X9" s="715"/>
      <c r="Y9" s="715"/>
      <c r="Z9" s="70"/>
      <c r="AA9" s="70"/>
      <c r="AB9" s="70"/>
      <c r="AC9" s="70"/>
      <c r="AD9" s="70"/>
      <c r="AE9" s="70"/>
      <c r="AF9" s="70"/>
      <c r="AG9" s="70"/>
      <c r="AH9" s="70"/>
      <c r="AI9" s="715"/>
      <c r="AJ9" s="715"/>
    </row>
    <row r="10" spans="1:36">
      <c r="A10" s="1"/>
      <c r="B10" s="128" t="s">
        <v>764</v>
      </c>
      <c r="C10" s="2"/>
      <c r="D10" s="2"/>
      <c r="E10" s="2"/>
      <c r="F10" s="2"/>
      <c r="G10" s="2"/>
      <c r="H10" s="2"/>
      <c r="I10" s="2"/>
      <c r="J10" s="2"/>
      <c r="K10" s="2"/>
      <c r="W10" s="715"/>
      <c r="X10" s="715"/>
      <c r="Y10" s="715"/>
      <c r="Z10" s="715"/>
      <c r="AA10" s="715"/>
      <c r="AB10" s="715"/>
      <c r="AC10" s="715"/>
      <c r="AD10" s="715"/>
      <c r="AE10" s="715"/>
      <c r="AF10" s="715"/>
      <c r="AG10" s="715"/>
      <c r="AH10" s="715"/>
      <c r="AI10" s="715"/>
      <c r="AJ10" s="715"/>
    </row>
    <row r="11" spans="1:36" ht="20.100000000000001" customHeight="1">
      <c r="A11" s="1"/>
      <c r="B11" s="437" t="s">
        <v>765</v>
      </c>
      <c r="C11" s="2">
        <f>SUM('Budget Detail FY 2014-21'!L9:L25)</f>
        <v>9607999</v>
      </c>
      <c r="D11" s="2">
        <f>SUM('Budget Detail FY 2014-21'!M9:M25)</f>
        <v>10052792</v>
      </c>
      <c r="E11" s="2">
        <f>SUM('Budget Detail FY 2014-21'!N9:N25)</f>
        <v>10229937</v>
      </c>
      <c r="F11" s="2">
        <f>SUM('Budget Detail FY 2014-21'!O9:O25)</f>
        <v>10229475</v>
      </c>
      <c r="G11" s="2">
        <f>SUM('Budget Detail FY 2014-21'!P9:P25)</f>
        <v>10384836</v>
      </c>
      <c r="H11" s="2">
        <f>SUM('Budget Detail FY 2014-21'!Q9:Q25)</f>
        <v>10585524</v>
      </c>
      <c r="I11" s="2">
        <f>SUM('Budget Detail FY 2014-21'!R9:R25)</f>
        <v>10789227</v>
      </c>
      <c r="J11" s="2">
        <f>SUM('Budget Detail FY 2014-21'!S9:S25)</f>
        <v>10996003</v>
      </c>
      <c r="K11" s="2">
        <f>SUM('Budget Detail FY 2014-21'!T9:T25)</f>
        <v>11205915</v>
      </c>
      <c r="M11" s="437"/>
      <c r="N11" s="485"/>
      <c r="O11" s="689"/>
      <c r="W11" s="715"/>
      <c r="X11" s="716"/>
      <c r="Y11" s="717"/>
      <c r="Z11" s="718"/>
      <c r="AA11" s="719"/>
      <c r="AB11" s="718"/>
      <c r="AC11" s="719"/>
      <c r="AD11" s="718"/>
      <c r="AE11" s="719"/>
      <c r="AF11" s="718"/>
      <c r="AG11" s="719"/>
      <c r="AH11" s="718"/>
      <c r="AI11" s="719"/>
      <c r="AJ11" s="715"/>
    </row>
    <row r="12" spans="1:36" ht="20.100000000000001" customHeight="1">
      <c r="A12" s="1"/>
      <c r="B12" s="437" t="s">
        <v>766</v>
      </c>
      <c r="C12" s="2">
        <f>SUM('Budget Detail FY 2014-21'!L26:L33)</f>
        <v>2120327</v>
      </c>
      <c r="D12" s="2">
        <f>SUM('Budget Detail FY 2014-21'!M26:M33)</f>
        <v>2295134</v>
      </c>
      <c r="E12" s="2">
        <f>SUM('Budget Detail FY 2014-21'!N26:N33)</f>
        <v>2178100</v>
      </c>
      <c r="F12" s="2">
        <f>SUM('Budget Detail FY 2014-21'!O26:O33)</f>
        <v>2386728</v>
      </c>
      <c r="G12" s="2">
        <f>SUM('Budget Detail FY 2014-21'!P26:P33)</f>
        <v>2313586</v>
      </c>
      <c r="H12" s="2">
        <f>SUM('Budget Detail FY 2014-21'!Q26:Q33)</f>
        <v>2361058</v>
      </c>
      <c r="I12" s="2">
        <f>SUM('Budget Detail FY 2014-21'!R26:R33)</f>
        <v>2409379</v>
      </c>
      <c r="J12" s="2">
        <f>SUM('Budget Detail FY 2014-21'!S26:S33)</f>
        <v>2458566</v>
      </c>
      <c r="K12" s="2">
        <f>SUM('Budget Detail FY 2014-21'!T26:T33)</f>
        <v>2508638</v>
      </c>
      <c r="M12" s="437"/>
      <c r="N12" s="485"/>
      <c r="O12" s="689"/>
      <c r="W12" s="715"/>
      <c r="X12" s="716"/>
      <c r="Y12" s="715"/>
      <c r="Z12" s="718"/>
      <c r="AA12" s="719"/>
      <c r="AB12" s="718"/>
      <c r="AC12" s="719"/>
      <c r="AD12" s="718"/>
      <c r="AE12" s="719"/>
      <c r="AF12" s="718"/>
      <c r="AG12" s="719"/>
      <c r="AH12" s="718"/>
      <c r="AI12" s="719"/>
      <c r="AJ12" s="715"/>
    </row>
    <row r="13" spans="1:36" ht="20.100000000000001" customHeight="1">
      <c r="A13" s="1"/>
      <c r="B13" s="438" t="s">
        <v>767</v>
      </c>
      <c r="C13" s="2">
        <f>SUM('Budget Detail FY 2014-21'!L34:L36)</f>
        <v>168119</v>
      </c>
      <c r="D13" s="2">
        <f>SUM('Budget Detail FY 2014-21'!M34:M36)</f>
        <v>173126</v>
      </c>
      <c r="E13" s="2">
        <f>SUM('Budget Detail FY 2014-21'!N34:N36)</f>
        <v>198000</v>
      </c>
      <c r="F13" s="2">
        <f>SUM('Budget Detail FY 2014-21'!O34:O36)</f>
        <v>173000</v>
      </c>
      <c r="G13" s="2">
        <f>SUM('Budget Detail FY 2014-21'!P34:P36)</f>
        <v>178000</v>
      </c>
      <c r="H13" s="2">
        <f>SUM('Budget Detail FY 2014-21'!Q34:Q36)</f>
        <v>223000</v>
      </c>
      <c r="I13" s="2">
        <f>SUM('Budget Detail FY 2014-21'!R34:R36)</f>
        <v>223000</v>
      </c>
      <c r="J13" s="2">
        <f>SUM('Budget Detail FY 2014-21'!S34:S36)</f>
        <v>223000</v>
      </c>
      <c r="K13" s="2">
        <f>SUM('Budget Detail FY 2014-21'!T34:T36)</f>
        <v>223000</v>
      </c>
      <c r="M13" s="438"/>
      <c r="N13" s="485"/>
      <c r="O13" s="689"/>
      <c r="W13" s="715"/>
      <c r="X13" s="720"/>
      <c r="Y13" s="715"/>
      <c r="Z13" s="718"/>
      <c r="AA13" s="719"/>
      <c r="AB13" s="718"/>
      <c r="AC13" s="719"/>
      <c r="AD13" s="718"/>
      <c r="AE13" s="719"/>
      <c r="AF13" s="718"/>
      <c r="AG13" s="719"/>
      <c r="AH13" s="718"/>
      <c r="AI13" s="719"/>
      <c r="AJ13" s="715"/>
    </row>
    <row r="14" spans="1:36" ht="20.100000000000001" customHeight="1">
      <c r="A14" s="1"/>
      <c r="B14" s="438" t="s">
        <v>768</v>
      </c>
      <c r="C14" s="2">
        <f>SUM('Budget Detail FY 2014-21'!L37:L40)</f>
        <v>173954</v>
      </c>
      <c r="D14" s="2">
        <f>SUM('Budget Detail FY 2014-21'!M37:M40)</f>
        <v>137252</v>
      </c>
      <c r="E14" s="2">
        <f>SUM('Budget Detail FY 2014-21'!N37:N40)</f>
        <v>160250</v>
      </c>
      <c r="F14" s="2">
        <f>SUM('Budget Detail FY 2014-21'!O37:O40)</f>
        <v>130225</v>
      </c>
      <c r="G14" s="2">
        <f>SUM('Budget Detail FY 2014-21'!P37:P40)</f>
        <v>130225</v>
      </c>
      <c r="H14" s="2">
        <f>SUM('Budget Detail FY 2014-21'!Q37:Q40)</f>
        <v>135225</v>
      </c>
      <c r="I14" s="2">
        <f>SUM('Budget Detail FY 2014-21'!R37:R40)</f>
        <v>135225</v>
      </c>
      <c r="J14" s="2">
        <f>SUM('Budget Detail FY 2014-21'!S37:S40)</f>
        <v>135225</v>
      </c>
      <c r="K14" s="2">
        <f>SUM('Budget Detail FY 2014-21'!T37:T40)</f>
        <v>135225</v>
      </c>
      <c r="M14" s="438"/>
      <c r="N14" s="485"/>
      <c r="O14" s="689"/>
      <c r="W14" s="715"/>
      <c r="X14" s="720"/>
      <c r="Y14" s="715"/>
      <c r="Z14" s="718"/>
      <c r="AA14" s="719"/>
      <c r="AB14" s="718"/>
      <c r="AC14" s="719"/>
      <c r="AD14" s="718"/>
      <c r="AE14" s="719"/>
      <c r="AF14" s="718"/>
      <c r="AG14" s="719"/>
      <c r="AH14" s="718"/>
      <c r="AI14" s="719"/>
      <c r="AJ14" s="715"/>
    </row>
    <row r="15" spans="1:36" ht="20.100000000000001" customHeight="1">
      <c r="A15" s="1"/>
      <c r="B15" s="438" t="s">
        <v>769</v>
      </c>
      <c r="C15" s="2">
        <f>SUM('Budget Detail FY 2014-21'!L41:L44)</f>
        <v>1175166</v>
      </c>
      <c r="D15" s="2">
        <f>SUM('Budget Detail FY 2014-21'!M41:M44)</f>
        <v>1290493</v>
      </c>
      <c r="E15" s="2">
        <f>SUM('Budget Detail FY 2014-21'!N41:N44)</f>
        <v>1319950</v>
      </c>
      <c r="F15" s="2">
        <f>SUM('Budget Detail FY 2014-21'!O41:O44)</f>
        <v>1388948</v>
      </c>
      <c r="G15" s="2">
        <f>SUM('Budget Detail FY 2014-21'!P41:P44)</f>
        <v>1423175</v>
      </c>
      <c r="H15" s="2">
        <f>SUM('Budget Detail FY 2014-21'!Q41:Q44)</f>
        <v>1460725</v>
      </c>
      <c r="I15" s="2">
        <f>SUM('Budget Detail FY 2014-21'!R41:R44)</f>
        <v>1499402</v>
      </c>
      <c r="J15" s="2">
        <f>SUM('Budget Detail FY 2014-21'!S41:S44)</f>
        <v>1539239</v>
      </c>
      <c r="K15" s="2">
        <f>SUM('Budget Detail FY 2014-21'!T41:T44)</f>
        <v>1580271</v>
      </c>
      <c r="M15" s="438"/>
      <c r="N15" s="485"/>
      <c r="O15" s="689"/>
      <c r="W15" s="715"/>
      <c r="X15" s="720"/>
      <c r="Y15" s="715"/>
      <c r="Z15" s="718"/>
      <c r="AA15" s="719"/>
      <c r="AB15" s="718"/>
      <c r="AC15" s="719"/>
      <c r="AD15" s="718"/>
      <c r="AE15" s="719"/>
      <c r="AF15" s="718"/>
      <c r="AG15" s="719"/>
      <c r="AH15" s="718"/>
      <c r="AI15" s="719"/>
      <c r="AJ15" s="715"/>
    </row>
    <row r="16" spans="1:36" ht="20.100000000000001" customHeight="1">
      <c r="A16" s="1"/>
      <c r="B16" s="438" t="s">
        <v>770</v>
      </c>
      <c r="C16" s="2">
        <f>'Budget Detail FY 2014-21'!L45+'Budget Detail FY 2014-21'!L46</f>
        <v>8792</v>
      </c>
      <c r="D16" s="2">
        <f>'Budget Detail FY 2014-21'!M45+'Budget Detail FY 2014-21'!M46</f>
        <v>8909</v>
      </c>
      <c r="E16" s="2">
        <f>'Budget Detail FY 2014-21'!N45+'Budget Detail FY 2014-21'!N46</f>
        <v>4000</v>
      </c>
      <c r="F16" s="2">
        <f>'Budget Detail FY 2014-21'!O45+'Budget Detail FY 2014-21'!O46</f>
        <v>5000</v>
      </c>
      <c r="G16" s="2">
        <f>'Budget Detail FY 2014-21'!P45+'Budget Detail FY 2014-21'!P46</f>
        <v>5000</v>
      </c>
      <c r="H16" s="2">
        <f>'Budget Detail FY 2014-21'!Q45+'Budget Detail FY 2014-21'!Q46</f>
        <v>3000</v>
      </c>
      <c r="I16" s="2">
        <f>'Budget Detail FY 2014-21'!R45+'Budget Detail FY 2014-21'!R46</f>
        <v>2000</v>
      </c>
      <c r="J16" s="2">
        <f>'Budget Detail FY 2014-21'!S45+'Budget Detail FY 2014-21'!S46</f>
        <v>2000</v>
      </c>
      <c r="K16" s="2">
        <f>'Budget Detail FY 2014-21'!T45+'Budget Detail FY 2014-21'!T46</f>
        <v>2000</v>
      </c>
      <c r="M16" s="438"/>
      <c r="N16" s="688"/>
      <c r="O16" s="691"/>
      <c r="W16" s="715"/>
      <c r="X16" s="720"/>
      <c r="Y16" s="715"/>
      <c r="Z16" s="721"/>
      <c r="AA16" s="719"/>
      <c r="AB16" s="721"/>
      <c r="AC16" s="719"/>
      <c r="AD16" s="721"/>
      <c r="AE16" s="719"/>
      <c r="AF16" s="721"/>
      <c r="AG16" s="719"/>
      <c r="AH16" s="721"/>
      <c r="AI16" s="719"/>
      <c r="AJ16" s="715"/>
    </row>
    <row r="17" spans="1:36" ht="20.100000000000001" customHeight="1">
      <c r="A17" s="1"/>
      <c r="B17" s="438" t="s">
        <v>771</v>
      </c>
      <c r="C17" s="2">
        <f>SUM('Budget Detail FY 2014-21'!L47:L52)</f>
        <v>168974</v>
      </c>
      <c r="D17" s="2">
        <f>SUM('Budget Detail FY 2014-21'!M47:M52)</f>
        <v>168182</v>
      </c>
      <c r="E17" s="2">
        <f>SUM('Budget Detail FY 2014-21'!N47:N52)</f>
        <v>80000</v>
      </c>
      <c r="F17" s="2">
        <f>SUM('Budget Detail FY 2014-21'!O47:O52)</f>
        <v>86000</v>
      </c>
      <c r="G17" s="2">
        <f>SUM('Budget Detail FY 2014-21'!P47:P52)</f>
        <v>55000</v>
      </c>
      <c r="H17" s="2">
        <f>SUM('Budget Detail FY 2014-21'!Q47:Q52)</f>
        <v>55000</v>
      </c>
      <c r="I17" s="2">
        <f>SUM('Budget Detail FY 2014-21'!R47:R52)</f>
        <v>55000</v>
      </c>
      <c r="J17" s="2">
        <f>SUM('Budget Detail FY 2014-21'!S47:S52)</f>
        <v>55000</v>
      </c>
      <c r="K17" s="2">
        <f>SUM('Budget Detail FY 2014-21'!T47:T52)</f>
        <v>55000</v>
      </c>
      <c r="W17" s="715"/>
      <c r="X17" s="715"/>
      <c r="Y17" s="715"/>
      <c r="Z17" s="718"/>
      <c r="AA17" s="718"/>
      <c r="AB17" s="718"/>
      <c r="AC17" s="718"/>
      <c r="AD17" s="718"/>
      <c r="AE17" s="718"/>
      <c r="AF17" s="718"/>
      <c r="AG17" s="718"/>
      <c r="AH17" s="718"/>
      <c r="AI17" s="715"/>
      <c r="AJ17" s="715"/>
    </row>
    <row r="18" spans="1:36" ht="20.100000000000001" customHeight="1">
      <c r="A18" s="1"/>
      <c r="B18" s="438" t="s">
        <v>772</v>
      </c>
      <c r="C18" s="2">
        <f>SUM('Budget Detail FY 2014-21'!L53:L55)</f>
        <v>19335</v>
      </c>
      <c r="D18" s="2">
        <f>SUM('Budget Detail FY 2014-21'!M53:M55)</f>
        <v>22813</v>
      </c>
      <c r="E18" s="2">
        <f>SUM('Budget Detail FY 2014-21'!N53:N55)</f>
        <v>22500</v>
      </c>
      <c r="F18" s="2">
        <f>SUM('Budget Detail FY 2014-21'!O53:O55)</f>
        <v>22000</v>
      </c>
      <c r="G18" s="2">
        <f>SUM('Budget Detail FY 2014-21'!P53:P55)</f>
        <v>24000</v>
      </c>
      <c r="H18" s="2">
        <f>SUM('Budget Detail FY 2014-21'!Q53:Q55)</f>
        <v>24000</v>
      </c>
      <c r="I18" s="2">
        <f>SUM('Budget Detail FY 2014-21'!R53:R55)</f>
        <v>24000</v>
      </c>
      <c r="J18" s="2">
        <f>SUM('Budget Detail FY 2014-21'!S53:S55)</f>
        <v>24000</v>
      </c>
      <c r="K18" s="2">
        <f>SUM('Budget Detail FY 2014-21'!T53:T55)</f>
        <v>24000</v>
      </c>
      <c r="M18" s="438"/>
      <c r="N18" s="485"/>
      <c r="O18" s="690"/>
      <c r="W18" s="715"/>
      <c r="X18" s="715"/>
      <c r="Y18" s="715"/>
      <c r="Z18" s="718"/>
      <c r="AA18" s="718"/>
      <c r="AB18" s="718"/>
      <c r="AC18" s="718"/>
      <c r="AD18" s="718"/>
      <c r="AE18" s="718"/>
      <c r="AF18" s="718"/>
      <c r="AG18" s="718"/>
      <c r="AH18" s="718"/>
      <c r="AI18" s="715"/>
      <c r="AJ18" s="715"/>
    </row>
    <row r="19" spans="1:36" ht="20.100000000000001" customHeight="1">
      <c r="A19" s="1"/>
      <c r="B19" s="438" t="s">
        <v>773</v>
      </c>
      <c r="C19" s="2">
        <f>SUM('Budget Detail FY 2014-21'!L56:L57)</f>
        <v>2479</v>
      </c>
      <c r="D19" s="2">
        <f>SUM('Budget Detail FY 2014-21'!M56:M57)</f>
        <v>2209</v>
      </c>
      <c r="E19" s="2">
        <f>SUM('Budget Detail FY 2014-21'!N56:N57)</f>
        <v>7900</v>
      </c>
      <c r="F19" s="2">
        <f>SUM('Budget Detail FY 2014-21'!O56:O57)</f>
        <v>5000</v>
      </c>
      <c r="G19" s="2">
        <f>SUM('Budget Detail FY 2014-21'!P56:P57)</f>
        <v>3000</v>
      </c>
      <c r="H19" s="2">
        <f>SUM('Budget Detail FY 2014-21'!Q56:Q57)</f>
        <v>3000</v>
      </c>
      <c r="I19" s="2">
        <f>SUM('Budget Detail FY 2014-21'!R56:R57)</f>
        <v>3000</v>
      </c>
      <c r="J19" s="2">
        <f>SUM('Budget Detail FY 2014-21'!S56:S57)</f>
        <v>3000</v>
      </c>
      <c r="K19" s="2">
        <f>SUM('Budget Detail FY 2014-21'!T56:T57)</f>
        <v>3000</v>
      </c>
      <c r="M19" s="438"/>
      <c r="N19" s="485"/>
      <c r="W19" s="715"/>
      <c r="X19" s="715"/>
      <c r="Y19" s="715"/>
      <c r="Z19" s="715"/>
      <c r="AA19" s="715"/>
      <c r="AB19" s="715"/>
      <c r="AC19" s="715"/>
      <c r="AD19" s="715"/>
      <c r="AE19" s="715"/>
      <c r="AF19" s="715"/>
      <c r="AG19" s="715"/>
      <c r="AH19" s="715"/>
      <c r="AI19" s="715"/>
      <c r="AJ19" s="715"/>
    </row>
    <row r="20" spans="1:36" ht="20.100000000000001" customHeight="1" thickBot="1">
      <c r="A20" s="1"/>
      <c r="B20" s="127" t="s">
        <v>774</v>
      </c>
      <c r="C20" s="124">
        <f>SUM(C11:C19)</f>
        <v>13445145</v>
      </c>
      <c r="D20" s="124">
        <f t="shared" ref="D20:J20" si="0">SUM(D11:D19)</f>
        <v>14150910</v>
      </c>
      <c r="E20" s="124">
        <f t="shared" si="0"/>
        <v>14200637</v>
      </c>
      <c r="F20" s="124">
        <f t="shared" si="0"/>
        <v>14426376</v>
      </c>
      <c r="G20" s="124">
        <f>SUM(G11:G19)</f>
        <v>14516822</v>
      </c>
      <c r="H20" s="124">
        <f t="shared" si="0"/>
        <v>14850532</v>
      </c>
      <c r="I20" s="124">
        <f t="shared" si="0"/>
        <v>15140233</v>
      </c>
      <c r="J20" s="124">
        <f t="shared" si="0"/>
        <v>15436033</v>
      </c>
      <c r="K20" s="124">
        <f>SUM(K11:K19)</f>
        <v>15737049</v>
      </c>
      <c r="W20" s="715"/>
      <c r="X20" s="715"/>
      <c r="Y20" s="715"/>
      <c r="Z20" s="715"/>
      <c r="AA20" s="715"/>
      <c r="AB20" s="715"/>
      <c r="AC20" s="715"/>
      <c r="AD20" s="715"/>
      <c r="AE20" s="715"/>
      <c r="AF20" s="715"/>
      <c r="AG20" s="715"/>
      <c r="AH20" s="715"/>
      <c r="AI20" s="715"/>
      <c r="AJ20" s="715"/>
    </row>
    <row r="21" spans="1:36">
      <c r="A21" s="1"/>
      <c r="B21" s="128" t="s">
        <v>548</v>
      </c>
      <c r="C21" s="2"/>
      <c r="D21" s="484"/>
      <c r="E21" s="484"/>
      <c r="F21" s="484"/>
      <c r="G21" s="484"/>
      <c r="H21" s="484"/>
      <c r="I21" s="484"/>
      <c r="J21" s="484"/>
      <c r="K21" s="484"/>
      <c r="W21" s="715"/>
      <c r="X21" s="715"/>
      <c r="Y21" s="715"/>
      <c r="Z21" s="715"/>
      <c r="AA21" s="715"/>
      <c r="AB21" s="715"/>
      <c r="AC21" s="715"/>
      <c r="AD21" s="715"/>
      <c r="AE21" s="715"/>
      <c r="AF21" s="715"/>
      <c r="AG21" s="715"/>
      <c r="AH21" s="715"/>
      <c r="AI21" s="715"/>
      <c r="AJ21" s="715"/>
    </row>
    <row r="22" spans="1:36" ht="20.100000000000001" customHeight="1">
      <c r="A22" s="1"/>
      <c r="B22" s="439" t="s">
        <v>775</v>
      </c>
      <c r="C22" s="2">
        <f>'Gen Fd Cover Sheets'!C12+'Gen Fd Cover Sheets'!C43+'Gen Fd Cover Sheets'!C71+'Gen Fd Cover Sheets'!C104+'Gen Fd Cover Sheets'!C132+'Gen Fd Cover Sheets'!C163</f>
        <v>3437661</v>
      </c>
      <c r="D22" s="2">
        <f>'Gen Fd Cover Sheets'!D12+'Gen Fd Cover Sheets'!D43+'Gen Fd Cover Sheets'!D71+'Gen Fd Cover Sheets'!D104+'Gen Fd Cover Sheets'!D132+'Gen Fd Cover Sheets'!D163</f>
        <v>3721840</v>
      </c>
      <c r="E22" s="2">
        <f>'Gen Fd Cover Sheets'!E12+'Gen Fd Cover Sheets'!E43+'Gen Fd Cover Sheets'!E71+'Gen Fd Cover Sheets'!E104+'Gen Fd Cover Sheets'!E132+'Gen Fd Cover Sheets'!E163</f>
        <v>4113253</v>
      </c>
      <c r="F22" s="2">
        <f>'Gen Fd Cover Sheets'!F12+'Gen Fd Cover Sheets'!F43+'Gen Fd Cover Sheets'!F71+'Gen Fd Cover Sheets'!F104+'Gen Fd Cover Sheets'!F132+'Gen Fd Cover Sheets'!F163</f>
        <v>4110082</v>
      </c>
      <c r="G22" s="2">
        <f>'Gen Fd Cover Sheets'!G12+'Gen Fd Cover Sheets'!G43+'Gen Fd Cover Sheets'!G71+'Gen Fd Cover Sheets'!G104+'Gen Fd Cover Sheets'!G132+'Gen Fd Cover Sheets'!G163</f>
        <v>4315553</v>
      </c>
      <c r="H22" s="2">
        <f>'Gen Fd Cover Sheets'!H12+'Gen Fd Cover Sheets'!H43+'Gen Fd Cover Sheets'!H71+'Gen Fd Cover Sheets'!H104+'Gen Fd Cover Sheets'!H132+'Gen Fd Cover Sheets'!H163</f>
        <v>4477044</v>
      </c>
      <c r="I22" s="2">
        <f>'Gen Fd Cover Sheets'!I12+'Gen Fd Cover Sheets'!I43+'Gen Fd Cover Sheets'!I71+'Gen Fd Cover Sheets'!I104+'Gen Fd Cover Sheets'!I132+'Gen Fd Cover Sheets'!I163</f>
        <v>4599713</v>
      </c>
      <c r="J22" s="2">
        <f>'Gen Fd Cover Sheets'!J12+'Gen Fd Cover Sheets'!J43+'Gen Fd Cover Sheets'!J71+'Gen Fd Cover Sheets'!J104+'Gen Fd Cover Sheets'!J132+'Gen Fd Cover Sheets'!J163</f>
        <v>4726061</v>
      </c>
      <c r="K22" s="2">
        <f>'Gen Fd Cover Sheets'!K12+'Gen Fd Cover Sheets'!K43+'Gen Fd Cover Sheets'!K71+'Gen Fd Cover Sheets'!K104+'Gen Fd Cover Sheets'!K132+'Gen Fd Cover Sheets'!K163</f>
        <v>4856200</v>
      </c>
      <c r="M22" s="439"/>
      <c r="N22" s="485"/>
      <c r="O22" s="689"/>
      <c r="W22" s="715"/>
      <c r="X22" s="701"/>
      <c r="Y22" s="715"/>
      <c r="Z22" s="718"/>
      <c r="AA22" s="719"/>
      <c r="AB22" s="718"/>
      <c r="AC22" s="719"/>
      <c r="AD22" s="718"/>
      <c r="AE22" s="719"/>
      <c r="AF22" s="718"/>
      <c r="AG22" s="719"/>
      <c r="AH22" s="718"/>
      <c r="AI22" s="719"/>
      <c r="AJ22" s="715"/>
    </row>
    <row r="23" spans="1:36" ht="20.100000000000001" customHeight="1">
      <c r="A23" s="1"/>
      <c r="B23" s="439" t="s">
        <v>776</v>
      </c>
      <c r="C23" s="2">
        <f>'Gen Fd Cover Sheets'!C13+'Gen Fd Cover Sheets'!C44+'Gen Fd Cover Sheets'!C72+'Gen Fd Cover Sheets'!C105+'Gen Fd Cover Sheets'!C133+'Gen Fd Cover Sheets'!C164</f>
        <v>2052895</v>
      </c>
      <c r="D23" s="2">
        <f>'Gen Fd Cover Sheets'!D13+'Gen Fd Cover Sheets'!D44+'Gen Fd Cover Sheets'!D72+'Gen Fd Cover Sheets'!D105+'Gen Fd Cover Sheets'!D133+'Gen Fd Cover Sheets'!D164</f>
        <v>2334546</v>
      </c>
      <c r="E23" s="2">
        <f>'Gen Fd Cover Sheets'!E13+'Gen Fd Cover Sheets'!E44+'Gen Fd Cover Sheets'!E72+'Gen Fd Cover Sheets'!E105+'Gen Fd Cover Sheets'!E133+'Gen Fd Cover Sheets'!E164</f>
        <v>2545610</v>
      </c>
      <c r="F23" s="2">
        <f>'Gen Fd Cover Sheets'!F13+'Gen Fd Cover Sheets'!F44+'Gen Fd Cover Sheets'!F72+'Gen Fd Cover Sheets'!F105+'Gen Fd Cover Sheets'!F133+'Gen Fd Cover Sheets'!F164</f>
        <v>2477220</v>
      </c>
      <c r="G23" s="2">
        <f>'Gen Fd Cover Sheets'!G13+'Gen Fd Cover Sheets'!G44+'Gen Fd Cover Sheets'!G72+'Gen Fd Cover Sheets'!G105+'Gen Fd Cover Sheets'!G133+'Gen Fd Cover Sheets'!G164</f>
        <v>2798284</v>
      </c>
      <c r="H23" s="2">
        <f>'Gen Fd Cover Sheets'!H13+'Gen Fd Cover Sheets'!H44+'Gen Fd Cover Sheets'!H72+'Gen Fd Cover Sheets'!H105+'Gen Fd Cover Sheets'!H133+'Gen Fd Cover Sheets'!H164</f>
        <v>2981592</v>
      </c>
      <c r="I23" s="2">
        <f>'Gen Fd Cover Sheets'!I13+'Gen Fd Cover Sheets'!I44+'Gen Fd Cover Sheets'!I72+'Gen Fd Cover Sheets'!I105+'Gen Fd Cover Sheets'!I133+'Gen Fd Cover Sheets'!I164</f>
        <v>3170576</v>
      </c>
      <c r="J23" s="2">
        <f>'Gen Fd Cover Sheets'!J13+'Gen Fd Cover Sheets'!J44+'Gen Fd Cover Sheets'!J72+'Gen Fd Cover Sheets'!J105+'Gen Fd Cover Sheets'!J133+'Gen Fd Cover Sheets'!J164</f>
        <v>3369578</v>
      </c>
      <c r="K23" s="2">
        <f>'Gen Fd Cover Sheets'!K13+'Gen Fd Cover Sheets'!K44+'Gen Fd Cover Sheets'!K72+'Gen Fd Cover Sheets'!K105+'Gen Fd Cover Sheets'!K133+'Gen Fd Cover Sheets'!K164</f>
        <v>3579176</v>
      </c>
      <c r="M23" s="439"/>
      <c r="N23" s="485"/>
      <c r="O23" s="689"/>
      <c r="W23" s="715"/>
      <c r="X23" s="701"/>
      <c r="Y23" s="715"/>
      <c r="Z23" s="718"/>
      <c r="AA23" s="719"/>
      <c r="AB23" s="718"/>
      <c r="AC23" s="719"/>
      <c r="AD23" s="718"/>
      <c r="AE23" s="719"/>
      <c r="AF23" s="718"/>
      <c r="AG23" s="719"/>
      <c r="AH23" s="718"/>
      <c r="AI23" s="719"/>
      <c r="AJ23" s="715"/>
    </row>
    <row r="24" spans="1:36" ht="20.100000000000001" customHeight="1">
      <c r="A24" s="1"/>
      <c r="B24" s="439" t="s">
        <v>777</v>
      </c>
      <c r="C24" s="2">
        <f>'Gen Fd Cover Sheets'!C14+'Gen Fd Cover Sheets'!C45+'Gen Fd Cover Sheets'!C73+'Gen Fd Cover Sheets'!C106+'Gen Fd Cover Sheets'!C134+'Gen Fd Cover Sheets'!C165</f>
        <v>4267482</v>
      </c>
      <c r="D24" s="2">
        <f>'Gen Fd Cover Sheets'!D14+'Gen Fd Cover Sheets'!D45+'Gen Fd Cover Sheets'!D73+'Gen Fd Cover Sheets'!D106+'Gen Fd Cover Sheets'!D134+'Gen Fd Cover Sheets'!D165</f>
        <v>4387516</v>
      </c>
      <c r="E24" s="2">
        <f>'Gen Fd Cover Sheets'!E14+'Gen Fd Cover Sheets'!E45+'Gen Fd Cover Sheets'!E73+'Gen Fd Cover Sheets'!E106+'Gen Fd Cover Sheets'!E134+'Gen Fd Cover Sheets'!E165</f>
        <v>4807155</v>
      </c>
      <c r="F24" s="2">
        <f>'Gen Fd Cover Sheets'!F14+'Gen Fd Cover Sheets'!F45+'Gen Fd Cover Sheets'!F73+'Gen Fd Cover Sheets'!F106+'Gen Fd Cover Sheets'!F134+'Gen Fd Cover Sheets'!F165</f>
        <v>4910053</v>
      </c>
      <c r="G24" s="2">
        <f>'Gen Fd Cover Sheets'!G14+'Gen Fd Cover Sheets'!G45+'Gen Fd Cover Sheets'!G73+'Gen Fd Cover Sheets'!G106+'Gen Fd Cover Sheets'!G134+'Gen Fd Cover Sheets'!G165</f>
        <v>4731040</v>
      </c>
      <c r="H24" s="2">
        <f>'Gen Fd Cover Sheets'!H14+'Gen Fd Cover Sheets'!H45+'Gen Fd Cover Sheets'!H73+'Gen Fd Cover Sheets'!H106+'Gen Fd Cover Sheets'!H134+'Gen Fd Cover Sheets'!H165</f>
        <v>4791526</v>
      </c>
      <c r="I24" s="2">
        <f>'Gen Fd Cover Sheets'!I14+'Gen Fd Cover Sheets'!I45+'Gen Fd Cover Sheets'!I73+'Gen Fd Cover Sheets'!I106+'Gen Fd Cover Sheets'!I134+'Gen Fd Cover Sheets'!I165</f>
        <v>4811157</v>
      </c>
      <c r="J24" s="2">
        <f>'Gen Fd Cover Sheets'!J14+'Gen Fd Cover Sheets'!J45+'Gen Fd Cover Sheets'!J73+'Gen Fd Cover Sheets'!J106+'Gen Fd Cover Sheets'!J134+'Gen Fd Cover Sheets'!J165</f>
        <v>4906895</v>
      </c>
      <c r="K24" s="2">
        <f>'Gen Fd Cover Sheets'!K14+'Gen Fd Cover Sheets'!K45+'Gen Fd Cover Sheets'!K73+'Gen Fd Cover Sheets'!K106+'Gen Fd Cover Sheets'!K134+'Gen Fd Cover Sheets'!K165</f>
        <v>4995683</v>
      </c>
      <c r="M24" s="439"/>
      <c r="N24" s="485"/>
      <c r="O24" s="689"/>
      <c r="W24" s="715"/>
      <c r="X24" s="701"/>
      <c r="Y24" s="715"/>
      <c r="Z24" s="718"/>
      <c r="AA24" s="719"/>
      <c r="AB24" s="718"/>
      <c r="AC24" s="719"/>
      <c r="AD24" s="718"/>
      <c r="AE24" s="719"/>
      <c r="AF24" s="718"/>
      <c r="AG24" s="719"/>
      <c r="AH24" s="718"/>
      <c r="AI24" s="719"/>
      <c r="AJ24" s="715"/>
    </row>
    <row r="25" spans="1:36" ht="20.100000000000001" customHeight="1">
      <c r="A25" s="1"/>
      <c r="B25" s="439" t="s">
        <v>778</v>
      </c>
      <c r="C25" s="2">
        <f>'Gen Fd Cover Sheets'!C15+'Gen Fd Cover Sheets'!C46+'Gen Fd Cover Sheets'!C74+'Gen Fd Cover Sheets'!C107+'Gen Fd Cover Sheets'!C135+'Gen Fd Cover Sheets'!C166</f>
        <v>247990</v>
      </c>
      <c r="D25" s="2">
        <f>'Gen Fd Cover Sheets'!D15+'Gen Fd Cover Sheets'!D46+'Gen Fd Cover Sheets'!D74+'Gen Fd Cover Sheets'!D107+'Gen Fd Cover Sheets'!D135+'Gen Fd Cover Sheets'!D166</f>
        <v>254650</v>
      </c>
      <c r="E25" s="2">
        <f>'Gen Fd Cover Sheets'!E15+'Gen Fd Cover Sheets'!E46+'Gen Fd Cover Sheets'!E74+'Gen Fd Cover Sheets'!E107+'Gen Fd Cover Sheets'!E135+'Gen Fd Cover Sheets'!E166</f>
        <v>284861</v>
      </c>
      <c r="F25" s="2">
        <f>'Gen Fd Cover Sheets'!F15+'Gen Fd Cover Sheets'!F46+'Gen Fd Cover Sheets'!F74+'Gen Fd Cover Sheets'!F107+'Gen Fd Cover Sheets'!F135+'Gen Fd Cover Sheets'!F166</f>
        <v>284861</v>
      </c>
      <c r="G25" s="2">
        <f>'Gen Fd Cover Sheets'!G15+'Gen Fd Cover Sheets'!G46+'Gen Fd Cover Sheets'!G74+'Gen Fd Cover Sheets'!G107+'Gen Fd Cover Sheets'!G135+'Gen Fd Cover Sheets'!G166</f>
        <v>326761</v>
      </c>
      <c r="H25" s="2">
        <f>'Gen Fd Cover Sheets'!H15+'Gen Fd Cover Sheets'!H46+'Gen Fd Cover Sheets'!H74+'Gen Fd Cover Sheets'!H107+'Gen Fd Cover Sheets'!H135+'Gen Fd Cover Sheets'!H166</f>
        <v>279547</v>
      </c>
      <c r="I25" s="2">
        <f>'Gen Fd Cover Sheets'!I15+'Gen Fd Cover Sheets'!I46+'Gen Fd Cover Sheets'!I74+'Gen Fd Cover Sheets'!I107+'Gen Fd Cover Sheets'!I135+'Gen Fd Cover Sheets'!I166</f>
        <v>288503</v>
      </c>
      <c r="J25" s="2">
        <f>'Gen Fd Cover Sheets'!J15+'Gen Fd Cover Sheets'!J46+'Gen Fd Cover Sheets'!J74+'Gen Fd Cover Sheets'!J107+'Gen Fd Cover Sheets'!J135+'Gen Fd Cover Sheets'!J166</f>
        <v>298070</v>
      </c>
      <c r="K25" s="2">
        <f>'Gen Fd Cover Sheets'!K15+'Gen Fd Cover Sheets'!K46+'Gen Fd Cover Sheets'!K74+'Gen Fd Cover Sheets'!K107+'Gen Fd Cover Sheets'!K135+'Gen Fd Cover Sheets'!K166</f>
        <v>308289</v>
      </c>
      <c r="M25" s="439"/>
      <c r="N25" s="485"/>
      <c r="O25" s="689"/>
      <c r="W25" s="715"/>
      <c r="X25" s="701"/>
      <c r="Y25" s="715"/>
      <c r="Z25" s="718"/>
      <c r="AA25" s="719"/>
      <c r="AB25" s="718"/>
      <c r="AC25" s="719"/>
      <c r="AD25" s="718"/>
      <c r="AE25" s="719"/>
      <c r="AF25" s="718"/>
      <c r="AG25" s="719"/>
      <c r="AH25" s="718"/>
      <c r="AI25" s="719"/>
      <c r="AJ25" s="715"/>
    </row>
    <row r="26" spans="1:36" ht="20.100000000000001" customHeight="1">
      <c r="A26" s="1"/>
      <c r="B26" s="440" t="s">
        <v>780</v>
      </c>
      <c r="C26" s="2">
        <f>'Gen Fd Cover Sheets'!C167</f>
        <v>11676</v>
      </c>
      <c r="D26" s="2">
        <f>'Gen Fd Cover Sheets'!D167</f>
        <v>0</v>
      </c>
      <c r="E26" s="2">
        <f>'Gen Fd Cover Sheets'!E167</f>
        <v>0</v>
      </c>
      <c r="F26" s="2">
        <f>'Gen Fd Cover Sheets'!F167</f>
        <v>0</v>
      </c>
      <c r="G26" s="2">
        <f>'Gen Fd Cover Sheets'!G167</f>
        <v>0</v>
      </c>
      <c r="H26" s="2">
        <f>'Gen Fd Cover Sheets'!H167</f>
        <v>0</v>
      </c>
      <c r="I26" s="2">
        <f>'Gen Fd Cover Sheets'!I167</f>
        <v>0</v>
      </c>
      <c r="J26" s="2">
        <f>'Gen Fd Cover Sheets'!J167</f>
        <v>0</v>
      </c>
      <c r="K26" s="2">
        <f>'Gen Fd Cover Sheets'!K167</f>
        <v>0</v>
      </c>
      <c r="M26" s="440"/>
      <c r="N26" s="688"/>
      <c r="O26" s="691"/>
      <c r="W26" s="715"/>
      <c r="X26" s="701"/>
      <c r="Y26" s="715"/>
      <c r="Z26" s="721"/>
      <c r="AA26" s="719"/>
      <c r="AB26" s="721"/>
      <c r="AC26" s="719"/>
      <c r="AD26" s="721"/>
      <c r="AE26" s="719"/>
      <c r="AF26" s="721"/>
      <c r="AG26" s="719"/>
      <c r="AH26" s="721"/>
      <c r="AI26" s="719"/>
      <c r="AJ26" s="715"/>
    </row>
    <row r="27" spans="1:36" ht="20.100000000000001" customHeight="1">
      <c r="A27" s="1"/>
      <c r="B27" s="440" t="s">
        <v>781</v>
      </c>
      <c r="C27" s="2">
        <f>'Gen Fd Cover Sheets'!C168</f>
        <v>3790688</v>
      </c>
      <c r="D27" s="2">
        <f>'Gen Fd Cover Sheets'!D168</f>
        <v>2486885</v>
      </c>
      <c r="E27" s="2">
        <f>'Gen Fd Cover Sheets'!E168</f>
        <v>2439756</v>
      </c>
      <c r="F27" s="2">
        <f>'Gen Fd Cover Sheets'!F168</f>
        <v>2456533</v>
      </c>
      <c r="G27" s="2">
        <f>'Gen Fd Cover Sheets'!G168</f>
        <v>2631459</v>
      </c>
      <c r="H27" s="2">
        <f>'Gen Fd Cover Sheets'!H168</f>
        <v>2854307</v>
      </c>
      <c r="I27" s="2">
        <f>'Gen Fd Cover Sheets'!I168</f>
        <v>2910946</v>
      </c>
      <c r="J27" s="2">
        <f>'Gen Fd Cover Sheets'!J168</f>
        <v>2968458</v>
      </c>
      <c r="K27" s="2">
        <f>'Gen Fd Cover Sheets'!K168</f>
        <v>3032557</v>
      </c>
      <c r="N27" s="485"/>
      <c r="O27" s="689"/>
      <c r="W27" s="715"/>
      <c r="X27" s="715"/>
      <c r="Y27" s="715"/>
      <c r="Z27" s="718"/>
      <c r="AA27" s="718"/>
      <c r="AB27" s="718"/>
      <c r="AC27" s="718"/>
      <c r="AD27" s="718"/>
      <c r="AE27" s="718"/>
      <c r="AF27" s="718"/>
      <c r="AG27" s="718"/>
      <c r="AH27" s="718"/>
      <c r="AI27" s="715"/>
      <c r="AJ27" s="715"/>
    </row>
    <row r="28" spans="1:36" ht="20.100000000000001" customHeight="1" thickBot="1">
      <c r="A28" s="1"/>
      <c r="B28" s="127" t="s">
        <v>782</v>
      </c>
      <c r="C28" s="124">
        <f t="shared" ref="C28:J28" si="1">SUM(C22:C27)</f>
        <v>13808392</v>
      </c>
      <c r="D28" s="124">
        <f t="shared" si="1"/>
        <v>13185437</v>
      </c>
      <c r="E28" s="124">
        <f t="shared" si="1"/>
        <v>14190635</v>
      </c>
      <c r="F28" s="124">
        <f t="shared" si="1"/>
        <v>14238749</v>
      </c>
      <c r="G28" s="124">
        <f t="shared" si="1"/>
        <v>14803097</v>
      </c>
      <c r="H28" s="124">
        <f t="shared" si="1"/>
        <v>15384016</v>
      </c>
      <c r="I28" s="124">
        <f t="shared" si="1"/>
        <v>15780895</v>
      </c>
      <c r="J28" s="124">
        <f t="shared" si="1"/>
        <v>16269062</v>
      </c>
      <c r="K28" s="124">
        <f>SUM(K22:K27)</f>
        <v>16771905</v>
      </c>
      <c r="N28" s="485"/>
      <c r="O28" s="485"/>
      <c r="W28" s="715"/>
      <c r="X28" s="715"/>
      <c r="Y28" s="715"/>
      <c r="Z28" s="718"/>
      <c r="AA28" s="718"/>
      <c r="AB28" s="718"/>
      <c r="AC28" s="718"/>
      <c r="AD28" s="718"/>
      <c r="AE28" s="718"/>
      <c r="AF28" s="718"/>
      <c r="AG28" s="718"/>
      <c r="AH28" s="718"/>
      <c r="AI28" s="715"/>
      <c r="AJ28" s="715"/>
    </row>
    <row r="29" spans="1:36" ht="7.5" customHeight="1">
      <c r="A29" s="1"/>
      <c r="B29" s="130"/>
      <c r="C29" s="3"/>
      <c r="D29" s="2"/>
      <c r="E29" s="2"/>
      <c r="F29" s="2"/>
      <c r="G29" s="2"/>
      <c r="H29" s="2"/>
      <c r="I29" s="2"/>
      <c r="J29" s="2"/>
      <c r="K29" s="2"/>
      <c r="W29" s="715"/>
      <c r="X29" s="715"/>
      <c r="Y29" s="715"/>
      <c r="Z29" s="715"/>
      <c r="AA29" s="715"/>
      <c r="AB29" s="715"/>
      <c r="AC29" s="715"/>
      <c r="AD29" s="715"/>
      <c r="AE29" s="715"/>
      <c r="AF29" s="715"/>
      <c r="AG29" s="715"/>
      <c r="AH29" s="715"/>
      <c r="AI29" s="715"/>
      <c r="AJ29" s="715"/>
    </row>
    <row r="30" spans="1:36" ht="20.100000000000001" customHeight="1">
      <c r="A30" s="1"/>
      <c r="B30" s="441" t="s">
        <v>783</v>
      </c>
      <c r="C30" s="3">
        <f t="shared" ref="C30:K30" si="2">+C20-C28</f>
        <v>-363247</v>
      </c>
      <c r="D30" s="3">
        <f t="shared" si="2"/>
        <v>965473</v>
      </c>
      <c r="E30" s="3">
        <f t="shared" si="2"/>
        <v>10002</v>
      </c>
      <c r="F30" s="3">
        <f t="shared" si="2"/>
        <v>187627</v>
      </c>
      <c r="G30" s="3">
        <f t="shared" si="2"/>
        <v>-286275</v>
      </c>
      <c r="H30" s="3">
        <f t="shared" si="2"/>
        <v>-533484</v>
      </c>
      <c r="I30" s="3">
        <f t="shared" si="2"/>
        <v>-640662</v>
      </c>
      <c r="J30" s="3">
        <f t="shared" si="2"/>
        <v>-833029</v>
      </c>
      <c r="K30" s="3">
        <f t="shared" si="2"/>
        <v>-1034856</v>
      </c>
      <c r="W30" s="715"/>
      <c r="X30" s="715"/>
      <c r="Y30" s="715"/>
      <c r="Z30" s="715"/>
      <c r="AA30" s="715"/>
      <c r="AB30" s="715"/>
      <c r="AC30" s="715"/>
      <c r="AD30" s="715"/>
      <c r="AE30" s="715"/>
      <c r="AF30" s="715"/>
      <c r="AG30" s="715"/>
      <c r="AH30" s="715"/>
      <c r="AI30" s="715"/>
      <c r="AJ30" s="715"/>
    </row>
    <row r="31" spans="1:36" ht="7.5" customHeight="1">
      <c r="A31" s="1"/>
      <c r="B31" s="131"/>
      <c r="C31" s="3"/>
      <c r="D31" s="2"/>
      <c r="E31" s="2"/>
      <c r="F31" s="2"/>
      <c r="G31" s="2"/>
      <c r="H31" s="2"/>
      <c r="I31" s="2"/>
      <c r="J31" s="2"/>
      <c r="K31" s="2"/>
    </row>
    <row r="32" spans="1:36" ht="20.100000000000001" customHeight="1" thickBot="1">
      <c r="A32" s="1"/>
      <c r="B32" s="126" t="s">
        <v>784</v>
      </c>
      <c r="C32" s="81">
        <v>3860581</v>
      </c>
      <c r="D32" s="81">
        <v>4826059</v>
      </c>
      <c r="E32" s="81">
        <v>4110607</v>
      </c>
      <c r="F32" s="81">
        <f>D32+F30</f>
        <v>5013686</v>
      </c>
      <c r="G32" s="81">
        <f>F32+G30</f>
        <v>4727411</v>
      </c>
      <c r="H32" s="81">
        <f>G32+H30</f>
        <v>4193927</v>
      </c>
      <c r="I32" s="81">
        <f>H32+I30</f>
        <v>3553265</v>
      </c>
      <c r="J32" s="81">
        <f>I32+J30</f>
        <v>2720236</v>
      </c>
      <c r="K32" s="81">
        <f>J32+K30</f>
        <v>1685380</v>
      </c>
    </row>
    <row r="33" spans="1:11" ht="15.75" thickTop="1">
      <c r="A33" s="1"/>
      <c r="B33" s="132"/>
      <c r="C33" s="133">
        <f t="shared" ref="C33:K33" si="3">+C32/C28</f>
        <v>0.27958222796687693</v>
      </c>
      <c r="D33" s="133">
        <f t="shared" si="3"/>
        <v>0.36601433839470016</v>
      </c>
      <c r="E33" s="133">
        <f t="shared" si="3"/>
        <v>0.28967040586978665</v>
      </c>
      <c r="F33" s="133">
        <f t="shared" si="3"/>
        <v>0.35211562476450703</v>
      </c>
      <c r="G33" s="133">
        <f t="shared" si="3"/>
        <v>0.31935283542356036</v>
      </c>
      <c r="H33" s="133">
        <f t="shared" si="3"/>
        <v>0.27261587611453342</v>
      </c>
      <c r="I33" s="133">
        <f t="shared" si="3"/>
        <v>0.2251624511790998</v>
      </c>
      <c r="J33" s="133">
        <f t="shared" si="3"/>
        <v>0.16720300162357241</v>
      </c>
      <c r="K33" s="133">
        <f t="shared" si="3"/>
        <v>0.10048828681059188</v>
      </c>
    </row>
    <row r="34" spans="1:11" ht="8.1" customHeight="1">
      <c r="A34" s="1"/>
      <c r="B34" s="132"/>
      <c r="C34" s="138"/>
      <c r="D34" s="138"/>
      <c r="E34" s="138"/>
      <c r="F34" s="138"/>
      <c r="G34" s="138"/>
      <c r="H34" s="138"/>
      <c r="I34" s="138"/>
      <c r="J34" s="138"/>
      <c r="K34" s="138"/>
    </row>
    <row r="35" spans="1:11">
      <c r="A35" s="1"/>
      <c r="B35" s="1"/>
      <c r="C35" s="2"/>
      <c r="D35" s="2"/>
      <c r="E35" s="2"/>
      <c r="F35" s="2"/>
      <c r="G35" s="2"/>
      <c r="H35" s="2"/>
      <c r="I35" s="2"/>
      <c r="J35" s="2"/>
      <c r="K35" s="2"/>
    </row>
    <row r="36" spans="1:11">
      <c r="A36" s="1"/>
      <c r="B36" s="1"/>
      <c r="C36" s="2"/>
      <c r="D36" s="2"/>
      <c r="E36" s="2"/>
      <c r="F36" s="2"/>
      <c r="G36" s="2"/>
      <c r="H36" s="2"/>
      <c r="I36" s="2"/>
      <c r="J36" s="2"/>
      <c r="K36" s="2"/>
    </row>
    <row r="37" spans="1:11">
      <c r="A37" s="1"/>
      <c r="B37" s="1"/>
      <c r="C37" s="2"/>
      <c r="D37" s="2"/>
      <c r="E37" s="2"/>
      <c r="F37" s="2"/>
      <c r="G37" s="2"/>
      <c r="H37" s="2"/>
      <c r="I37" s="2"/>
      <c r="J37" s="2"/>
      <c r="K37" s="2"/>
    </row>
    <row r="38" spans="1:11">
      <c r="A38" s="1"/>
      <c r="B38" s="1"/>
      <c r="C38" s="2"/>
      <c r="D38" s="2"/>
      <c r="E38" s="2"/>
      <c r="F38" s="2"/>
      <c r="G38" s="2"/>
      <c r="H38" s="2"/>
      <c r="I38" s="2"/>
      <c r="J38" s="2"/>
      <c r="K38" s="2"/>
    </row>
    <row r="39" spans="1:11">
      <c r="A39" s="1"/>
      <c r="B39" s="1"/>
      <c r="C39" s="2"/>
      <c r="D39" s="2"/>
      <c r="E39" s="2"/>
      <c r="F39" s="2"/>
      <c r="G39" s="2"/>
      <c r="H39" s="2"/>
      <c r="I39" s="2"/>
      <c r="J39" s="2"/>
      <c r="K39" s="2"/>
    </row>
    <row r="40" spans="1:11">
      <c r="A40" s="1"/>
      <c r="B40" s="1"/>
      <c r="C40" s="2"/>
      <c r="D40" s="2"/>
      <c r="E40" s="2"/>
      <c r="F40" s="2"/>
      <c r="G40" s="2"/>
      <c r="H40" s="2"/>
      <c r="I40" s="2"/>
      <c r="J40" s="2"/>
      <c r="K40" s="2"/>
    </row>
    <row r="41" spans="1:11">
      <c r="A41" s="1"/>
      <c r="B41" s="1"/>
      <c r="C41" s="2"/>
      <c r="D41" s="2"/>
      <c r="E41" s="2"/>
      <c r="F41" s="2"/>
      <c r="G41" s="2"/>
      <c r="H41" s="2"/>
      <c r="I41" s="2"/>
      <c r="J41" s="2"/>
      <c r="K41" s="2"/>
    </row>
    <row r="42" spans="1:11">
      <c r="A42" s="1"/>
      <c r="B42" s="1"/>
      <c r="C42" s="2"/>
      <c r="D42" s="2"/>
      <c r="E42" s="2"/>
      <c r="F42" s="2"/>
      <c r="G42" s="2"/>
      <c r="H42" s="2"/>
      <c r="I42" s="2"/>
      <c r="J42" s="2"/>
      <c r="K42" s="2"/>
    </row>
    <row r="43" spans="1:11">
      <c r="A43" s="1"/>
      <c r="B43" s="1"/>
      <c r="C43" s="2"/>
      <c r="D43" s="2"/>
      <c r="E43" s="2"/>
      <c r="F43" s="2"/>
      <c r="G43" s="2"/>
      <c r="H43" s="2"/>
      <c r="I43" s="2"/>
      <c r="J43" s="2"/>
      <c r="K43" s="2"/>
    </row>
    <row r="44" spans="1:11">
      <c r="A44" s="1"/>
      <c r="B44" s="1"/>
      <c r="C44" s="2"/>
      <c r="D44" s="2"/>
      <c r="E44" s="2"/>
      <c r="F44" s="2"/>
      <c r="G44" s="2"/>
      <c r="H44" s="2"/>
      <c r="I44" s="2"/>
      <c r="J44" s="2"/>
      <c r="K44" s="2"/>
    </row>
    <row r="47" spans="1:11">
      <c r="B47" s="764" t="s">
        <v>785</v>
      </c>
      <c r="C47" s="764"/>
      <c r="D47" s="764"/>
      <c r="E47" s="764"/>
      <c r="F47" s="764"/>
      <c r="G47" s="764"/>
      <c r="H47" s="764"/>
      <c r="I47" s="764"/>
      <c r="J47" s="764"/>
      <c r="K47" s="764"/>
    </row>
    <row r="48" spans="1:11">
      <c r="B48" s="65"/>
      <c r="C48" s="3"/>
      <c r="D48" s="2"/>
      <c r="E48" s="2"/>
      <c r="F48" s="2"/>
      <c r="G48" s="2"/>
      <c r="H48" s="2"/>
      <c r="I48" s="2"/>
      <c r="J48" s="2"/>
      <c r="K48" s="2"/>
    </row>
    <row r="49" spans="2:11" ht="12.75" customHeight="1">
      <c r="B49" s="761" t="s">
        <v>786</v>
      </c>
      <c r="C49" s="761"/>
      <c r="D49" s="761"/>
      <c r="E49" s="761"/>
      <c r="F49" s="761"/>
      <c r="G49" s="761"/>
      <c r="H49" s="761"/>
      <c r="I49" s="761"/>
      <c r="J49" s="761"/>
      <c r="K49" s="761"/>
    </row>
    <row r="50" spans="2:11" ht="17.25" customHeight="1">
      <c r="B50" s="761"/>
      <c r="C50" s="761"/>
      <c r="D50" s="761"/>
      <c r="E50" s="761"/>
      <c r="F50" s="761"/>
      <c r="G50" s="761"/>
      <c r="H50" s="761"/>
      <c r="I50" s="761"/>
      <c r="J50" s="761"/>
      <c r="K50" s="761"/>
    </row>
    <row r="51" spans="2:11" ht="17.25" customHeight="1">
      <c r="B51" s="481"/>
      <c r="C51" s="481"/>
      <c r="D51" s="481"/>
      <c r="E51" s="481"/>
      <c r="F51" s="481"/>
      <c r="G51" s="481"/>
      <c r="H51" s="481"/>
      <c r="I51" s="481"/>
      <c r="J51" s="481"/>
      <c r="K51" s="484"/>
    </row>
    <row r="52" spans="2:11">
      <c r="B52" s="5"/>
      <c r="C52" s="65"/>
      <c r="D52" s="66"/>
      <c r="E52" s="65" t="s">
        <v>257</v>
      </c>
      <c r="F52" s="1"/>
      <c r="G52" s="1"/>
      <c r="H52" s="1"/>
      <c r="I52" s="1"/>
      <c r="J52" s="1"/>
      <c r="K52" s="1"/>
    </row>
    <row r="53" spans="2:11">
      <c r="B53" s="66"/>
      <c r="C53" s="65" t="s">
        <v>249</v>
      </c>
      <c r="D53" s="49" t="s">
        <v>256</v>
      </c>
      <c r="E53" s="66" t="s">
        <v>763</v>
      </c>
      <c r="F53" s="66" t="s">
        <v>257</v>
      </c>
      <c r="G53" s="66" t="s">
        <v>258</v>
      </c>
      <c r="H53" s="66" t="s">
        <v>926</v>
      </c>
      <c r="I53" s="66" t="s">
        <v>1026</v>
      </c>
      <c r="J53" s="66" t="s">
        <v>1060</v>
      </c>
      <c r="K53" s="66" t="s">
        <v>1061</v>
      </c>
    </row>
    <row r="54" spans="2:11" ht="15.75" thickBot="1">
      <c r="B54" s="136"/>
      <c r="C54" s="68" t="s">
        <v>1</v>
      </c>
      <c r="D54" s="68" t="s">
        <v>1</v>
      </c>
      <c r="E54" s="68" t="s">
        <v>720</v>
      </c>
      <c r="F54" s="68" t="s">
        <v>19</v>
      </c>
      <c r="G54" s="68" t="str">
        <f>$M$1</f>
        <v>Adopted</v>
      </c>
      <c r="H54" s="68" t="s">
        <v>19</v>
      </c>
      <c r="I54" s="68" t="s">
        <v>19</v>
      </c>
      <c r="J54" s="68" t="s">
        <v>19</v>
      </c>
      <c r="K54" s="68" t="s">
        <v>19</v>
      </c>
    </row>
    <row r="55" spans="2:11">
      <c r="B55" s="64"/>
      <c r="C55" s="137"/>
      <c r="D55" s="2"/>
      <c r="E55" s="2"/>
      <c r="F55" s="2"/>
      <c r="G55" s="2"/>
      <c r="H55" s="2"/>
      <c r="I55" s="2"/>
      <c r="J55" s="2"/>
      <c r="K55" s="2"/>
    </row>
    <row r="56" spans="2:11">
      <c r="B56" s="128" t="s">
        <v>764</v>
      </c>
      <c r="C56" s="2"/>
      <c r="D56" s="2"/>
      <c r="E56" s="2"/>
      <c r="F56" s="2"/>
      <c r="G56" s="2"/>
      <c r="H56" s="2"/>
      <c r="I56" s="2"/>
      <c r="J56" s="2"/>
      <c r="K56" s="2"/>
    </row>
    <row r="57" spans="2:11" ht="20.100000000000001" customHeight="1">
      <c r="B57" s="437" t="s">
        <v>765</v>
      </c>
      <c r="C57" s="2">
        <f>'Budget Detail FY 2014-21'!L282</f>
        <v>3786</v>
      </c>
      <c r="D57" s="2">
        <f>'Budget Detail FY 2014-21'!M282</f>
        <v>8536</v>
      </c>
      <c r="E57" s="2">
        <f>'Budget Detail FY 2014-21'!N282</f>
        <v>7073</v>
      </c>
      <c r="F57" s="2">
        <f>'Budget Detail FY 2014-21'!O282</f>
        <v>7072</v>
      </c>
      <c r="G57" s="2">
        <f>'Budget Detail FY 2014-21'!P282</f>
        <v>7073</v>
      </c>
      <c r="H57" s="2">
        <f>'Budget Detail FY 2014-21'!Q282</f>
        <v>7073</v>
      </c>
      <c r="I57" s="2">
        <f>'Budget Detail FY 2014-21'!R282</f>
        <v>7073</v>
      </c>
      <c r="J57" s="2">
        <f>'Budget Detail FY 2014-21'!S282</f>
        <v>7073</v>
      </c>
      <c r="K57" s="2">
        <f>'Budget Detail FY 2014-21'!T282</f>
        <v>7073</v>
      </c>
    </row>
    <row r="58" spans="2:11" ht="20.100000000000001" customHeight="1">
      <c r="B58" s="437" t="s">
        <v>770</v>
      </c>
      <c r="C58" s="2">
        <f>'Budget Detail FY 2014-21'!L283</f>
        <v>1</v>
      </c>
      <c r="D58" s="2">
        <f>'Budget Detail FY 2014-21'!M283</f>
        <v>0</v>
      </c>
      <c r="E58" s="2">
        <f>'Budget Detail FY 2014-21'!N283</f>
        <v>0</v>
      </c>
      <c r="F58" s="2">
        <f>'Budget Detail FY 2014-21'!O283</f>
        <v>0</v>
      </c>
      <c r="G58" s="2">
        <f>'Budget Detail FY 2014-21'!P283</f>
        <v>0</v>
      </c>
      <c r="H58" s="2">
        <f>'Budget Detail FY 2014-21'!Q283</f>
        <v>0</v>
      </c>
      <c r="I58" s="2">
        <f>'Budget Detail FY 2014-21'!R283</f>
        <v>0</v>
      </c>
      <c r="J58" s="2">
        <f>'Budget Detail FY 2014-21'!S283</f>
        <v>0</v>
      </c>
      <c r="K58" s="2">
        <f>'Budget Detail FY 2014-21'!T283</f>
        <v>0</v>
      </c>
    </row>
    <row r="59" spans="2:11" ht="20.100000000000001" customHeight="1" thickBot="1">
      <c r="B59" s="127" t="s">
        <v>774</v>
      </c>
      <c r="C59" s="124">
        <f t="shared" ref="C59:J59" si="4">SUM(C57:C58)</f>
        <v>3787</v>
      </c>
      <c r="D59" s="124">
        <f t="shared" si="4"/>
        <v>8536</v>
      </c>
      <c r="E59" s="124">
        <f t="shared" si="4"/>
        <v>7073</v>
      </c>
      <c r="F59" s="124">
        <f t="shared" si="4"/>
        <v>7072</v>
      </c>
      <c r="G59" s="124">
        <f t="shared" si="4"/>
        <v>7073</v>
      </c>
      <c r="H59" s="124">
        <f t="shared" si="4"/>
        <v>7073</v>
      </c>
      <c r="I59" s="124">
        <f t="shared" si="4"/>
        <v>7073</v>
      </c>
      <c r="J59" s="124">
        <f t="shared" si="4"/>
        <v>7073</v>
      </c>
      <c r="K59" s="124">
        <f>SUM(K57:K58)</f>
        <v>7073</v>
      </c>
    </row>
    <row r="60" spans="2:11">
      <c r="B60" s="1"/>
      <c r="C60" s="2"/>
      <c r="D60" s="2"/>
      <c r="E60" s="2"/>
      <c r="F60" s="2"/>
      <c r="G60" s="2"/>
      <c r="H60" s="2"/>
      <c r="I60" s="2"/>
      <c r="J60" s="2"/>
      <c r="K60" s="2"/>
    </row>
    <row r="61" spans="2:11">
      <c r="B61" s="128" t="s">
        <v>548</v>
      </c>
      <c r="C61" s="2"/>
      <c r="D61" s="2"/>
      <c r="E61" s="2"/>
      <c r="F61" s="2"/>
      <c r="G61" s="2"/>
      <c r="H61" s="2"/>
      <c r="I61" s="2"/>
      <c r="J61" s="2"/>
      <c r="K61" s="2"/>
    </row>
    <row r="62" spans="2:11" ht="20.100000000000001" customHeight="1">
      <c r="B62" s="439" t="s">
        <v>777</v>
      </c>
      <c r="C62" s="2">
        <f>SUM('Budget Detail FY 2014-21'!L287:L289)</f>
        <v>7776</v>
      </c>
      <c r="D62" s="2">
        <f>SUM('Budget Detail FY 2014-21'!M287:M289)</f>
        <v>4208</v>
      </c>
      <c r="E62" s="2">
        <f>SUM('Budget Detail FY 2014-21'!N287:N289)</f>
        <v>29833</v>
      </c>
      <c r="F62" s="2">
        <f>SUM('Budget Detail FY 2014-21'!O287:O289)</f>
        <v>34674</v>
      </c>
      <c r="G62" s="2">
        <f>SUM('Budget Detail FY 2014-21'!P287:P289)</f>
        <v>4833</v>
      </c>
      <c r="H62" s="2">
        <f>SUM('Budget Detail FY 2014-21'!Q287:Q289)</f>
        <v>5800</v>
      </c>
      <c r="I62" s="2">
        <f>SUM('Budget Detail FY 2014-21'!R287:R289)</f>
        <v>5800</v>
      </c>
      <c r="J62" s="2">
        <f>SUM('Budget Detail FY 2014-21'!S287:S289)</f>
        <v>5800</v>
      </c>
      <c r="K62" s="2">
        <f>SUM('Budget Detail FY 2014-21'!T287:T289)</f>
        <v>5800</v>
      </c>
    </row>
    <row r="63" spans="2:11" ht="20.100000000000001" customHeight="1" thickBot="1">
      <c r="B63" s="127" t="s">
        <v>782</v>
      </c>
      <c r="C63" s="124">
        <f t="shared" ref="C63:J63" si="5">SUM(C62:C62)</f>
        <v>7776</v>
      </c>
      <c r="D63" s="124">
        <f t="shared" si="5"/>
        <v>4208</v>
      </c>
      <c r="E63" s="124">
        <f t="shared" si="5"/>
        <v>29833</v>
      </c>
      <c r="F63" s="124">
        <f t="shared" si="5"/>
        <v>34674</v>
      </c>
      <c r="G63" s="124">
        <f t="shared" si="5"/>
        <v>4833</v>
      </c>
      <c r="H63" s="124">
        <f t="shared" si="5"/>
        <v>5800</v>
      </c>
      <c r="I63" s="124">
        <f t="shared" si="5"/>
        <v>5800</v>
      </c>
      <c r="J63" s="124">
        <f t="shared" si="5"/>
        <v>5800</v>
      </c>
      <c r="K63" s="124">
        <f>SUM(K62:K62)</f>
        <v>5800</v>
      </c>
    </row>
    <row r="64" spans="2:11">
      <c r="B64" s="130"/>
      <c r="C64" s="3"/>
      <c r="D64" s="2"/>
      <c r="E64" s="2"/>
      <c r="F64" s="2"/>
      <c r="G64" s="2"/>
      <c r="H64" s="2"/>
      <c r="I64" s="2"/>
      <c r="J64" s="2"/>
      <c r="K64" s="2"/>
    </row>
    <row r="65" spans="2:11" ht="20.100000000000001" customHeight="1">
      <c r="B65" s="441" t="s">
        <v>783</v>
      </c>
      <c r="C65" s="3">
        <f t="shared" ref="C65:K65" si="6">+C59-C63</f>
        <v>-3989</v>
      </c>
      <c r="D65" s="3">
        <f t="shared" si="6"/>
        <v>4328</v>
      </c>
      <c r="E65" s="3">
        <f t="shared" si="6"/>
        <v>-22760</v>
      </c>
      <c r="F65" s="3">
        <f t="shared" si="6"/>
        <v>-27602</v>
      </c>
      <c r="G65" s="3">
        <f t="shared" si="6"/>
        <v>2240</v>
      </c>
      <c r="H65" s="3">
        <f t="shared" si="6"/>
        <v>1273</v>
      </c>
      <c r="I65" s="3">
        <f t="shared" si="6"/>
        <v>1273</v>
      </c>
      <c r="J65" s="3">
        <f t="shared" si="6"/>
        <v>1273</v>
      </c>
      <c r="K65" s="3">
        <f t="shared" si="6"/>
        <v>1273</v>
      </c>
    </row>
    <row r="66" spans="2:11">
      <c r="B66" s="131"/>
      <c r="C66" s="3"/>
      <c r="D66" s="2"/>
      <c r="E66" s="2"/>
      <c r="F66" s="2"/>
      <c r="G66" s="2"/>
      <c r="H66" s="2"/>
      <c r="I66" s="2"/>
      <c r="J66" s="2"/>
      <c r="K66" s="2"/>
    </row>
    <row r="67" spans="2:11" ht="20.100000000000001" customHeight="1" thickBot="1">
      <c r="B67" s="126" t="s">
        <v>784</v>
      </c>
      <c r="C67" s="81">
        <v>11134</v>
      </c>
      <c r="D67" s="81">
        <v>15462</v>
      </c>
      <c r="E67" s="81">
        <v>-7693</v>
      </c>
      <c r="F67" s="81">
        <f>D67+F65</f>
        <v>-12140</v>
      </c>
      <c r="G67" s="81">
        <f>F67+G65</f>
        <v>-9900</v>
      </c>
      <c r="H67" s="81">
        <f>G67+H65</f>
        <v>-8627</v>
      </c>
      <c r="I67" s="81">
        <f>H67+I65</f>
        <v>-7354</v>
      </c>
      <c r="J67" s="81">
        <f>I67+J65</f>
        <v>-6081</v>
      </c>
      <c r="K67" s="81">
        <f>J67+K65</f>
        <v>-4808</v>
      </c>
    </row>
    <row r="68" spans="2:11" ht="15.75" thickTop="1">
      <c r="B68" s="132"/>
      <c r="C68" s="133">
        <f t="shared" ref="C68:K68" si="7">C67/C63</f>
        <v>1.4318415637860082</v>
      </c>
      <c r="D68" s="133">
        <f t="shared" si="7"/>
        <v>3.6744296577946769</v>
      </c>
      <c r="E68" s="133">
        <f t="shared" si="7"/>
        <v>-0.25786880300338549</v>
      </c>
      <c r="F68" s="133">
        <f t="shared" si="7"/>
        <v>-0.35011824421756937</v>
      </c>
      <c r="G68" s="133">
        <f t="shared" si="7"/>
        <v>-2.0484171322160147</v>
      </c>
      <c r="H68" s="133">
        <f t="shared" si="7"/>
        <v>-1.4874137931034483</v>
      </c>
      <c r="I68" s="133">
        <f t="shared" si="7"/>
        <v>-1.2679310344827586</v>
      </c>
      <c r="J68" s="133">
        <f t="shared" si="7"/>
        <v>-1.048448275862069</v>
      </c>
      <c r="K68" s="133">
        <f t="shared" si="7"/>
        <v>-0.82896551724137935</v>
      </c>
    </row>
    <row r="69" spans="2:11">
      <c r="B69" s="132"/>
      <c r="C69" s="3"/>
      <c r="D69" s="3"/>
      <c r="E69" s="3"/>
      <c r="F69" s="2"/>
      <c r="G69" s="2"/>
      <c r="H69" s="2"/>
      <c r="I69" s="2"/>
      <c r="J69" s="2"/>
      <c r="K69" s="2"/>
    </row>
    <row r="70" spans="2:11">
      <c r="B70" s="1"/>
      <c r="C70" s="2"/>
      <c r="D70" s="2"/>
      <c r="E70" s="2"/>
      <c r="F70" s="2"/>
      <c r="G70" s="2"/>
      <c r="H70" s="2"/>
      <c r="I70" s="2"/>
      <c r="J70" s="2"/>
      <c r="K70" s="2"/>
    </row>
    <row r="71" spans="2:11">
      <c r="B71" s="1"/>
      <c r="C71" s="2"/>
      <c r="D71" s="2"/>
      <c r="E71" s="2"/>
      <c r="F71" s="2"/>
      <c r="G71" s="2"/>
      <c r="H71" s="2"/>
      <c r="I71" s="2"/>
      <c r="J71" s="2"/>
      <c r="K71" s="2"/>
    </row>
    <row r="72" spans="2:11">
      <c r="B72" s="1"/>
      <c r="C72" s="2"/>
      <c r="D72" s="2"/>
      <c r="E72" s="2"/>
      <c r="F72" s="2"/>
      <c r="G72" s="2"/>
      <c r="H72" s="2"/>
      <c r="I72" s="2"/>
      <c r="J72" s="2"/>
      <c r="K72" s="2"/>
    </row>
    <row r="73" spans="2:11">
      <c r="B73" s="1"/>
      <c r="C73" s="2"/>
      <c r="D73" s="2"/>
      <c r="E73" s="2"/>
      <c r="F73" s="2"/>
      <c r="G73" s="2"/>
      <c r="H73" s="2"/>
      <c r="I73" s="2"/>
      <c r="J73" s="2"/>
      <c r="K73" s="2"/>
    </row>
    <row r="74" spans="2:11">
      <c r="B74" s="1"/>
      <c r="C74" s="2"/>
      <c r="D74" s="2"/>
      <c r="E74" s="2"/>
      <c r="F74" s="2"/>
      <c r="G74" s="2"/>
      <c r="H74" s="2"/>
      <c r="I74" s="2"/>
      <c r="J74" s="2"/>
      <c r="K74" s="2"/>
    </row>
    <row r="75" spans="2:11">
      <c r="B75" s="1"/>
      <c r="C75" s="2"/>
      <c r="D75" s="2"/>
      <c r="E75" s="2"/>
      <c r="F75" s="2"/>
      <c r="G75" s="2"/>
      <c r="H75" s="2"/>
      <c r="I75" s="2"/>
      <c r="J75" s="2"/>
      <c r="K75" s="2"/>
    </row>
    <row r="76" spans="2:11">
      <c r="B76" s="1"/>
      <c r="C76" s="2"/>
      <c r="D76" s="2"/>
      <c r="E76" s="2"/>
      <c r="F76" s="2"/>
      <c r="G76" s="2"/>
      <c r="H76" s="2"/>
      <c r="I76" s="2"/>
      <c r="J76" s="2"/>
      <c r="K76" s="2"/>
    </row>
    <row r="77" spans="2:11">
      <c r="B77" s="1"/>
      <c r="C77" s="2"/>
      <c r="D77" s="2"/>
      <c r="E77" s="2"/>
      <c r="F77" s="2"/>
      <c r="G77" s="2"/>
      <c r="H77" s="2"/>
      <c r="I77" s="2"/>
      <c r="J77" s="2"/>
      <c r="K77" s="2"/>
    </row>
    <row r="78" spans="2:11">
      <c r="B78" s="1"/>
      <c r="C78" s="2"/>
      <c r="D78" s="2"/>
      <c r="E78" s="2"/>
      <c r="F78" s="2"/>
      <c r="G78" s="2"/>
      <c r="H78" s="2"/>
      <c r="I78" s="2"/>
      <c r="J78" s="2"/>
      <c r="K78" s="2"/>
    </row>
    <row r="79" spans="2:11">
      <c r="B79" s="1"/>
      <c r="C79" s="2"/>
      <c r="D79" s="2"/>
      <c r="E79" s="2"/>
      <c r="F79" s="2"/>
      <c r="G79" s="2"/>
      <c r="H79" s="2"/>
      <c r="I79" s="2"/>
      <c r="J79" s="2"/>
      <c r="K79" s="2"/>
    </row>
    <row r="80" spans="2:11">
      <c r="B80" s="1"/>
      <c r="C80" s="2"/>
      <c r="D80" s="2"/>
      <c r="E80" s="2"/>
      <c r="F80" s="2"/>
      <c r="G80" s="2"/>
      <c r="H80" s="2"/>
      <c r="I80" s="2"/>
      <c r="J80" s="2"/>
      <c r="K80" s="2"/>
    </row>
    <row r="81" spans="2:11">
      <c r="B81" s="1"/>
      <c r="C81" s="2"/>
      <c r="D81" s="2"/>
      <c r="E81" s="2"/>
      <c r="F81" s="2"/>
      <c r="G81" s="2"/>
      <c r="H81" s="2"/>
      <c r="I81" s="2"/>
      <c r="J81" s="2"/>
      <c r="K81" s="2"/>
    </row>
    <row r="83" spans="2:11">
      <c r="B83" s="764" t="s">
        <v>787</v>
      </c>
      <c r="C83" s="764"/>
      <c r="D83" s="764"/>
      <c r="E83" s="764"/>
      <c r="F83" s="764"/>
      <c r="G83" s="764"/>
      <c r="H83" s="764"/>
      <c r="I83" s="764"/>
      <c r="J83" s="764"/>
      <c r="K83" s="764"/>
    </row>
    <row r="84" spans="2:11">
      <c r="B84" s="65"/>
      <c r="C84" s="3"/>
      <c r="D84" s="2"/>
      <c r="E84" s="2"/>
      <c r="F84" s="2"/>
      <c r="G84" s="2"/>
      <c r="H84" s="2"/>
      <c r="I84" s="2"/>
      <c r="J84" s="2"/>
      <c r="K84" s="2"/>
    </row>
    <row r="85" spans="2:11" ht="12.75" customHeight="1">
      <c r="B85" s="761" t="s">
        <v>788</v>
      </c>
      <c r="C85" s="761"/>
      <c r="D85" s="761"/>
      <c r="E85" s="761"/>
      <c r="F85" s="761"/>
      <c r="G85" s="761"/>
      <c r="H85" s="761"/>
      <c r="I85" s="761"/>
      <c r="J85" s="761"/>
      <c r="K85" s="761"/>
    </row>
    <row r="86" spans="2:11" ht="18" customHeight="1">
      <c r="B86" s="761"/>
      <c r="C86" s="761"/>
      <c r="D86" s="761"/>
      <c r="E86" s="761"/>
      <c r="F86" s="761"/>
      <c r="G86" s="761"/>
      <c r="H86" s="761"/>
      <c r="I86" s="761"/>
      <c r="J86" s="761"/>
      <c r="K86" s="761"/>
    </row>
    <row r="87" spans="2:11">
      <c r="B87" s="481"/>
      <c r="C87" s="22"/>
      <c r="D87" s="22"/>
      <c r="E87" s="22"/>
      <c r="F87" s="2"/>
      <c r="G87" s="2"/>
      <c r="H87" s="2"/>
      <c r="I87" s="2"/>
      <c r="J87" s="2"/>
      <c r="K87" s="2"/>
    </row>
    <row r="88" spans="2:11">
      <c r="B88" s="5"/>
      <c r="C88" s="65"/>
      <c r="D88" s="66"/>
      <c r="E88" s="65" t="s">
        <v>257</v>
      </c>
      <c r="F88" s="1"/>
      <c r="G88" s="1"/>
      <c r="H88" s="1"/>
      <c r="I88" s="1"/>
      <c r="J88" s="1"/>
      <c r="K88" s="1"/>
    </row>
    <row r="89" spans="2:11">
      <c r="B89" s="66"/>
      <c r="C89" s="65" t="s">
        <v>249</v>
      </c>
      <c r="D89" s="49" t="s">
        <v>256</v>
      </c>
      <c r="E89" s="66" t="s">
        <v>763</v>
      </c>
      <c r="F89" s="66" t="s">
        <v>257</v>
      </c>
      <c r="G89" s="66" t="s">
        <v>258</v>
      </c>
      <c r="H89" s="66" t="s">
        <v>926</v>
      </c>
      <c r="I89" s="66" t="s">
        <v>1026</v>
      </c>
      <c r="J89" s="66" t="s">
        <v>1060</v>
      </c>
      <c r="K89" s="66" t="s">
        <v>1061</v>
      </c>
    </row>
    <row r="90" spans="2:11" ht="15.75" thickBot="1">
      <c r="B90" s="136"/>
      <c r="C90" s="68" t="s">
        <v>1</v>
      </c>
      <c r="D90" s="68" t="s">
        <v>1</v>
      </c>
      <c r="E90" s="68" t="s">
        <v>720</v>
      </c>
      <c r="F90" s="68" t="s">
        <v>19</v>
      </c>
      <c r="G90" s="68" t="str">
        <f>$M$1</f>
        <v>Adopted</v>
      </c>
      <c r="H90" s="68" t="s">
        <v>19</v>
      </c>
      <c r="I90" s="68" t="s">
        <v>19</v>
      </c>
      <c r="J90" s="68" t="s">
        <v>19</v>
      </c>
      <c r="K90" s="68" t="s">
        <v>19</v>
      </c>
    </row>
    <row r="91" spans="2:11">
      <c r="B91" s="64"/>
      <c r="C91" s="137"/>
      <c r="D91" s="2"/>
      <c r="E91" s="2"/>
      <c r="F91" s="2"/>
      <c r="G91" s="2"/>
      <c r="H91" s="2"/>
      <c r="I91" s="2"/>
      <c r="J91" s="2"/>
      <c r="K91" s="2"/>
    </row>
    <row r="92" spans="2:11">
      <c r="B92" s="128" t="s">
        <v>764</v>
      </c>
      <c r="C92" s="2"/>
      <c r="D92" s="2"/>
      <c r="E92" s="2"/>
      <c r="F92" s="2"/>
      <c r="G92" s="2"/>
      <c r="H92" s="2"/>
      <c r="I92" s="2"/>
      <c r="J92" s="2"/>
      <c r="K92" s="2"/>
    </row>
    <row r="93" spans="2:11" ht="20.100000000000001" customHeight="1">
      <c r="B93" s="437" t="s">
        <v>765</v>
      </c>
      <c r="C93" s="2">
        <f>'Budget Detail FY 2014-21'!L300</f>
        <v>7467</v>
      </c>
      <c r="D93" s="2">
        <f>'Budget Detail FY 2014-21'!M300</f>
        <v>17417</v>
      </c>
      <c r="E93" s="2">
        <f>'Budget Detail FY 2014-21'!N300</f>
        <v>18608</v>
      </c>
      <c r="F93" s="2">
        <f>'Budget Detail FY 2014-21'!O300</f>
        <v>18608</v>
      </c>
      <c r="G93" s="2">
        <f>'Budget Detail FY 2014-21'!P300</f>
        <v>20392</v>
      </c>
      <c r="H93" s="2">
        <f>'Budget Detail FY 2014-21'!Q300</f>
        <v>20392</v>
      </c>
      <c r="I93" s="2">
        <f>'Budget Detail FY 2014-21'!R300</f>
        <v>20392</v>
      </c>
      <c r="J93" s="2">
        <f>'Budget Detail FY 2014-21'!S300</f>
        <v>20392</v>
      </c>
      <c r="K93" s="2">
        <f>'Budget Detail FY 2014-21'!T300</f>
        <v>20392</v>
      </c>
    </row>
    <row r="94" spans="2:11" ht="20.100000000000001" customHeight="1">
      <c r="B94" s="437" t="s">
        <v>770</v>
      </c>
      <c r="C94" s="2">
        <f>'Budget Detail FY 2014-21'!L301</f>
        <v>2</v>
      </c>
      <c r="D94" s="2">
        <f>'Budget Detail FY 2014-21'!M301</f>
        <v>0</v>
      </c>
      <c r="E94" s="2">
        <f>'Budget Detail FY 2014-21'!N301</f>
        <v>0</v>
      </c>
      <c r="F94" s="2">
        <f>'Budget Detail FY 2014-21'!O301</f>
        <v>0</v>
      </c>
      <c r="G94" s="2">
        <f>'Budget Detail FY 2014-21'!P301</f>
        <v>0</v>
      </c>
      <c r="H94" s="2">
        <f>'Budget Detail FY 2014-21'!Q301</f>
        <v>0</v>
      </c>
      <c r="I94" s="2">
        <f>'Budget Detail FY 2014-21'!R301</f>
        <v>0</v>
      </c>
      <c r="J94" s="2">
        <f>'Budget Detail FY 2014-21'!S301</f>
        <v>0</v>
      </c>
      <c r="K94" s="2">
        <f>'Budget Detail FY 2014-21'!T301</f>
        <v>0</v>
      </c>
    </row>
    <row r="95" spans="2:11" ht="20.100000000000001" customHeight="1" thickBot="1">
      <c r="B95" s="127" t="s">
        <v>774</v>
      </c>
      <c r="C95" s="124">
        <f t="shared" ref="C95:J95" si="8">SUM(C93:C94)</f>
        <v>7469</v>
      </c>
      <c r="D95" s="124">
        <f t="shared" si="8"/>
        <v>17417</v>
      </c>
      <c r="E95" s="124">
        <f t="shared" si="8"/>
        <v>18608</v>
      </c>
      <c r="F95" s="124">
        <f t="shared" si="8"/>
        <v>18608</v>
      </c>
      <c r="G95" s="124">
        <f t="shared" si="8"/>
        <v>20392</v>
      </c>
      <c r="H95" s="124">
        <f t="shared" si="8"/>
        <v>20392</v>
      </c>
      <c r="I95" s="124">
        <f t="shared" si="8"/>
        <v>20392</v>
      </c>
      <c r="J95" s="124">
        <f t="shared" si="8"/>
        <v>20392</v>
      </c>
      <c r="K95" s="124">
        <f>SUM(K93:K94)</f>
        <v>20392</v>
      </c>
    </row>
    <row r="96" spans="2:11">
      <c r="B96" s="1"/>
      <c r="C96" s="2"/>
      <c r="D96" s="2"/>
      <c r="E96" s="2"/>
      <c r="F96" s="2"/>
      <c r="G96" s="2"/>
      <c r="H96" s="2"/>
      <c r="I96" s="2"/>
      <c r="J96" s="2"/>
      <c r="K96" s="2"/>
    </row>
    <row r="97" spans="2:11">
      <c r="B97" s="128" t="s">
        <v>548</v>
      </c>
      <c r="C97" s="2"/>
      <c r="D97" s="2"/>
      <c r="E97" s="2"/>
      <c r="F97" s="2"/>
      <c r="G97" s="2"/>
      <c r="H97" s="2"/>
      <c r="I97" s="2"/>
      <c r="J97" s="2"/>
      <c r="K97" s="2"/>
    </row>
    <row r="98" spans="2:11" ht="20.100000000000001" customHeight="1">
      <c r="B98" s="439" t="s">
        <v>777</v>
      </c>
      <c r="C98" s="2">
        <f>SUM('Budget Detail FY 2014-21'!L305:L306)</f>
        <v>12635</v>
      </c>
      <c r="D98" s="2">
        <f>SUM('Budget Detail FY 2014-21'!M305:M306)</f>
        <v>40098</v>
      </c>
      <c r="E98" s="2">
        <f>SUM('Budget Detail FY 2014-21'!N305:N306)</f>
        <v>37594</v>
      </c>
      <c r="F98" s="2">
        <f>SUM('Budget Detail FY 2014-21'!O305:O306)</f>
        <v>37857</v>
      </c>
      <c r="G98" s="2">
        <f>SUM('Budget Detail FY 2014-21'!P305:P306)</f>
        <v>17534</v>
      </c>
      <c r="H98" s="2">
        <f>SUM('Budget Detail FY 2014-21'!Q305:Q306)</f>
        <v>19841</v>
      </c>
      <c r="I98" s="2">
        <f>SUM('Budget Detail FY 2014-21'!R305:R306)</f>
        <v>13841</v>
      </c>
      <c r="J98" s="2">
        <f>SUM('Budget Detail FY 2014-21'!S305:S306)</f>
        <v>13841</v>
      </c>
      <c r="K98" s="2">
        <f>SUM('Budget Detail FY 2014-21'!T305:T306)</f>
        <v>13841</v>
      </c>
    </row>
    <row r="99" spans="2:11" ht="20.100000000000001" customHeight="1" thickBot="1">
      <c r="B99" s="127" t="s">
        <v>782</v>
      </c>
      <c r="C99" s="124">
        <f t="shared" ref="C99:J99" si="9">SUM(C98:C98)</f>
        <v>12635</v>
      </c>
      <c r="D99" s="124">
        <f t="shared" si="9"/>
        <v>40098</v>
      </c>
      <c r="E99" s="124">
        <f t="shared" si="9"/>
        <v>37594</v>
      </c>
      <c r="F99" s="124">
        <f t="shared" si="9"/>
        <v>37857</v>
      </c>
      <c r="G99" s="124">
        <f t="shared" si="9"/>
        <v>17534</v>
      </c>
      <c r="H99" s="124">
        <f t="shared" si="9"/>
        <v>19841</v>
      </c>
      <c r="I99" s="124">
        <f t="shared" si="9"/>
        <v>13841</v>
      </c>
      <c r="J99" s="124">
        <f t="shared" si="9"/>
        <v>13841</v>
      </c>
      <c r="K99" s="124">
        <f>SUM(K98:K98)</f>
        <v>13841</v>
      </c>
    </row>
    <row r="100" spans="2:11">
      <c r="B100" s="130"/>
      <c r="C100" s="3"/>
      <c r="D100" s="2"/>
      <c r="E100" s="2"/>
      <c r="F100" s="2"/>
      <c r="G100" s="2"/>
      <c r="H100" s="2"/>
      <c r="I100" s="2"/>
      <c r="J100" s="2"/>
      <c r="K100" s="2"/>
    </row>
    <row r="101" spans="2:11" ht="20.100000000000001" customHeight="1">
      <c r="B101" s="441" t="s">
        <v>783</v>
      </c>
      <c r="C101" s="3">
        <f t="shared" ref="C101:K101" si="10">+C95-C99</f>
        <v>-5166</v>
      </c>
      <c r="D101" s="3">
        <f t="shared" si="10"/>
        <v>-22681</v>
      </c>
      <c r="E101" s="3">
        <f t="shared" si="10"/>
        <v>-18986</v>
      </c>
      <c r="F101" s="3">
        <f t="shared" si="10"/>
        <v>-19249</v>
      </c>
      <c r="G101" s="3">
        <f t="shared" si="10"/>
        <v>2858</v>
      </c>
      <c r="H101" s="3">
        <f t="shared" si="10"/>
        <v>551</v>
      </c>
      <c r="I101" s="3">
        <f t="shared" si="10"/>
        <v>6551</v>
      </c>
      <c r="J101" s="3">
        <f t="shared" si="10"/>
        <v>6551</v>
      </c>
      <c r="K101" s="3">
        <f t="shared" si="10"/>
        <v>6551</v>
      </c>
    </row>
    <row r="102" spans="2:11">
      <c r="B102" s="131"/>
      <c r="C102" s="3"/>
      <c r="D102" s="2"/>
      <c r="E102" s="2"/>
      <c r="F102" s="2"/>
      <c r="G102" s="2"/>
      <c r="H102" s="2"/>
      <c r="I102" s="2"/>
      <c r="J102" s="2"/>
      <c r="K102" s="2"/>
    </row>
    <row r="103" spans="2:11" ht="20.100000000000001" customHeight="1" thickBot="1">
      <c r="B103" s="126" t="s">
        <v>784</v>
      </c>
      <c r="C103" s="81">
        <v>2574</v>
      </c>
      <c r="D103" s="81">
        <v>-20108</v>
      </c>
      <c r="E103" s="81">
        <v>-49980</v>
      </c>
      <c r="F103" s="81">
        <f>D103+F101</f>
        <v>-39357</v>
      </c>
      <c r="G103" s="81">
        <f>F103+G101</f>
        <v>-36499</v>
      </c>
      <c r="H103" s="81">
        <f>G103+H101</f>
        <v>-35948</v>
      </c>
      <c r="I103" s="81">
        <f>H103+I101</f>
        <v>-29397</v>
      </c>
      <c r="J103" s="81">
        <f>I103+J101</f>
        <v>-22846</v>
      </c>
      <c r="K103" s="81">
        <f>J103+K101</f>
        <v>-16295</v>
      </c>
    </row>
    <row r="104" spans="2:11" s="487" customFormat="1" ht="15.75" thickTop="1">
      <c r="B104" s="130"/>
      <c r="C104" s="133">
        <f t="shared" ref="C104:K104" si="11">C103/C99</f>
        <v>0.2037198258804907</v>
      </c>
      <c r="D104" s="133">
        <f t="shared" si="11"/>
        <v>-0.50147139508204897</v>
      </c>
      <c r="E104" s="133">
        <f t="shared" si="11"/>
        <v>-1.3294674682130128</v>
      </c>
      <c r="F104" s="133">
        <f t="shared" si="11"/>
        <v>-1.0396227910294</v>
      </c>
      <c r="G104" s="133">
        <f t="shared" si="11"/>
        <v>-2.0816128664309343</v>
      </c>
      <c r="H104" s="133">
        <f t="shared" si="11"/>
        <v>-1.8118038405322312</v>
      </c>
      <c r="I104" s="133">
        <f t="shared" si="11"/>
        <v>-2.1239072321364065</v>
      </c>
      <c r="J104" s="133">
        <f t="shared" si="11"/>
        <v>-1.6506032801098187</v>
      </c>
      <c r="K104" s="133">
        <f t="shared" si="11"/>
        <v>-1.1772993280832309</v>
      </c>
    </row>
    <row r="105" spans="2:11">
      <c r="B105" s="132"/>
      <c r="C105" s="138"/>
      <c r="D105" s="138"/>
      <c r="E105" s="138"/>
      <c r="F105" s="138"/>
      <c r="G105" s="138"/>
      <c r="H105" s="138"/>
      <c r="I105" s="138"/>
      <c r="J105" s="138"/>
      <c r="K105" s="138"/>
    </row>
    <row r="106" spans="2:11">
      <c r="B106" s="1"/>
      <c r="C106" s="2"/>
      <c r="D106" s="2"/>
      <c r="E106" s="2"/>
      <c r="F106" s="2"/>
      <c r="G106" s="2"/>
      <c r="H106" s="2"/>
      <c r="I106" s="2"/>
      <c r="J106" s="2"/>
      <c r="K106" s="2"/>
    </row>
    <row r="107" spans="2:11">
      <c r="B107" s="1"/>
      <c r="C107" s="2"/>
      <c r="D107" s="2"/>
      <c r="E107" s="2"/>
      <c r="F107" s="2"/>
      <c r="G107" s="2"/>
      <c r="H107" s="2"/>
      <c r="I107" s="2"/>
      <c r="J107" s="2"/>
      <c r="K107" s="2"/>
    </row>
    <row r="108" spans="2:11">
      <c r="B108" s="1"/>
      <c r="C108" s="2"/>
      <c r="D108" s="2"/>
      <c r="E108" s="2"/>
      <c r="F108" s="2"/>
      <c r="G108" s="2"/>
      <c r="H108" s="2"/>
      <c r="I108" s="2"/>
      <c r="J108" s="2"/>
      <c r="K108" s="2"/>
    </row>
    <row r="109" spans="2:11">
      <c r="B109" s="1"/>
      <c r="C109" s="2"/>
      <c r="D109" s="2"/>
      <c r="E109" s="2"/>
      <c r="F109" s="2"/>
      <c r="G109" s="2"/>
      <c r="H109" s="2"/>
      <c r="I109" s="2"/>
      <c r="J109" s="2"/>
      <c r="K109" s="2"/>
    </row>
    <row r="110" spans="2:11">
      <c r="B110" s="1"/>
      <c r="C110" s="2"/>
      <c r="D110" s="2"/>
      <c r="E110" s="2"/>
      <c r="F110" s="2"/>
      <c r="G110" s="2"/>
      <c r="H110" s="2"/>
      <c r="I110" s="2"/>
      <c r="J110" s="2"/>
      <c r="K110" s="2"/>
    </row>
    <row r="111" spans="2:11">
      <c r="B111" s="1"/>
      <c r="C111" s="2"/>
      <c r="D111" s="2"/>
      <c r="E111" s="2"/>
      <c r="F111" s="2"/>
      <c r="G111" s="2"/>
      <c r="H111" s="2"/>
      <c r="I111" s="2"/>
      <c r="J111" s="2"/>
      <c r="K111" s="2"/>
    </row>
    <row r="112" spans="2:11">
      <c r="B112" s="1"/>
      <c r="C112" s="2"/>
      <c r="D112" s="2"/>
      <c r="E112" s="2"/>
      <c r="F112" s="2"/>
      <c r="G112" s="2"/>
      <c r="H112" s="2"/>
      <c r="I112" s="2"/>
      <c r="J112" s="2"/>
      <c r="K112" s="2"/>
    </row>
    <row r="113" spans="2:11">
      <c r="B113" s="1"/>
      <c r="C113" s="2"/>
      <c r="D113" s="2"/>
      <c r="E113" s="2"/>
      <c r="F113" s="2"/>
      <c r="G113" s="2"/>
      <c r="H113" s="2"/>
      <c r="I113" s="2"/>
      <c r="J113" s="2"/>
      <c r="K113" s="2"/>
    </row>
    <row r="114" spans="2:11">
      <c r="B114" s="1"/>
      <c r="C114" s="2"/>
      <c r="D114" s="2"/>
      <c r="E114" s="2"/>
      <c r="F114" s="2"/>
      <c r="G114" s="2"/>
      <c r="H114" s="2"/>
      <c r="I114" s="2"/>
      <c r="J114" s="2"/>
      <c r="K114" s="2"/>
    </row>
    <row r="115" spans="2:11">
      <c r="B115" s="1"/>
      <c r="C115" s="2"/>
      <c r="D115" s="2"/>
      <c r="E115" s="2"/>
      <c r="F115" s="2"/>
      <c r="G115" s="2"/>
      <c r="H115" s="2"/>
      <c r="I115" s="2"/>
      <c r="J115" s="2"/>
      <c r="K115" s="2"/>
    </row>
    <row r="116" spans="2:11" ht="21" customHeight="1">
      <c r="B116" s="1"/>
      <c r="C116" s="2"/>
      <c r="D116" s="2"/>
      <c r="E116" s="2"/>
      <c r="F116" s="2"/>
      <c r="G116" s="2"/>
      <c r="H116" s="2"/>
      <c r="I116" s="2"/>
      <c r="J116" s="2"/>
      <c r="K116" s="2"/>
    </row>
    <row r="118" spans="2:11">
      <c r="B118" s="764" t="s">
        <v>789</v>
      </c>
      <c r="C118" s="764"/>
      <c r="D118" s="764"/>
      <c r="E118" s="764"/>
      <c r="F118" s="764"/>
      <c r="G118" s="764"/>
      <c r="H118" s="764"/>
      <c r="I118" s="764"/>
      <c r="J118" s="764"/>
      <c r="K118" s="764"/>
    </row>
    <row r="119" spans="2:11">
      <c r="B119" s="65"/>
      <c r="C119" s="3"/>
      <c r="D119" s="2"/>
      <c r="E119" s="2"/>
      <c r="F119" s="2"/>
      <c r="G119" s="2"/>
      <c r="H119" s="2"/>
      <c r="I119" s="2"/>
      <c r="J119" s="2"/>
      <c r="K119" s="2"/>
    </row>
    <row r="120" spans="2:11" ht="12.75" customHeight="1">
      <c r="B120" s="761" t="s">
        <v>1194</v>
      </c>
      <c r="C120" s="761"/>
      <c r="D120" s="761"/>
      <c r="E120" s="761"/>
      <c r="F120" s="761"/>
      <c r="G120" s="761"/>
      <c r="H120" s="761"/>
      <c r="I120" s="761"/>
      <c r="J120" s="761"/>
      <c r="K120" s="761"/>
    </row>
    <row r="121" spans="2:11" ht="18.75" customHeight="1">
      <c r="B121" s="761"/>
      <c r="C121" s="761"/>
      <c r="D121" s="761"/>
      <c r="E121" s="761"/>
      <c r="F121" s="761"/>
      <c r="G121" s="761"/>
      <c r="H121" s="761"/>
      <c r="I121" s="761"/>
      <c r="J121" s="761"/>
      <c r="K121" s="761"/>
    </row>
    <row r="122" spans="2:11" ht="7.5" customHeight="1">
      <c r="B122" s="482"/>
      <c r="C122" s="488"/>
      <c r="D122" s="488"/>
      <c r="E122" s="489"/>
      <c r="F122" s="2"/>
      <c r="G122" s="2"/>
      <c r="H122" s="2"/>
      <c r="I122" s="2"/>
      <c r="J122" s="2"/>
      <c r="K122" s="2"/>
    </row>
    <row r="123" spans="2:11">
      <c r="B123" s="490"/>
      <c r="C123" s="65"/>
      <c r="D123" s="66"/>
      <c r="E123" s="65" t="s">
        <v>257</v>
      </c>
      <c r="F123" s="1"/>
      <c r="G123" s="1"/>
      <c r="H123" s="1"/>
      <c r="I123" s="1"/>
      <c r="J123" s="1"/>
      <c r="K123" s="1"/>
    </row>
    <row r="124" spans="2:11">
      <c r="B124" s="66"/>
      <c r="C124" s="65" t="s">
        <v>249</v>
      </c>
      <c r="D124" s="49" t="s">
        <v>256</v>
      </c>
      <c r="E124" s="66" t="s">
        <v>763</v>
      </c>
      <c r="F124" s="66" t="s">
        <v>257</v>
      </c>
      <c r="G124" s="66" t="s">
        <v>258</v>
      </c>
      <c r="H124" s="66" t="s">
        <v>926</v>
      </c>
      <c r="I124" s="66" t="s">
        <v>1026</v>
      </c>
      <c r="J124" s="66" t="s">
        <v>1060</v>
      </c>
      <c r="K124" s="66" t="s">
        <v>1061</v>
      </c>
    </row>
    <row r="125" spans="2:11" ht="15.75" thickBot="1">
      <c r="B125" s="136"/>
      <c r="C125" s="68" t="s">
        <v>1</v>
      </c>
      <c r="D125" s="68" t="s">
        <v>1</v>
      </c>
      <c r="E125" s="68" t="s">
        <v>720</v>
      </c>
      <c r="F125" s="68" t="s">
        <v>19</v>
      </c>
      <c r="G125" s="68" t="str">
        <f>$M$1</f>
        <v>Adopted</v>
      </c>
      <c r="H125" s="68" t="s">
        <v>19</v>
      </c>
      <c r="I125" s="68" t="s">
        <v>19</v>
      </c>
      <c r="J125" s="68" t="s">
        <v>19</v>
      </c>
      <c r="K125" s="68" t="s">
        <v>19</v>
      </c>
    </row>
    <row r="126" spans="2:11">
      <c r="B126" s="64"/>
      <c r="C126" s="137"/>
      <c r="D126" s="2"/>
      <c r="E126" s="2"/>
      <c r="F126" s="2"/>
      <c r="G126" s="2"/>
      <c r="H126" s="2"/>
      <c r="I126" s="2"/>
      <c r="J126" s="2"/>
      <c r="K126" s="2"/>
    </row>
    <row r="127" spans="2:11">
      <c r="B127" s="128" t="s">
        <v>764</v>
      </c>
      <c r="C127" s="2"/>
      <c r="D127" s="2"/>
      <c r="E127" s="2"/>
      <c r="F127" s="2"/>
      <c r="G127" s="2"/>
      <c r="H127" s="2"/>
      <c r="I127" s="2"/>
      <c r="J127" s="2"/>
      <c r="K127" s="2"/>
    </row>
    <row r="128" spans="2:11" ht="20.100000000000001" customHeight="1">
      <c r="B128" s="437" t="s">
        <v>766</v>
      </c>
      <c r="C128" s="2">
        <f>SUM('Budget Detail FY 2014-21'!L317:L324)</f>
        <v>812172</v>
      </c>
      <c r="D128" s="2">
        <f>SUM('Budget Detail FY 2014-21'!M317:M324)</f>
        <v>837536</v>
      </c>
      <c r="E128" s="2">
        <f>SUM('Budget Detail FY 2014-21'!N317:N324)</f>
        <v>483500</v>
      </c>
      <c r="F128" s="2">
        <f>SUM('Budget Detail FY 2014-21'!O317:O324)</f>
        <v>473350</v>
      </c>
      <c r="G128" s="2">
        <f>SUM('Budget Detail FY 2014-21'!P317:P324)</f>
        <v>487254</v>
      </c>
      <c r="H128" s="2">
        <f>SUM('Budget Detail FY 2014-21'!Q317:Q324)</f>
        <v>474000</v>
      </c>
      <c r="I128" s="2">
        <f>SUM('Budget Detail FY 2014-21'!R317:R324)</f>
        <v>474000</v>
      </c>
      <c r="J128" s="2">
        <f>SUM('Budget Detail FY 2014-21'!S317:S324)</f>
        <v>474000</v>
      </c>
      <c r="K128" s="2">
        <f>SUM('Budget Detail FY 2014-21'!T317:T324)</f>
        <v>474000</v>
      </c>
    </row>
    <row r="129" spans="2:11" ht="20.100000000000001" customHeight="1">
      <c r="B129" s="438" t="s">
        <v>770</v>
      </c>
      <c r="C129" s="2">
        <f>'Budget Detail FY 2014-21'!L325+'Budget Detail FY 2014-21'!L326</f>
        <v>3417</v>
      </c>
      <c r="D129" s="2">
        <f>'Budget Detail FY 2014-21'!M325+'Budget Detail FY 2014-21'!M326</f>
        <v>3307</v>
      </c>
      <c r="E129" s="2">
        <f>'Budget Detail FY 2014-21'!N325+'Budget Detail FY 2014-21'!N326</f>
        <v>500</v>
      </c>
      <c r="F129" s="2">
        <f>'Budget Detail FY 2014-21'!O325+'Budget Detail FY 2014-21'!O326</f>
        <v>300</v>
      </c>
      <c r="G129" s="2">
        <f>'Budget Detail FY 2014-21'!P325+'Budget Detail FY 2014-21'!P326</f>
        <v>300</v>
      </c>
      <c r="H129" s="2">
        <f>'Budget Detail FY 2014-21'!Q325+'Budget Detail FY 2014-21'!Q326</f>
        <v>300</v>
      </c>
      <c r="I129" s="2">
        <f>'Budget Detail FY 2014-21'!R325+'Budget Detail FY 2014-21'!R326</f>
        <v>300</v>
      </c>
      <c r="J129" s="2">
        <f>'Budget Detail FY 2014-21'!S325+'Budget Detail FY 2014-21'!S326</f>
        <v>300</v>
      </c>
      <c r="K129" s="2">
        <f>'Budget Detail FY 2014-21'!T325+'Budget Detail FY 2014-21'!T326</f>
        <v>300</v>
      </c>
    </row>
    <row r="130" spans="2:11" ht="20.100000000000001" customHeight="1">
      <c r="B130" s="438" t="s">
        <v>771</v>
      </c>
      <c r="C130" s="2">
        <f>SUM('Budget Detail FY 2014-21'!L327:L327)</f>
        <v>110</v>
      </c>
      <c r="D130" s="2">
        <f>SUM('Budget Detail FY 2014-21'!M327:M327)</f>
        <v>4064</v>
      </c>
      <c r="E130" s="2">
        <f>SUM('Budget Detail FY 2014-21'!N327:N327)</f>
        <v>0</v>
      </c>
      <c r="F130" s="2">
        <f>SUM('Budget Detail FY 2014-21'!O327:O327)</f>
        <v>0</v>
      </c>
      <c r="G130" s="2">
        <f>SUM('Budget Detail FY 2014-21'!P327:P327)</f>
        <v>0</v>
      </c>
      <c r="H130" s="2">
        <f>SUM('Budget Detail FY 2014-21'!Q327:Q327)</f>
        <v>0</v>
      </c>
      <c r="I130" s="2">
        <f>SUM('Budget Detail FY 2014-21'!R327:R327)</f>
        <v>0</v>
      </c>
      <c r="J130" s="2">
        <f>SUM('Budget Detail FY 2014-21'!S327:S327)</f>
        <v>0</v>
      </c>
      <c r="K130" s="2">
        <f>SUM('Budget Detail FY 2014-21'!T327:T327)</f>
        <v>0</v>
      </c>
    </row>
    <row r="131" spans="2:11" ht="20.100000000000001" customHeight="1">
      <c r="B131" s="438" t="s">
        <v>773</v>
      </c>
      <c r="C131" s="2">
        <f>'Budget Detail FY 2014-21'!L328+'Budget Detail FY 2014-21'!L329</f>
        <v>0</v>
      </c>
      <c r="D131" s="2">
        <f>'Budget Detail FY 2014-21'!M328+'Budget Detail FY 2014-21'!M329</f>
        <v>7148</v>
      </c>
      <c r="E131" s="2">
        <f>'Budget Detail FY 2014-21'!N328+'Budget Detail FY 2014-21'!N329</f>
        <v>0</v>
      </c>
      <c r="F131" s="2">
        <f>'Budget Detail FY 2014-21'!O328+'Budget Detail FY 2014-21'!O329</f>
        <v>20000</v>
      </c>
      <c r="G131" s="2">
        <f>'Budget Detail FY 2014-21'!P328+'Budget Detail FY 2014-21'!P329</f>
        <v>25023</v>
      </c>
      <c r="H131" s="2">
        <f>'Budget Detail FY 2014-21'!Q328+'Budget Detail FY 2014-21'!Q329</f>
        <v>0</v>
      </c>
      <c r="I131" s="2">
        <f>'Budget Detail FY 2014-21'!R328+'Budget Detail FY 2014-21'!R329</f>
        <v>0</v>
      </c>
      <c r="J131" s="2">
        <f>'Budget Detail FY 2014-21'!S328+'Budget Detail FY 2014-21'!S329</f>
        <v>0</v>
      </c>
      <c r="K131" s="2">
        <f>'Budget Detail FY 2014-21'!T328+'Budget Detail FY 2014-21'!T329</f>
        <v>0</v>
      </c>
    </row>
    <row r="132" spans="2:11" ht="20.100000000000001" customHeight="1" thickBot="1">
      <c r="B132" s="127" t="s">
        <v>774</v>
      </c>
      <c r="C132" s="124">
        <f>SUM(C128:C131)</f>
        <v>815699</v>
      </c>
      <c r="D132" s="124">
        <f t="shared" ref="D132:K132" si="12">SUM(D128:D131)</f>
        <v>852055</v>
      </c>
      <c r="E132" s="124">
        <f t="shared" si="12"/>
        <v>484000</v>
      </c>
      <c r="F132" s="124">
        <f t="shared" si="12"/>
        <v>493650</v>
      </c>
      <c r="G132" s="124">
        <f t="shared" si="12"/>
        <v>512577</v>
      </c>
      <c r="H132" s="124">
        <f t="shared" si="12"/>
        <v>474300</v>
      </c>
      <c r="I132" s="124">
        <f t="shared" si="12"/>
        <v>474300</v>
      </c>
      <c r="J132" s="124">
        <f t="shared" si="12"/>
        <v>474300</v>
      </c>
      <c r="K132" s="124">
        <f t="shared" si="12"/>
        <v>474300</v>
      </c>
    </row>
    <row r="133" spans="2:11" ht="7.5" customHeight="1">
      <c r="B133" s="1"/>
      <c r="C133" s="2"/>
      <c r="D133" s="2"/>
      <c r="E133" s="2"/>
      <c r="F133" s="2"/>
      <c r="G133" s="2"/>
      <c r="H133" s="2"/>
      <c r="I133" s="2"/>
      <c r="J133" s="2"/>
      <c r="K133" s="2"/>
    </row>
    <row r="134" spans="2:11">
      <c r="B134" s="128" t="s">
        <v>548</v>
      </c>
      <c r="C134" s="2"/>
      <c r="D134" s="2"/>
      <c r="E134" s="2"/>
      <c r="F134" s="2"/>
      <c r="G134" s="2"/>
      <c r="H134" s="2"/>
      <c r="I134" s="2"/>
      <c r="J134" s="2"/>
      <c r="K134" s="2"/>
    </row>
    <row r="135" spans="2:11" ht="20.100000000000001" customHeight="1">
      <c r="B135" s="439" t="s">
        <v>777</v>
      </c>
      <c r="C135" s="2">
        <f>SUM('Budget Detail FY 2014-21'!L333:L335)</f>
        <v>7750</v>
      </c>
      <c r="D135" s="2">
        <f>SUM('Budget Detail FY 2014-21'!M333:M335)</f>
        <v>116902</v>
      </c>
      <c r="E135" s="2">
        <f>SUM('Budget Detail FY 2014-21'!N333:N335)</f>
        <v>117210</v>
      </c>
      <c r="F135" s="2">
        <f>SUM('Budget Detail FY 2014-21'!O333:O335)</f>
        <v>117210</v>
      </c>
      <c r="G135" s="2">
        <f>SUM('Budget Detail FY 2014-21'!P333:P335)</f>
        <v>123793</v>
      </c>
      <c r="H135" s="2">
        <f>SUM('Budget Detail FY 2014-21'!Q333:Q335)</f>
        <v>130771</v>
      </c>
      <c r="I135" s="2">
        <f>SUM('Budget Detail FY 2014-21'!R333:R335)</f>
        <v>138167</v>
      </c>
      <c r="J135" s="2">
        <f>SUM('Budget Detail FY 2014-21'!S333:S335)</f>
        <v>138507</v>
      </c>
      <c r="K135" s="2">
        <f>SUM('Budget Detail FY 2014-21'!T333:T335)</f>
        <v>146817</v>
      </c>
    </row>
    <row r="136" spans="2:11" ht="20.100000000000001" customHeight="1">
      <c r="B136" s="439" t="s">
        <v>778</v>
      </c>
      <c r="C136" s="2">
        <f>SUM('Budget Detail FY 2014-21'!L336:L339)</f>
        <v>107617</v>
      </c>
      <c r="D136" s="2">
        <f>SUM('Budget Detail FY 2014-21'!M336:M339)</f>
        <v>190820</v>
      </c>
      <c r="E136" s="2">
        <f>SUM('Budget Detail FY 2014-21'!N336:N339)</f>
        <v>203000</v>
      </c>
      <c r="F136" s="2">
        <f>SUM('Budget Detail FY 2014-21'!O336:O339)</f>
        <v>203000</v>
      </c>
      <c r="G136" s="2">
        <f>SUM('Budget Detail FY 2014-21'!P336:P339)</f>
        <v>193000</v>
      </c>
      <c r="H136" s="2">
        <f>SUM('Budget Detail FY 2014-21'!Q336:Q339)</f>
        <v>193000</v>
      </c>
      <c r="I136" s="2">
        <f>SUM('Budget Detail FY 2014-21'!R336:R339)</f>
        <v>193000</v>
      </c>
      <c r="J136" s="2">
        <f>SUM('Budget Detail FY 2014-21'!S336:S339)</f>
        <v>193000</v>
      </c>
      <c r="K136" s="2">
        <f>SUM('Budget Detail FY 2014-21'!T336:T339)</f>
        <v>193000</v>
      </c>
    </row>
    <row r="137" spans="2:11" ht="20.100000000000001" customHeight="1">
      <c r="B137" s="439" t="s">
        <v>779</v>
      </c>
      <c r="C137" s="2">
        <f>SUM('Budget Detail FY 2014-21'!L340:L346)</f>
        <v>832384</v>
      </c>
      <c r="D137" s="2">
        <f>SUM('Budget Detail FY 2014-21'!M340:M346)</f>
        <v>654506</v>
      </c>
      <c r="E137" s="2">
        <f>SUM('Budget Detail FY 2014-21'!N340:N346)</f>
        <v>551287</v>
      </c>
      <c r="F137" s="2">
        <f>SUM('Budget Detail FY 2014-21'!O340:O346)</f>
        <v>381640</v>
      </c>
      <c r="G137" s="2">
        <f>SUM('Budget Detail FY 2014-21'!P340:P346)</f>
        <v>423787</v>
      </c>
      <c r="H137" s="2">
        <f>SUM('Budget Detail FY 2014-21'!Q340:Q346)</f>
        <v>373787</v>
      </c>
      <c r="I137" s="2">
        <f>SUM('Budget Detail FY 2014-21'!R340:R346)</f>
        <v>323787</v>
      </c>
      <c r="J137" s="2">
        <f>SUM('Budget Detail FY 2014-21'!S340:S346)</f>
        <v>272960</v>
      </c>
      <c r="K137" s="2">
        <f>SUM('Budget Detail FY 2014-21'!T340:T346)</f>
        <v>134483</v>
      </c>
    </row>
    <row r="138" spans="2:11" ht="20.100000000000001" customHeight="1" thickBot="1">
      <c r="B138" s="127" t="s">
        <v>782</v>
      </c>
      <c r="C138" s="124">
        <f t="shared" ref="C138:K138" si="13">SUM(C135:C137)</f>
        <v>947751</v>
      </c>
      <c r="D138" s="124">
        <f t="shared" si="13"/>
        <v>962228</v>
      </c>
      <c r="E138" s="124">
        <f t="shared" si="13"/>
        <v>871497</v>
      </c>
      <c r="F138" s="124">
        <f t="shared" si="13"/>
        <v>701850</v>
      </c>
      <c r="G138" s="124">
        <f t="shared" si="13"/>
        <v>740580</v>
      </c>
      <c r="H138" s="124">
        <f t="shared" si="13"/>
        <v>697558</v>
      </c>
      <c r="I138" s="124">
        <f t="shared" si="13"/>
        <v>654954</v>
      </c>
      <c r="J138" s="124">
        <f t="shared" si="13"/>
        <v>604467</v>
      </c>
      <c r="K138" s="124">
        <f t="shared" si="13"/>
        <v>474300</v>
      </c>
    </row>
    <row r="139" spans="2:11" ht="7.5" customHeight="1">
      <c r="B139" s="130"/>
      <c r="C139" s="3"/>
      <c r="D139" s="2"/>
      <c r="E139" s="2"/>
      <c r="F139" s="2"/>
      <c r="G139" s="2"/>
      <c r="H139" s="2"/>
      <c r="I139" s="2"/>
      <c r="J139" s="2"/>
      <c r="K139" s="2"/>
    </row>
    <row r="140" spans="2:11" ht="20.100000000000001" customHeight="1">
      <c r="B140" s="441" t="s">
        <v>783</v>
      </c>
      <c r="C140" s="3">
        <f t="shared" ref="C140:K140" si="14">+C132-C138</f>
        <v>-132052</v>
      </c>
      <c r="D140" s="3">
        <f t="shared" si="14"/>
        <v>-110173</v>
      </c>
      <c r="E140" s="3">
        <f t="shared" si="14"/>
        <v>-387497</v>
      </c>
      <c r="F140" s="3">
        <f t="shared" si="14"/>
        <v>-208200</v>
      </c>
      <c r="G140" s="3">
        <f t="shared" si="14"/>
        <v>-228003</v>
      </c>
      <c r="H140" s="3">
        <f t="shared" si="14"/>
        <v>-223258</v>
      </c>
      <c r="I140" s="3">
        <f t="shared" si="14"/>
        <v>-180654</v>
      </c>
      <c r="J140" s="3">
        <f t="shared" si="14"/>
        <v>-130167</v>
      </c>
      <c r="K140" s="3">
        <f t="shared" si="14"/>
        <v>0</v>
      </c>
    </row>
    <row r="141" spans="2:11" ht="7.5" customHeight="1">
      <c r="B141" s="131"/>
      <c r="C141" s="3"/>
      <c r="D141" s="2"/>
      <c r="E141" s="2"/>
      <c r="F141" s="2"/>
      <c r="G141" s="2"/>
      <c r="H141" s="2"/>
      <c r="I141" s="2"/>
      <c r="J141" s="2"/>
      <c r="K141" s="2"/>
    </row>
    <row r="142" spans="2:11" ht="20.100000000000001" customHeight="1" thickBot="1">
      <c r="B142" s="126" t="s">
        <v>784</v>
      </c>
      <c r="C142" s="81">
        <v>1030456</v>
      </c>
      <c r="D142" s="81">
        <v>920282</v>
      </c>
      <c r="E142" s="81">
        <v>589656</v>
      </c>
      <c r="F142" s="81">
        <f>D142+F140</f>
        <v>712082</v>
      </c>
      <c r="G142" s="81">
        <f>F142+G140</f>
        <v>484079</v>
      </c>
      <c r="H142" s="81">
        <f>G142+H140</f>
        <v>260821</v>
      </c>
      <c r="I142" s="81">
        <f>H142+I140</f>
        <v>80167</v>
      </c>
      <c r="J142" s="81">
        <f>I142+J140</f>
        <v>-50000</v>
      </c>
      <c r="K142" s="81">
        <f>J142+K140</f>
        <v>-50000</v>
      </c>
    </row>
    <row r="143" spans="2:11" ht="15.75" thickTop="1">
      <c r="B143" s="132"/>
      <c r="C143" s="138"/>
      <c r="D143" s="138"/>
      <c r="E143" s="138"/>
      <c r="F143" s="138"/>
      <c r="G143" s="138"/>
      <c r="H143" s="138"/>
      <c r="I143" s="138"/>
      <c r="J143" s="138"/>
      <c r="K143" s="138"/>
    </row>
    <row r="144" spans="2:11">
      <c r="B144" s="1"/>
      <c r="C144" s="2"/>
      <c r="D144" s="2"/>
      <c r="E144" s="2"/>
      <c r="F144" s="2"/>
      <c r="G144" s="2"/>
      <c r="H144" s="2"/>
      <c r="I144" s="2"/>
      <c r="J144" s="2"/>
      <c r="K144" s="2"/>
    </row>
    <row r="145" spans="2:11">
      <c r="B145" s="1"/>
      <c r="C145" s="2"/>
      <c r="D145" s="2"/>
      <c r="E145" s="2"/>
      <c r="F145" s="2"/>
      <c r="G145" s="2"/>
      <c r="H145" s="2"/>
      <c r="I145" s="2"/>
      <c r="J145" s="2"/>
      <c r="K145" s="2"/>
    </row>
    <row r="146" spans="2:11">
      <c r="B146" s="1"/>
      <c r="C146" s="2"/>
      <c r="D146" s="2"/>
      <c r="E146" s="2"/>
      <c r="F146" s="2"/>
      <c r="G146" s="2"/>
      <c r="H146" s="2"/>
      <c r="I146" s="2"/>
      <c r="J146" s="2"/>
      <c r="K146" s="2"/>
    </row>
    <row r="147" spans="2:11">
      <c r="B147" s="1"/>
      <c r="C147" s="2"/>
      <c r="D147" s="2"/>
      <c r="E147" s="2"/>
      <c r="F147" s="2"/>
      <c r="G147" s="2"/>
      <c r="H147" s="2"/>
      <c r="I147" s="2"/>
      <c r="J147" s="2"/>
      <c r="K147" s="2"/>
    </row>
    <row r="148" spans="2:11">
      <c r="B148" s="1"/>
      <c r="C148" s="2"/>
      <c r="D148" s="2"/>
      <c r="E148" s="2"/>
      <c r="F148" s="2"/>
      <c r="G148" s="2"/>
      <c r="H148" s="2"/>
      <c r="I148" s="2"/>
      <c r="J148" s="2"/>
      <c r="K148" s="2"/>
    </row>
    <row r="149" spans="2:11">
      <c r="B149" s="1"/>
      <c r="C149" s="2"/>
      <c r="D149" s="2"/>
      <c r="E149" s="2"/>
      <c r="F149" s="2"/>
      <c r="G149" s="2"/>
      <c r="H149" s="2"/>
      <c r="I149" s="2"/>
      <c r="J149" s="2"/>
      <c r="K149" s="2"/>
    </row>
    <row r="150" spans="2:11">
      <c r="B150" s="1"/>
      <c r="C150" s="2"/>
      <c r="D150" s="2"/>
      <c r="E150" s="2"/>
      <c r="F150" s="2"/>
      <c r="G150" s="2"/>
      <c r="H150" s="2"/>
      <c r="I150" s="2"/>
      <c r="J150" s="2"/>
      <c r="K150" s="2"/>
    </row>
    <row r="151" spans="2:11">
      <c r="B151" s="1"/>
      <c r="C151" s="2"/>
      <c r="D151" s="2"/>
      <c r="E151" s="2"/>
      <c r="F151" s="2"/>
      <c r="G151" s="2"/>
      <c r="H151" s="2"/>
      <c r="I151" s="2"/>
      <c r="J151" s="2"/>
      <c r="K151" s="2"/>
    </row>
    <row r="152" spans="2:11">
      <c r="B152" s="1"/>
      <c r="C152" s="2"/>
      <c r="D152" s="2"/>
      <c r="E152" s="2"/>
      <c r="F152" s="2"/>
      <c r="G152" s="2"/>
      <c r="H152" s="2"/>
      <c r="I152" s="2"/>
      <c r="J152" s="2"/>
      <c r="K152" s="2"/>
    </row>
    <row r="153" spans="2:11">
      <c r="B153" s="1"/>
      <c r="C153" s="2"/>
      <c r="D153" s="2"/>
      <c r="E153" s="2"/>
      <c r="F153" s="2"/>
      <c r="G153" s="2"/>
      <c r="H153" s="2"/>
      <c r="I153" s="2"/>
      <c r="J153" s="2"/>
      <c r="K153" s="2"/>
    </row>
    <row r="154" spans="2:11">
      <c r="B154" s="1"/>
      <c r="C154" s="2"/>
      <c r="D154" s="2"/>
      <c r="E154" s="2"/>
      <c r="F154" s="2"/>
      <c r="G154" s="2"/>
      <c r="H154" s="2"/>
      <c r="I154" s="2"/>
      <c r="J154" s="2"/>
      <c r="K154" s="2"/>
    </row>
    <row r="157" spans="2:11" ht="18.75" customHeight="1">
      <c r="B157" s="764" t="s">
        <v>790</v>
      </c>
      <c r="C157" s="764"/>
      <c r="D157" s="764"/>
      <c r="E157" s="764"/>
      <c r="F157" s="764"/>
      <c r="G157" s="764"/>
      <c r="H157" s="764"/>
      <c r="I157" s="764"/>
      <c r="J157" s="764"/>
      <c r="K157" s="764"/>
    </row>
    <row r="158" spans="2:11">
      <c r="B158" s="65"/>
      <c r="C158" s="3"/>
      <c r="D158" s="2"/>
      <c r="E158" s="2"/>
      <c r="F158" s="2"/>
      <c r="G158" s="2"/>
      <c r="H158" s="2"/>
      <c r="I158" s="2"/>
      <c r="J158" s="2"/>
      <c r="K158" s="2"/>
    </row>
    <row r="159" spans="2:11" ht="15" customHeight="1">
      <c r="B159" s="761" t="s">
        <v>1134</v>
      </c>
      <c r="C159" s="761"/>
      <c r="D159" s="761"/>
      <c r="E159" s="761"/>
      <c r="F159" s="761"/>
      <c r="G159" s="761"/>
      <c r="H159" s="761"/>
      <c r="I159" s="761"/>
      <c r="J159" s="761"/>
      <c r="K159" s="761"/>
    </row>
    <row r="160" spans="2:11" ht="15" customHeight="1">
      <c r="B160" s="761"/>
      <c r="C160" s="761"/>
      <c r="D160" s="761"/>
      <c r="E160" s="761"/>
      <c r="F160" s="761"/>
      <c r="G160" s="761"/>
      <c r="H160" s="761"/>
      <c r="I160" s="761"/>
      <c r="J160" s="761"/>
      <c r="K160" s="761"/>
    </row>
    <row r="161" spans="2:11">
      <c r="B161" s="481"/>
      <c r="C161" s="22"/>
      <c r="D161" s="22"/>
      <c r="E161" s="22"/>
      <c r="F161" s="22"/>
      <c r="G161" s="22"/>
      <c r="H161" s="2"/>
      <c r="I161" s="2"/>
      <c r="J161" s="2"/>
      <c r="K161" s="2"/>
    </row>
    <row r="162" spans="2:11">
      <c r="B162" s="5"/>
      <c r="C162" s="65"/>
      <c r="D162" s="66"/>
      <c r="E162" s="65" t="s">
        <v>257</v>
      </c>
      <c r="F162" s="1"/>
      <c r="G162" s="1"/>
      <c r="H162" s="1"/>
      <c r="I162" s="1"/>
      <c r="J162" s="1"/>
      <c r="K162" s="1"/>
    </row>
    <row r="163" spans="2:11">
      <c r="B163" s="66"/>
      <c r="C163" s="65" t="s">
        <v>249</v>
      </c>
      <c r="D163" s="49" t="s">
        <v>256</v>
      </c>
      <c r="E163" s="66" t="s">
        <v>763</v>
      </c>
      <c r="F163" s="66" t="s">
        <v>257</v>
      </c>
      <c r="G163" s="66" t="s">
        <v>258</v>
      </c>
      <c r="H163" s="66" t="s">
        <v>926</v>
      </c>
      <c r="I163" s="66" t="s">
        <v>1026</v>
      </c>
      <c r="J163" s="66" t="s">
        <v>1060</v>
      </c>
      <c r="K163" s="66" t="s">
        <v>1061</v>
      </c>
    </row>
    <row r="164" spans="2:11" ht="15.75" thickBot="1">
      <c r="B164" s="136"/>
      <c r="C164" s="68" t="s">
        <v>1</v>
      </c>
      <c r="D164" s="68" t="s">
        <v>1</v>
      </c>
      <c r="E164" s="68" t="s">
        <v>720</v>
      </c>
      <c r="F164" s="68" t="s">
        <v>19</v>
      </c>
      <c r="G164" s="68" t="str">
        <f>$M$1</f>
        <v>Adopted</v>
      </c>
      <c r="H164" s="68" t="s">
        <v>19</v>
      </c>
      <c r="I164" s="68" t="s">
        <v>19</v>
      </c>
      <c r="J164" s="68" t="s">
        <v>19</v>
      </c>
      <c r="K164" s="68" t="s">
        <v>19</v>
      </c>
    </row>
    <row r="165" spans="2:11">
      <c r="B165" s="64"/>
      <c r="C165" s="137"/>
      <c r="D165" s="2"/>
      <c r="E165" s="2"/>
      <c r="F165" s="2"/>
      <c r="G165" s="2"/>
      <c r="H165" s="2"/>
      <c r="I165" s="2"/>
      <c r="J165" s="2"/>
      <c r="K165" s="2"/>
    </row>
    <row r="166" spans="2:11">
      <c r="B166" s="128" t="s">
        <v>764</v>
      </c>
      <c r="C166" s="2"/>
      <c r="D166" s="2"/>
      <c r="E166" s="2"/>
      <c r="F166" s="2"/>
      <c r="G166" s="2"/>
      <c r="H166" s="2"/>
      <c r="I166" s="2"/>
      <c r="J166" s="2"/>
      <c r="K166" s="2"/>
    </row>
    <row r="167" spans="2:11" ht="20.100000000000001" customHeight="1">
      <c r="B167" s="438" t="s">
        <v>767</v>
      </c>
      <c r="C167" s="2">
        <f>SUM('Budget Detail FY 2014-21'!L356:L357)</f>
        <v>3930</v>
      </c>
      <c r="D167" s="2">
        <f>SUM('Budget Detail FY 2014-21'!M356:M357)</f>
        <v>0</v>
      </c>
      <c r="E167" s="2">
        <f>SUM('Budget Detail FY 2014-21'!N356:N357)</f>
        <v>0</v>
      </c>
      <c r="F167" s="2">
        <f>SUM('Budget Detail FY 2014-21'!O356:O357)</f>
        <v>0</v>
      </c>
      <c r="G167" s="2">
        <f>SUM('Budget Detail FY 2014-21'!P356:P357)</f>
        <v>0</v>
      </c>
      <c r="H167" s="2">
        <f>SUM('Budget Detail FY 2014-21'!Q356:Q357)</f>
        <v>0</v>
      </c>
      <c r="I167" s="2">
        <f>SUM('Budget Detail FY 2014-21'!R356:R357)</f>
        <v>0</v>
      </c>
      <c r="J167" s="2">
        <f>SUM('Budget Detail FY 2014-21'!S356:S357)</f>
        <v>0</v>
      </c>
      <c r="K167" s="2">
        <f>SUM('Budget Detail FY 2014-21'!T356:T357)</f>
        <v>0</v>
      </c>
    </row>
    <row r="168" spans="2:11" ht="20.100000000000001" customHeight="1">
      <c r="B168" s="438" t="s">
        <v>773</v>
      </c>
      <c r="C168" s="2">
        <f>'Budget Detail FY 2014-21'!L358</f>
        <v>571615</v>
      </c>
      <c r="D168" s="2">
        <f>'Budget Detail FY 2014-21'!M358</f>
        <v>0</v>
      </c>
      <c r="E168" s="2">
        <f>'Budget Detail FY 2014-21'!N358</f>
        <v>0</v>
      </c>
      <c r="F168" s="2">
        <f>'Budget Detail FY 2014-21'!O358</f>
        <v>0</v>
      </c>
      <c r="G168" s="2">
        <f>'Budget Detail FY 2014-21'!P358</f>
        <v>0</v>
      </c>
      <c r="H168" s="2">
        <f>'Budget Detail FY 2014-21'!Q358</f>
        <v>0</v>
      </c>
      <c r="I168" s="2">
        <f>'Budget Detail FY 2014-21'!R358</f>
        <v>0</v>
      </c>
      <c r="J168" s="2">
        <f>'Budget Detail FY 2014-21'!S358</f>
        <v>0</v>
      </c>
      <c r="K168" s="2">
        <f>'Budget Detail FY 2014-21'!T358</f>
        <v>0</v>
      </c>
    </row>
    <row r="169" spans="2:11" ht="20.100000000000001" customHeight="1" thickBot="1">
      <c r="B169" s="127" t="s">
        <v>774</v>
      </c>
      <c r="C169" s="124">
        <f>SUM(C167:C168)</f>
        <v>575545</v>
      </c>
      <c r="D169" s="124">
        <f t="shared" ref="D169:K169" si="15">SUM(D167:D168)</f>
        <v>0</v>
      </c>
      <c r="E169" s="124">
        <f t="shared" si="15"/>
        <v>0</v>
      </c>
      <c r="F169" s="124">
        <f t="shared" si="15"/>
        <v>0</v>
      </c>
      <c r="G169" s="124">
        <f t="shared" si="15"/>
        <v>0</v>
      </c>
      <c r="H169" s="124">
        <f t="shared" si="15"/>
        <v>0</v>
      </c>
      <c r="I169" s="124">
        <f t="shared" si="15"/>
        <v>0</v>
      </c>
      <c r="J169" s="124">
        <f t="shared" si="15"/>
        <v>0</v>
      </c>
      <c r="K169" s="124">
        <f t="shared" si="15"/>
        <v>0</v>
      </c>
    </row>
    <row r="170" spans="2:11">
      <c r="B170" s="1"/>
      <c r="C170" s="2"/>
      <c r="D170" s="2"/>
      <c r="E170" s="2"/>
      <c r="F170" s="2"/>
      <c r="G170" s="2"/>
      <c r="H170" s="2"/>
      <c r="I170" s="2"/>
      <c r="J170" s="2"/>
      <c r="K170" s="2"/>
    </row>
    <row r="171" spans="2:11">
      <c r="B171" s="128" t="s">
        <v>548</v>
      </c>
      <c r="C171" s="2"/>
      <c r="D171" s="2"/>
      <c r="E171" s="2"/>
      <c r="F171" s="2"/>
      <c r="G171" s="2"/>
      <c r="H171" s="2"/>
      <c r="I171" s="2"/>
      <c r="J171" s="2"/>
      <c r="K171" s="2"/>
    </row>
    <row r="172" spans="2:11" ht="20.100000000000001" customHeight="1">
      <c r="B172" s="439" t="s">
        <v>777</v>
      </c>
      <c r="C172" s="2">
        <f>'Budget Detail FY 2014-21'!L362</f>
        <v>3930</v>
      </c>
      <c r="D172" s="2">
        <f>'Budget Detail FY 2014-21'!M362</f>
        <v>0</v>
      </c>
      <c r="E172" s="2">
        <f>'Budget Detail FY 2014-21'!N362</f>
        <v>0</v>
      </c>
      <c r="F172" s="2">
        <f>'Budget Detail FY 2014-21'!O362</f>
        <v>0</v>
      </c>
      <c r="G172" s="2">
        <f>'Budget Detail FY 2014-21'!P362</f>
        <v>0</v>
      </c>
      <c r="H172" s="2">
        <f>'Budget Detail FY 2014-21'!Q362</f>
        <v>0</v>
      </c>
      <c r="I172" s="2">
        <f>'Budget Detail FY 2014-21'!R362</f>
        <v>0</v>
      </c>
      <c r="J172" s="2">
        <f>'Budget Detail FY 2014-21'!S362</f>
        <v>0</v>
      </c>
      <c r="K172" s="2">
        <f>'Budget Detail FY 2014-21'!T362</f>
        <v>0</v>
      </c>
    </row>
    <row r="173" spans="2:11" ht="20.100000000000001" customHeight="1" thickBot="1">
      <c r="B173" s="127" t="s">
        <v>782</v>
      </c>
      <c r="C173" s="124">
        <f t="shared" ref="C173:K173" si="16">SUM(C172:C172)</f>
        <v>3930</v>
      </c>
      <c r="D173" s="124">
        <f t="shared" si="16"/>
        <v>0</v>
      </c>
      <c r="E173" s="124">
        <f t="shared" si="16"/>
        <v>0</v>
      </c>
      <c r="F173" s="124">
        <f t="shared" si="16"/>
        <v>0</v>
      </c>
      <c r="G173" s="124">
        <f t="shared" si="16"/>
        <v>0</v>
      </c>
      <c r="H173" s="124">
        <f t="shared" si="16"/>
        <v>0</v>
      </c>
      <c r="I173" s="124">
        <f t="shared" si="16"/>
        <v>0</v>
      </c>
      <c r="J173" s="124">
        <f t="shared" si="16"/>
        <v>0</v>
      </c>
      <c r="K173" s="124">
        <f t="shared" si="16"/>
        <v>0</v>
      </c>
    </row>
    <row r="174" spans="2:11">
      <c r="B174" s="130"/>
      <c r="C174" s="3"/>
      <c r="D174" s="2"/>
      <c r="E174" s="2"/>
      <c r="F174" s="2"/>
      <c r="G174" s="2"/>
      <c r="H174" s="2"/>
      <c r="I174" s="2"/>
      <c r="J174" s="2"/>
      <c r="K174" s="2"/>
    </row>
    <row r="175" spans="2:11" ht="20.100000000000001" customHeight="1">
      <c r="B175" s="441" t="s">
        <v>783</v>
      </c>
      <c r="C175" s="3">
        <f t="shared" ref="C175:K175" si="17">+C169-C173</f>
        <v>571615</v>
      </c>
      <c r="D175" s="3">
        <f t="shared" si="17"/>
        <v>0</v>
      </c>
      <c r="E175" s="3">
        <f t="shared" si="17"/>
        <v>0</v>
      </c>
      <c r="F175" s="3">
        <f t="shared" si="17"/>
        <v>0</v>
      </c>
      <c r="G175" s="3">
        <f t="shared" si="17"/>
        <v>0</v>
      </c>
      <c r="H175" s="3">
        <f t="shared" si="17"/>
        <v>0</v>
      </c>
      <c r="I175" s="3">
        <f t="shared" si="17"/>
        <v>0</v>
      </c>
      <c r="J175" s="3">
        <f t="shared" si="17"/>
        <v>0</v>
      </c>
      <c r="K175" s="3">
        <f t="shared" si="17"/>
        <v>0</v>
      </c>
    </row>
    <row r="176" spans="2:11">
      <c r="B176" s="131"/>
      <c r="C176" s="3"/>
      <c r="D176" s="2"/>
      <c r="E176" s="2"/>
      <c r="F176" s="2"/>
      <c r="G176" s="2"/>
      <c r="H176" s="2"/>
      <c r="I176" s="2"/>
      <c r="J176" s="2"/>
      <c r="K176" s="2"/>
    </row>
    <row r="177" spans="2:11" ht="20.100000000000001" customHeight="1" thickBot="1">
      <c r="B177" s="126" t="s">
        <v>784</v>
      </c>
      <c r="C177" s="81">
        <v>0</v>
      </c>
      <c r="D177" s="81">
        <v>0</v>
      </c>
      <c r="E177" s="81">
        <v>0</v>
      </c>
      <c r="F177" s="81">
        <f>D177+F175</f>
        <v>0</v>
      </c>
      <c r="G177" s="81">
        <f>F177+G175</f>
        <v>0</v>
      </c>
      <c r="H177" s="81">
        <f>G177+H175</f>
        <v>0</v>
      </c>
      <c r="I177" s="81">
        <f>H177+I175</f>
        <v>0</v>
      </c>
      <c r="J177" s="81">
        <f>I177+J175</f>
        <v>0</v>
      </c>
      <c r="K177" s="81">
        <f>J177+K175</f>
        <v>0</v>
      </c>
    </row>
    <row r="178" spans="2:11" ht="15.75" thickTop="1">
      <c r="B178" s="132"/>
      <c r="C178" s="138"/>
      <c r="D178" s="138"/>
      <c r="E178" s="138"/>
      <c r="F178" s="138"/>
      <c r="G178" s="138"/>
      <c r="H178" s="138"/>
      <c r="I178" s="138"/>
      <c r="J178" s="138"/>
      <c r="K178" s="138"/>
    </row>
    <row r="179" spans="2:11">
      <c r="B179" s="1"/>
      <c r="C179" s="2"/>
      <c r="D179" s="2"/>
      <c r="E179" s="2"/>
      <c r="F179" s="2"/>
      <c r="G179" s="2"/>
      <c r="H179" s="2"/>
      <c r="I179" s="2"/>
      <c r="J179" s="2"/>
      <c r="K179" s="2"/>
    </row>
    <row r="180" spans="2:11">
      <c r="B180" s="1"/>
      <c r="C180" s="2"/>
      <c r="D180" s="2"/>
      <c r="E180" s="2"/>
      <c r="F180" s="2"/>
      <c r="G180" s="2"/>
      <c r="H180" s="2"/>
      <c r="I180" s="2"/>
      <c r="J180" s="2"/>
      <c r="K180" s="2"/>
    </row>
    <row r="181" spans="2:11">
      <c r="B181" s="1"/>
      <c r="C181" s="2"/>
      <c r="D181" s="2"/>
      <c r="E181" s="2"/>
      <c r="F181" s="2"/>
      <c r="G181" s="2"/>
      <c r="H181" s="2"/>
      <c r="I181" s="2"/>
      <c r="J181" s="2"/>
      <c r="K181" s="2"/>
    </row>
    <row r="182" spans="2:11">
      <c r="B182" s="1"/>
      <c r="C182" s="2"/>
      <c r="D182" s="2"/>
      <c r="E182" s="2"/>
      <c r="F182" s="2"/>
      <c r="G182" s="2"/>
      <c r="H182" s="2"/>
      <c r="I182" s="2"/>
      <c r="J182" s="2"/>
      <c r="K182" s="2"/>
    </row>
    <row r="183" spans="2:11">
      <c r="B183" s="1"/>
      <c r="C183" s="2"/>
      <c r="D183" s="2"/>
      <c r="E183" s="2"/>
      <c r="F183" s="2"/>
      <c r="G183" s="2"/>
      <c r="H183" s="2"/>
      <c r="I183" s="2"/>
      <c r="J183" s="2"/>
      <c r="K183" s="2"/>
    </row>
    <row r="184" spans="2:11">
      <c r="B184" s="1"/>
      <c r="C184" s="2"/>
      <c r="D184" s="2"/>
      <c r="E184" s="2"/>
      <c r="F184" s="2"/>
      <c r="G184" s="2"/>
      <c r="H184" s="2"/>
      <c r="I184" s="2"/>
      <c r="J184" s="2"/>
      <c r="K184" s="2"/>
    </row>
    <row r="185" spans="2:11">
      <c r="B185" s="1"/>
      <c r="C185" s="2"/>
      <c r="D185" s="2"/>
      <c r="E185" s="2"/>
      <c r="F185" s="2"/>
      <c r="G185" s="2"/>
      <c r="H185" s="2"/>
      <c r="I185" s="2"/>
      <c r="J185" s="2"/>
      <c r="K185" s="2"/>
    </row>
    <row r="186" spans="2:11">
      <c r="B186" s="1"/>
      <c r="C186" s="2"/>
      <c r="D186" s="2"/>
      <c r="E186" s="2"/>
      <c r="F186" s="2"/>
      <c r="G186" s="2"/>
      <c r="H186" s="2"/>
      <c r="I186" s="2"/>
      <c r="J186" s="2"/>
      <c r="K186" s="2"/>
    </row>
    <row r="187" spans="2:11">
      <c r="B187" s="1"/>
      <c r="C187" s="2"/>
      <c r="D187" s="2"/>
      <c r="E187" s="2"/>
      <c r="F187" s="2"/>
      <c r="G187" s="2"/>
      <c r="H187" s="2"/>
      <c r="I187" s="2"/>
      <c r="J187" s="2"/>
      <c r="K187" s="2"/>
    </row>
    <row r="188" spans="2:11">
      <c r="B188" s="1"/>
      <c r="C188" s="2"/>
      <c r="D188" s="2"/>
      <c r="E188" s="2"/>
      <c r="F188" s="2"/>
      <c r="G188" s="2"/>
      <c r="H188" s="2"/>
      <c r="I188" s="2"/>
      <c r="J188" s="2"/>
      <c r="K188" s="2"/>
    </row>
    <row r="192" spans="2:11">
      <c r="B192" s="764" t="s">
        <v>791</v>
      </c>
      <c r="C192" s="764"/>
      <c r="D192" s="764"/>
      <c r="E192" s="764"/>
      <c r="F192" s="764"/>
      <c r="G192" s="764"/>
      <c r="H192" s="764"/>
      <c r="I192" s="764"/>
      <c r="J192" s="764"/>
      <c r="K192" s="764"/>
    </row>
    <row r="193" spans="2:11">
      <c r="B193" s="65"/>
      <c r="C193" s="3"/>
      <c r="D193" s="2"/>
      <c r="E193" s="2"/>
      <c r="F193" s="2"/>
      <c r="G193" s="2"/>
      <c r="H193" s="2"/>
      <c r="I193" s="2"/>
      <c r="J193" s="2"/>
      <c r="K193" s="2"/>
    </row>
    <row r="194" spans="2:11" ht="15" customHeight="1">
      <c r="B194" s="761" t="s">
        <v>1205</v>
      </c>
      <c r="C194" s="761"/>
      <c r="D194" s="761"/>
      <c r="E194" s="761"/>
      <c r="F194" s="761"/>
      <c r="G194" s="761"/>
      <c r="H194" s="761"/>
      <c r="I194" s="761"/>
      <c r="J194" s="761"/>
      <c r="K194" s="761"/>
    </row>
    <row r="195" spans="2:11" ht="15" customHeight="1">
      <c r="B195" s="761"/>
      <c r="C195" s="761"/>
      <c r="D195" s="761"/>
      <c r="E195" s="761"/>
      <c r="F195" s="761"/>
      <c r="G195" s="761"/>
      <c r="H195" s="761"/>
      <c r="I195" s="761"/>
      <c r="J195" s="761"/>
      <c r="K195" s="761"/>
    </row>
    <row r="196" spans="2:11" ht="7.5" customHeight="1">
      <c r="B196" s="481"/>
      <c r="C196" s="22"/>
      <c r="D196" s="22"/>
      <c r="E196" s="22"/>
      <c r="F196" s="22"/>
      <c r="G196" s="22"/>
      <c r="H196" s="2"/>
      <c r="I196" s="2"/>
      <c r="J196" s="2"/>
      <c r="K196" s="2"/>
    </row>
    <row r="197" spans="2:11">
      <c r="B197" s="5"/>
      <c r="C197" s="65"/>
      <c r="D197" s="66"/>
      <c r="E197" s="65" t="s">
        <v>257</v>
      </c>
      <c r="F197" s="1"/>
      <c r="G197" s="1"/>
      <c r="H197" s="1"/>
      <c r="I197" s="1"/>
      <c r="J197" s="1"/>
      <c r="K197" s="1"/>
    </row>
    <row r="198" spans="2:11">
      <c r="B198" s="66"/>
      <c r="C198" s="65" t="s">
        <v>249</v>
      </c>
      <c r="D198" s="49" t="s">
        <v>256</v>
      </c>
      <c r="E198" s="66" t="s">
        <v>763</v>
      </c>
      <c r="F198" s="66" t="s">
        <v>257</v>
      </c>
      <c r="G198" s="66" t="s">
        <v>258</v>
      </c>
      <c r="H198" s="66" t="s">
        <v>926</v>
      </c>
      <c r="I198" s="66" t="s">
        <v>1026</v>
      </c>
      <c r="J198" s="66" t="s">
        <v>1060</v>
      </c>
      <c r="K198" s="66" t="s">
        <v>1061</v>
      </c>
    </row>
    <row r="199" spans="2:11" ht="15.75" thickBot="1">
      <c r="B199" s="136"/>
      <c r="C199" s="68" t="s">
        <v>1</v>
      </c>
      <c r="D199" s="68" t="s">
        <v>1</v>
      </c>
      <c r="E199" s="68" t="s">
        <v>720</v>
      </c>
      <c r="F199" s="68" t="s">
        <v>19</v>
      </c>
      <c r="G199" s="68" t="str">
        <f>$M$1</f>
        <v>Adopted</v>
      </c>
      <c r="H199" s="68" t="s">
        <v>19</v>
      </c>
      <c r="I199" s="68" t="s">
        <v>19</v>
      </c>
      <c r="J199" s="68" t="s">
        <v>19</v>
      </c>
      <c r="K199" s="68" t="s">
        <v>19</v>
      </c>
    </row>
    <row r="200" spans="2:11">
      <c r="B200" s="64"/>
      <c r="C200" s="137"/>
      <c r="D200" s="2"/>
      <c r="E200" s="2"/>
      <c r="F200" s="2"/>
      <c r="G200" s="2"/>
      <c r="H200" s="2"/>
      <c r="I200" s="2"/>
      <c r="J200" s="2"/>
      <c r="K200" s="2"/>
    </row>
    <row r="201" spans="2:11">
      <c r="B201" s="128" t="s">
        <v>764</v>
      </c>
      <c r="C201" s="2"/>
      <c r="D201" s="2"/>
      <c r="E201" s="2"/>
      <c r="F201" s="2"/>
      <c r="G201" s="2"/>
      <c r="H201" s="2"/>
      <c r="I201" s="2"/>
      <c r="J201" s="2"/>
      <c r="K201" s="2"/>
    </row>
    <row r="202" spans="2:11" ht="20.100000000000001" customHeight="1">
      <c r="B202" s="438" t="s">
        <v>766</v>
      </c>
      <c r="C202" s="2">
        <f>SUM('Budget Detail FY 2014-21'!L372:L376)</f>
        <v>230839</v>
      </c>
      <c r="D202" s="2">
        <f>SUM('Budget Detail FY 2014-21'!M372:M376)</f>
        <v>62761</v>
      </c>
      <c r="E202" s="2">
        <f>SUM('Budget Detail FY 2014-21'!N372:N376)</f>
        <v>776938</v>
      </c>
      <c r="F202" s="2">
        <f>SUM('Budget Detail FY 2014-21'!O372:O376)</f>
        <v>102876</v>
      </c>
      <c r="G202" s="2">
        <f>SUM('Budget Detail FY 2014-21'!P372:P376)</f>
        <v>773222</v>
      </c>
      <c r="H202" s="2">
        <f>SUM('Budget Detail FY 2014-21'!Q372:Q376)</f>
        <v>12720</v>
      </c>
      <c r="I202" s="2">
        <f>SUM('Budget Detail FY 2014-21'!R372:R376)</f>
        <v>0</v>
      </c>
      <c r="J202" s="2">
        <f>SUM('Budget Detail FY 2014-21'!S372:S376)</f>
        <v>0</v>
      </c>
      <c r="K202" s="2">
        <f>SUM('Budget Detail FY 2014-21'!T372:T376)</f>
        <v>0</v>
      </c>
    </row>
    <row r="203" spans="2:11" ht="20.100000000000001" customHeight="1">
      <c r="B203" s="438" t="s">
        <v>767</v>
      </c>
      <c r="C203" s="2">
        <f>SUM('Budget Detail FY 2014-21'!L377:L381)</f>
        <v>83542</v>
      </c>
      <c r="D203" s="2">
        <f>SUM('Budget Detail FY 2014-21'!M377:M381)</f>
        <v>105266</v>
      </c>
      <c r="E203" s="2">
        <f>SUM('Budget Detail FY 2014-21'!N377:N381)</f>
        <v>17500</v>
      </c>
      <c r="F203" s="2">
        <f>SUM('Budget Detail FY 2014-21'!O377:O381)</f>
        <v>37000</v>
      </c>
      <c r="G203" s="2">
        <f>SUM('Budget Detail FY 2014-21'!P377:P381)</f>
        <v>24000</v>
      </c>
      <c r="H203" s="2">
        <f>SUM('Budget Detail FY 2014-21'!Q377:Q381)</f>
        <v>24000</v>
      </c>
      <c r="I203" s="2">
        <f>SUM('Budget Detail FY 2014-21'!R377:R381)</f>
        <v>24000</v>
      </c>
      <c r="J203" s="2">
        <f>SUM('Budget Detail FY 2014-21'!S377:S381)</f>
        <v>24000</v>
      </c>
      <c r="K203" s="2">
        <f>SUM('Budget Detail FY 2014-21'!T377:T381)</f>
        <v>24000</v>
      </c>
    </row>
    <row r="204" spans="2:11" ht="20.100000000000001" customHeight="1">
      <c r="B204" s="438" t="s">
        <v>769</v>
      </c>
      <c r="C204" s="2">
        <f>'Budget Detail FY 2014-21'!L382</f>
        <v>684319</v>
      </c>
      <c r="D204" s="2">
        <f>'Budget Detail FY 2014-21'!M382</f>
        <v>693467</v>
      </c>
      <c r="E204" s="2">
        <f>'Budget Detail FY 2014-21'!N382</f>
        <v>680000</v>
      </c>
      <c r="F204" s="2">
        <f>'Budget Detail FY 2014-21'!O382</f>
        <v>681600</v>
      </c>
      <c r="G204" s="2">
        <f>'Budget Detail FY 2014-21'!P382</f>
        <v>681600</v>
      </c>
      <c r="H204" s="2">
        <f>'Budget Detail FY 2014-21'!Q382</f>
        <v>681600</v>
      </c>
      <c r="I204" s="2">
        <f>'Budget Detail FY 2014-21'!R382</f>
        <v>681600</v>
      </c>
      <c r="J204" s="2">
        <f>'Budget Detail FY 2014-21'!S382</f>
        <v>681600</v>
      </c>
      <c r="K204" s="2">
        <f>'Budget Detail FY 2014-21'!T382</f>
        <v>681600</v>
      </c>
    </row>
    <row r="205" spans="2:11" ht="20.100000000000001" customHeight="1">
      <c r="B205" s="438" t="s">
        <v>770</v>
      </c>
      <c r="C205" s="2">
        <f>'Budget Detail FY 2014-21'!L383+'Budget Detail FY 2014-21'!L384</f>
        <v>204</v>
      </c>
      <c r="D205" s="2">
        <f>'Budget Detail FY 2014-21'!M383+'Budget Detail FY 2014-21'!M384</f>
        <v>10424</v>
      </c>
      <c r="E205" s="2">
        <f>'Budget Detail FY 2014-21'!N383+'Budget Detail FY 2014-21'!N384</f>
        <v>1000</v>
      </c>
      <c r="F205" s="2">
        <f>'Budget Detail FY 2014-21'!O383+'Budget Detail FY 2014-21'!O384</f>
        <v>1200</v>
      </c>
      <c r="G205" s="2">
        <f>'Budget Detail FY 2014-21'!P383+'Budget Detail FY 2014-21'!P384</f>
        <v>600</v>
      </c>
      <c r="H205" s="2">
        <f>'Budget Detail FY 2014-21'!Q383+'Budget Detail FY 2014-21'!Q384</f>
        <v>0</v>
      </c>
      <c r="I205" s="2">
        <f>'Budget Detail FY 2014-21'!R383+'Budget Detail FY 2014-21'!R384</f>
        <v>0</v>
      </c>
      <c r="J205" s="2">
        <f>'Budget Detail FY 2014-21'!S383+'Budget Detail FY 2014-21'!S384</f>
        <v>0</v>
      </c>
      <c r="K205" s="2">
        <f>'Budget Detail FY 2014-21'!T383+'Budget Detail FY 2014-21'!T384</f>
        <v>0</v>
      </c>
    </row>
    <row r="206" spans="2:11" ht="20.100000000000001" customHeight="1">
      <c r="B206" s="438" t="s">
        <v>771</v>
      </c>
      <c r="C206" s="2">
        <f>SUM('Budget Detail FY 2014-21'!L385:L388)</f>
        <v>89356</v>
      </c>
      <c r="D206" s="2">
        <f>SUM('Budget Detail FY 2014-21'!M385:M388)</f>
        <v>1261619</v>
      </c>
      <c r="E206" s="2">
        <f>SUM('Budget Detail FY 2014-21'!N385:N388)</f>
        <v>67700</v>
      </c>
      <c r="F206" s="2">
        <f>SUM('Budget Detail FY 2014-21'!O385:O388)</f>
        <v>393118</v>
      </c>
      <c r="G206" s="2">
        <f>SUM('Budget Detail FY 2014-21'!P385:P388)</f>
        <v>294740</v>
      </c>
      <c r="H206" s="2">
        <f>SUM('Budget Detail FY 2014-21'!Q385:Q388)</f>
        <v>32780</v>
      </c>
      <c r="I206" s="2">
        <f>SUM('Budget Detail FY 2014-21'!R385:R388)</f>
        <v>0</v>
      </c>
      <c r="J206" s="2">
        <f>SUM('Budget Detail FY 2014-21'!S385:S388)</f>
        <v>0</v>
      </c>
      <c r="K206" s="2">
        <f>SUM('Budget Detail FY 2014-21'!T385:T388)</f>
        <v>0</v>
      </c>
    </row>
    <row r="207" spans="2:11" ht="20.100000000000001" customHeight="1">
      <c r="B207" s="438" t="s">
        <v>773</v>
      </c>
      <c r="C207" s="2">
        <f>SUM('Budget Detail FY 2014-21'!L389:L394)</f>
        <v>464364</v>
      </c>
      <c r="D207" s="2">
        <f>SUM('Budget Detail FY 2014-21'!M389:M394)</f>
        <v>4408084</v>
      </c>
      <c r="E207" s="2">
        <f>SUM('Budget Detail FY 2014-21'!N389:N394)</f>
        <v>214184</v>
      </c>
      <c r="F207" s="2">
        <f>SUM('Budget Detail FY 2014-21'!O389:O394)</f>
        <v>214184</v>
      </c>
      <c r="G207" s="2">
        <f>SUM('Budget Detail FY 2014-21'!P389:P394)</f>
        <v>49500</v>
      </c>
      <c r="H207" s="2">
        <f>SUM('Budget Detail FY 2014-21'!Q389:Q394)</f>
        <v>54500</v>
      </c>
      <c r="I207" s="2">
        <f>SUM('Budget Detail FY 2014-21'!R389:R394)</f>
        <v>54500</v>
      </c>
      <c r="J207" s="2">
        <f>SUM('Budget Detail FY 2014-21'!S389:S394)</f>
        <v>54500</v>
      </c>
      <c r="K207" s="2">
        <f>SUM('Budget Detail FY 2014-21'!T389:T394)</f>
        <v>54500</v>
      </c>
    </row>
    <row r="208" spans="2:11" ht="20.100000000000001" customHeight="1" thickBot="1">
      <c r="B208" s="127" t="s">
        <v>774</v>
      </c>
      <c r="C208" s="124">
        <f t="shared" ref="C208:K208" si="18">SUM(C202:C207)</f>
        <v>1552624</v>
      </c>
      <c r="D208" s="124">
        <f t="shared" si="18"/>
        <v>6541621</v>
      </c>
      <c r="E208" s="124">
        <f t="shared" si="18"/>
        <v>1757322</v>
      </c>
      <c r="F208" s="124">
        <f t="shared" si="18"/>
        <v>1429978</v>
      </c>
      <c r="G208" s="124">
        <f t="shared" si="18"/>
        <v>1823662</v>
      </c>
      <c r="H208" s="124">
        <f t="shared" si="18"/>
        <v>805600</v>
      </c>
      <c r="I208" s="124">
        <f t="shared" si="18"/>
        <v>760100</v>
      </c>
      <c r="J208" s="124">
        <f t="shared" si="18"/>
        <v>760100</v>
      </c>
      <c r="K208" s="124">
        <f t="shared" si="18"/>
        <v>760100</v>
      </c>
    </row>
    <row r="209" spans="2:11" ht="7.5" customHeight="1">
      <c r="B209" s="1"/>
      <c r="C209" s="2"/>
      <c r="D209" s="2"/>
      <c r="E209" s="2"/>
      <c r="F209" s="2"/>
      <c r="G209" s="2"/>
      <c r="H209" s="2"/>
      <c r="I209" s="2"/>
      <c r="J209" s="2"/>
      <c r="K209" s="2"/>
    </row>
    <row r="210" spans="2:11">
      <c r="B210" s="128" t="s">
        <v>548</v>
      </c>
      <c r="C210" s="2"/>
      <c r="D210" s="2"/>
      <c r="E210" s="2"/>
      <c r="F210" s="2"/>
      <c r="G210" s="2"/>
      <c r="H210" s="2"/>
      <c r="I210" s="2"/>
      <c r="J210" s="2"/>
      <c r="K210" s="2"/>
    </row>
    <row r="211" spans="2:11" ht="20.100000000000001" customHeight="1">
      <c r="B211" s="439" t="s">
        <v>777</v>
      </c>
      <c r="C211" s="2">
        <f>SUM('Budget Detail FY 2014-21'!L406:L410)+'Budget Detail FY 2014-21'!L400+'Budget Detail FY 2014-21'!L399+'Budget Detail FY 2014-21'!L411</f>
        <v>94194</v>
      </c>
      <c r="D211" s="2">
        <f>SUM('Budget Detail FY 2014-21'!M406:M410)+'Budget Detail FY 2014-21'!M400+'Budget Detail FY 2014-21'!M399+'Budget Detail FY 2014-21'!M411</f>
        <v>295580</v>
      </c>
      <c r="E211" s="2">
        <f>SUM('Budget Detail FY 2014-21'!N406:N410)+'Budget Detail FY 2014-21'!N400+'Budget Detail FY 2014-21'!N399+'Budget Detail FY 2014-21'!N411</f>
        <v>86025</v>
      </c>
      <c r="F211" s="2">
        <f>SUM('Budget Detail FY 2014-21'!O406:O410)+'Budget Detail FY 2014-21'!O400+'Budget Detail FY 2014-21'!O399+'Budget Detail FY 2014-21'!O411</f>
        <v>61125</v>
      </c>
      <c r="G211" s="2">
        <f>SUM('Budget Detail FY 2014-21'!P406:P410)+'Budget Detail FY 2014-21'!P400+'Budget Detail FY 2014-21'!P399+'Budget Detail FY 2014-21'!P411</f>
        <v>61225</v>
      </c>
      <c r="H211" s="2">
        <f>SUM('Budget Detail FY 2014-21'!Q406:Q410)+'Budget Detail FY 2014-21'!Q400+'Budget Detail FY 2014-21'!Q399+'Budget Detail FY 2014-21'!Q411</f>
        <v>61225</v>
      </c>
      <c r="I211" s="2">
        <f>SUM('Budget Detail FY 2014-21'!R406:R410)+'Budget Detail FY 2014-21'!R400+'Budget Detail FY 2014-21'!R399+'Budget Detail FY 2014-21'!R411</f>
        <v>61225</v>
      </c>
      <c r="J211" s="2">
        <f>SUM('Budget Detail FY 2014-21'!S406:S410)+'Budget Detail FY 2014-21'!S400+'Budget Detail FY 2014-21'!S399+'Budget Detail FY 2014-21'!S411</f>
        <v>61225</v>
      </c>
      <c r="K211" s="2">
        <f>SUM('Budget Detail FY 2014-21'!T406:T410)+'Budget Detail FY 2014-21'!T400+'Budget Detail FY 2014-21'!T399+'Budget Detail FY 2014-21'!T411</f>
        <v>61225</v>
      </c>
    </row>
    <row r="212" spans="2:11" ht="20.100000000000001" customHeight="1">
      <c r="B212" s="439" t="s">
        <v>778</v>
      </c>
      <c r="C212" s="2">
        <f>'Budget Detail FY 2014-21'!L401</f>
        <v>0</v>
      </c>
      <c r="D212" s="2">
        <f>'Budget Detail FY 2014-21'!M401</f>
        <v>5971</v>
      </c>
      <c r="E212" s="2">
        <f>'Budget Detail FY 2014-21'!N401</f>
        <v>27500</v>
      </c>
      <c r="F212" s="2">
        <f>'Budget Detail FY 2014-21'!O401</f>
        <v>27500</v>
      </c>
      <c r="G212" s="2">
        <f>'Budget Detail FY 2014-21'!P401</f>
        <v>15000</v>
      </c>
      <c r="H212" s="2">
        <f>'Budget Detail FY 2014-21'!Q401</f>
        <v>20000</v>
      </c>
      <c r="I212" s="2">
        <f>'Budget Detail FY 2014-21'!R401</f>
        <v>20000</v>
      </c>
      <c r="J212" s="2">
        <f>'Budget Detail FY 2014-21'!S401</f>
        <v>20000</v>
      </c>
      <c r="K212" s="2">
        <f>'Budget Detail FY 2014-21'!T401</f>
        <v>20000</v>
      </c>
    </row>
    <row r="213" spans="2:11" ht="20.100000000000001" customHeight="1">
      <c r="B213" s="439" t="s">
        <v>779</v>
      </c>
      <c r="C213" s="2">
        <f>SUM('Budget Detail FY 2014-21'!L412:L427)</f>
        <v>1033122</v>
      </c>
      <c r="D213" s="2">
        <f>SUM('Budget Detail FY 2014-21'!M412:M427)</f>
        <v>2147884</v>
      </c>
      <c r="E213" s="2">
        <f>SUM('Budget Detail FY 2014-21'!N412:N427)</f>
        <v>5375823</v>
      </c>
      <c r="F213" s="2">
        <f>SUM('Budget Detail FY 2014-21'!O412:O427)</f>
        <v>2992904</v>
      </c>
      <c r="G213" s="2">
        <f>SUM('Budget Detail FY 2014-21'!P412:P427)</f>
        <v>3313308</v>
      </c>
      <c r="H213" s="2">
        <f>SUM('Budget Detail FY 2014-21'!Q412:Q427)</f>
        <v>766146</v>
      </c>
      <c r="I213" s="2">
        <f>SUM('Budget Detail FY 2014-21'!R412:R427)</f>
        <v>463900</v>
      </c>
      <c r="J213" s="2">
        <f>SUM('Budget Detail FY 2014-21'!S412:S427)</f>
        <v>353687</v>
      </c>
      <c r="K213" s="2">
        <f>SUM('Budget Detail FY 2014-21'!T412:T427)</f>
        <v>354537</v>
      </c>
    </row>
    <row r="214" spans="2:11" ht="20.100000000000001" customHeight="1">
      <c r="B214" s="439" t="s">
        <v>705</v>
      </c>
      <c r="C214" s="2">
        <f>SUM('Budget Detail FY 2014-21'!L429:L432)</f>
        <v>75000</v>
      </c>
      <c r="D214" s="2">
        <f>SUM('Budget Detail FY 2014-21'!M429:M432)</f>
        <v>75000</v>
      </c>
      <c r="E214" s="2">
        <f>SUM('Budget Detail FY 2014-21'!N429:N432)</f>
        <v>408356</v>
      </c>
      <c r="F214" s="2">
        <f>SUM('Budget Detail FY 2014-21'!O429:O432)</f>
        <v>405937</v>
      </c>
      <c r="G214" s="2">
        <f>SUM('Budget Detail FY 2014-21'!P429:P432)</f>
        <v>404138</v>
      </c>
      <c r="H214" s="2">
        <f>SUM('Budget Detail FY 2014-21'!Q429:Q432)</f>
        <v>403588</v>
      </c>
      <c r="I214" s="2">
        <f>SUM('Budget Detail FY 2014-21'!R429:R432)</f>
        <v>407563</v>
      </c>
      <c r="J214" s="2">
        <f>SUM('Budget Detail FY 2014-21'!S429:S432)</f>
        <v>322188</v>
      </c>
      <c r="K214" s="2">
        <f>SUM('Budget Detail FY 2014-21'!T429:T432)</f>
        <v>321338</v>
      </c>
    </row>
    <row r="215" spans="2:11" ht="20.100000000000001" customHeight="1">
      <c r="B215" s="438" t="s">
        <v>781</v>
      </c>
      <c r="C215" s="2">
        <f>'Budget Detail FY 2014-21'!L402+'Budget Detail FY 2014-21'!L433</f>
        <v>2479</v>
      </c>
      <c r="D215" s="2">
        <f>'Budget Detail FY 2014-21'!M402+'Budget Detail FY 2014-21'!M433</f>
        <v>9034</v>
      </c>
      <c r="E215" s="2">
        <f>'Budget Detail FY 2014-21'!N402+'Budget Detail FY 2014-21'!N433</f>
        <v>2500</v>
      </c>
      <c r="F215" s="2">
        <f>'Budget Detail FY 2014-21'!O402+'Budget Detail FY 2014-21'!O433</f>
        <v>5000</v>
      </c>
      <c r="G215" s="2">
        <f>'Budget Detail FY 2014-21'!P402+'Budget Detail FY 2014-21'!P433</f>
        <v>3000</v>
      </c>
      <c r="H215" s="2">
        <f>'Budget Detail FY 2014-21'!Q402+'Budget Detail FY 2014-21'!Q433</f>
        <v>3000</v>
      </c>
      <c r="I215" s="2">
        <f>'Budget Detail FY 2014-21'!R402+'Budget Detail FY 2014-21'!R433</f>
        <v>3000</v>
      </c>
      <c r="J215" s="2">
        <f>'Budget Detail FY 2014-21'!S402+'Budget Detail FY 2014-21'!S433</f>
        <v>3000</v>
      </c>
      <c r="K215" s="2">
        <f>'Budget Detail FY 2014-21'!T402+'Budget Detail FY 2014-21'!T433</f>
        <v>3000</v>
      </c>
    </row>
    <row r="216" spans="2:11" ht="20.100000000000001" customHeight="1" thickBot="1">
      <c r="B216" s="127" t="s">
        <v>782</v>
      </c>
      <c r="C216" s="124">
        <f>SUM(C211:C215)</f>
        <v>1204795</v>
      </c>
      <c r="D216" s="124">
        <f t="shared" ref="D216:K216" si="19">SUM(D211:D215)</f>
        <v>2533469</v>
      </c>
      <c r="E216" s="124">
        <f t="shared" si="19"/>
        <v>5900204</v>
      </c>
      <c r="F216" s="124">
        <f>SUM(F211:F215)</f>
        <v>3492466</v>
      </c>
      <c r="G216" s="124">
        <f t="shared" si="19"/>
        <v>3796671</v>
      </c>
      <c r="H216" s="124">
        <f t="shared" si="19"/>
        <v>1253959</v>
      </c>
      <c r="I216" s="124">
        <f t="shared" si="19"/>
        <v>955688</v>
      </c>
      <c r="J216" s="124">
        <f t="shared" si="19"/>
        <v>760100</v>
      </c>
      <c r="K216" s="124">
        <f t="shared" si="19"/>
        <v>760100</v>
      </c>
    </row>
    <row r="217" spans="2:11" ht="7.5" customHeight="1">
      <c r="B217" s="130"/>
      <c r="C217" s="3"/>
      <c r="D217" s="2"/>
      <c r="E217" s="2"/>
      <c r="F217" s="2"/>
      <c r="G217" s="2"/>
      <c r="H217" s="2"/>
      <c r="I217" s="2"/>
      <c r="J217" s="2"/>
      <c r="K217" s="2"/>
    </row>
    <row r="218" spans="2:11" ht="20.100000000000001" customHeight="1">
      <c r="B218" s="441" t="s">
        <v>783</v>
      </c>
      <c r="C218" s="3">
        <f t="shared" ref="C218:K218" si="20">+C208-C216</f>
        <v>347829</v>
      </c>
      <c r="D218" s="3">
        <f t="shared" si="20"/>
        <v>4008152</v>
      </c>
      <c r="E218" s="3">
        <f t="shared" si="20"/>
        <v>-4142882</v>
      </c>
      <c r="F218" s="3">
        <f t="shared" si="20"/>
        <v>-2062488</v>
      </c>
      <c r="G218" s="3">
        <f t="shared" si="20"/>
        <v>-1973009</v>
      </c>
      <c r="H218" s="3">
        <f t="shared" si="20"/>
        <v>-448359</v>
      </c>
      <c r="I218" s="3">
        <f t="shared" si="20"/>
        <v>-195588</v>
      </c>
      <c r="J218" s="3">
        <f t="shared" si="20"/>
        <v>0</v>
      </c>
      <c r="K218" s="3">
        <f t="shared" si="20"/>
        <v>0</v>
      </c>
    </row>
    <row r="219" spans="2:11" ht="7.5" customHeight="1">
      <c r="B219" s="139"/>
      <c r="C219" s="108"/>
      <c r="D219" s="108"/>
      <c r="E219" s="108"/>
      <c r="F219" s="108"/>
      <c r="G219" s="108"/>
      <c r="H219" s="108"/>
      <c r="I219" s="108"/>
      <c r="J219" s="108"/>
      <c r="K219" s="108"/>
    </row>
    <row r="220" spans="2:11" ht="20.100000000000001" customHeight="1">
      <c r="B220" s="140" t="s">
        <v>1256</v>
      </c>
      <c r="C220" s="95">
        <v>0</v>
      </c>
      <c r="D220" s="95">
        <v>0</v>
      </c>
      <c r="E220" s="95">
        <v>0</v>
      </c>
      <c r="F220" s="95">
        <f>'Budget Detail FY 2014-21'!O440</f>
        <v>0</v>
      </c>
      <c r="G220" s="95">
        <f>'Budget Detail FY 2014-21'!P440</f>
        <v>0</v>
      </c>
      <c r="H220" s="95">
        <f>'Budget Detail FY 2014-21'!Q440</f>
        <v>0</v>
      </c>
      <c r="I220" s="95">
        <f>'Budget Detail FY 2014-21'!R440</f>
        <v>0</v>
      </c>
      <c r="J220" s="95">
        <f>'Budget Detail FY 2014-21'!S440</f>
        <v>0</v>
      </c>
      <c r="K220" s="95">
        <f>'Budget Detail FY 2014-21'!T440</f>
        <v>0</v>
      </c>
    </row>
    <row r="221" spans="2:11" ht="7.5" customHeight="1">
      <c r="B221" s="140"/>
      <c r="C221" s="95"/>
      <c r="D221" s="95"/>
      <c r="E221" s="95"/>
      <c r="F221" s="95"/>
      <c r="G221" s="95"/>
      <c r="H221" s="95"/>
      <c r="I221" s="95"/>
      <c r="J221" s="95"/>
      <c r="K221" s="95"/>
    </row>
    <row r="222" spans="2:11" ht="20.100000000000001" customHeight="1">
      <c r="B222" s="140" t="s">
        <v>979</v>
      </c>
      <c r="C222" s="95">
        <v>676555</v>
      </c>
      <c r="D222" s="95">
        <v>4684706</v>
      </c>
      <c r="E222" s="95">
        <v>831196</v>
      </c>
      <c r="F222" s="95">
        <f>'Budget Detail FY 2014-21'!O442</f>
        <v>2622218</v>
      </c>
      <c r="G222" s="95">
        <f>'Budget Detail FY 2014-21'!P442</f>
        <v>649209</v>
      </c>
      <c r="H222" s="95">
        <f>'Budget Detail FY 2014-21'!Q442</f>
        <v>200850</v>
      </c>
      <c r="I222" s="95">
        <f>'Budget Detail FY 2014-21'!R442</f>
        <v>5262</v>
      </c>
      <c r="J222" s="95">
        <f>'Budget Detail FY 2014-21'!S442</f>
        <v>5262</v>
      </c>
      <c r="K222" s="95">
        <f>'Budget Detail FY 2014-21'!T442</f>
        <v>5262</v>
      </c>
    </row>
    <row r="223" spans="2:11" ht="7.5" customHeight="1">
      <c r="B223" s="140"/>
      <c r="C223" s="95"/>
      <c r="D223" s="95"/>
      <c r="E223" s="95"/>
      <c r="F223" s="95"/>
      <c r="G223" s="95"/>
      <c r="H223" s="95"/>
      <c r="I223" s="95"/>
      <c r="J223" s="95"/>
      <c r="K223" s="95"/>
    </row>
    <row r="224" spans="2:11" ht="20.100000000000001" customHeight="1" thickBot="1">
      <c r="B224" s="126" t="s">
        <v>784</v>
      </c>
      <c r="C224" s="81">
        <v>676555</v>
      </c>
      <c r="D224" s="81">
        <v>4684706</v>
      </c>
      <c r="E224" s="81">
        <v>831196</v>
      </c>
      <c r="F224" s="81">
        <f>D224+F218</f>
        <v>2622218</v>
      </c>
      <c r="G224" s="81">
        <f>F224+G218</f>
        <v>649209</v>
      </c>
      <c r="H224" s="81">
        <f>G224+H218</f>
        <v>200850</v>
      </c>
      <c r="I224" s="81">
        <f>H224+I218</f>
        <v>5262</v>
      </c>
      <c r="J224" s="81">
        <f>I224+J218</f>
        <v>5262</v>
      </c>
      <c r="K224" s="81">
        <f>J224+K218</f>
        <v>5262</v>
      </c>
    </row>
    <row r="225" spans="2:11" ht="15.75" thickTop="1"/>
    <row r="239" spans="2:11" ht="7.5" customHeight="1"/>
    <row r="240" spans="2:11">
      <c r="B240" s="764" t="s">
        <v>968</v>
      </c>
      <c r="C240" s="764"/>
      <c r="D240" s="764"/>
      <c r="E240" s="764"/>
      <c r="F240" s="764"/>
      <c r="G240" s="764"/>
      <c r="H240" s="764"/>
      <c r="I240" s="764"/>
      <c r="J240" s="764"/>
      <c r="K240" s="764"/>
    </row>
    <row r="241" spans="2:11" ht="15" customHeight="1">
      <c r="B241" s="65"/>
      <c r="C241" s="3"/>
      <c r="D241" s="2"/>
      <c r="E241" s="2"/>
      <c r="F241" s="2"/>
      <c r="G241" s="2"/>
      <c r="H241" s="2"/>
      <c r="I241" s="2"/>
      <c r="J241" s="2"/>
      <c r="K241" s="2"/>
    </row>
    <row r="242" spans="2:11" ht="12.75" customHeight="1">
      <c r="B242" s="765" t="s">
        <v>1367</v>
      </c>
      <c r="C242" s="765"/>
      <c r="D242" s="765"/>
      <c r="E242" s="765"/>
      <c r="F242" s="765"/>
      <c r="G242" s="765"/>
      <c r="H242" s="765"/>
      <c r="I242" s="765"/>
      <c r="J242" s="765"/>
      <c r="K242" s="765"/>
    </row>
    <row r="243" spans="2:11" ht="12.75" customHeight="1">
      <c r="B243" s="765"/>
      <c r="C243" s="765"/>
      <c r="D243" s="765"/>
      <c r="E243" s="765"/>
      <c r="F243" s="765"/>
      <c r="G243" s="765"/>
      <c r="H243" s="765"/>
      <c r="I243" s="765"/>
      <c r="J243" s="765"/>
      <c r="K243" s="765"/>
    </row>
    <row r="244" spans="2:11" ht="12.75" customHeight="1">
      <c r="B244" s="765"/>
      <c r="C244" s="765"/>
      <c r="D244" s="765"/>
      <c r="E244" s="765"/>
      <c r="F244" s="765"/>
      <c r="G244" s="765"/>
      <c r="H244" s="765"/>
      <c r="I244" s="765"/>
      <c r="J244" s="765"/>
      <c r="K244" s="765"/>
    </row>
    <row r="245" spans="2:11" ht="15" customHeight="1">
      <c r="B245" s="765"/>
      <c r="C245" s="765"/>
      <c r="D245" s="765"/>
      <c r="E245" s="765"/>
      <c r="F245" s="765"/>
      <c r="G245" s="765"/>
      <c r="H245" s="765"/>
      <c r="I245" s="765"/>
      <c r="J245" s="765"/>
      <c r="K245" s="765"/>
    </row>
    <row r="246" spans="2:11" ht="12" customHeight="1">
      <c r="B246" s="481"/>
      <c r="C246" s="22"/>
      <c r="D246" s="22"/>
      <c r="E246" s="22"/>
      <c r="F246" s="22"/>
      <c r="G246" s="22"/>
      <c r="H246" s="2"/>
      <c r="I246" s="2"/>
      <c r="J246" s="2"/>
      <c r="K246" s="2"/>
    </row>
    <row r="247" spans="2:11">
      <c r="B247" s="5"/>
      <c r="C247" s="65"/>
      <c r="D247" s="66"/>
      <c r="E247" s="65" t="s">
        <v>257</v>
      </c>
      <c r="F247" s="1"/>
      <c r="G247" s="1"/>
      <c r="H247" s="1"/>
      <c r="I247" s="1"/>
      <c r="J247" s="1"/>
      <c r="K247" s="1"/>
    </row>
    <row r="248" spans="2:11">
      <c r="B248" s="66"/>
      <c r="C248" s="65" t="s">
        <v>249</v>
      </c>
      <c r="D248" s="49" t="s">
        <v>256</v>
      </c>
      <c r="E248" s="66" t="s">
        <v>763</v>
      </c>
      <c r="F248" s="66" t="s">
        <v>257</v>
      </c>
      <c r="G248" s="66" t="s">
        <v>258</v>
      </c>
      <c r="H248" s="66" t="s">
        <v>926</v>
      </c>
      <c r="I248" s="66" t="s">
        <v>1026</v>
      </c>
      <c r="J248" s="66" t="s">
        <v>1060</v>
      </c>
      <c r="K248" s="66" t="s">
        <v>1061</v>
      </c>
    </row>
    <row r="249" spans="2:11" ht="15.75" thickBot="1">
      <c r="B249" s="136"/>
      <c r="C249" s="68" t="s">
        <v>1</v>
      </c>
      <c r="D249" s="68" t="s">
        <v>1</v>
      </c>
      <c r="E249" s="68" t="s">
        <v>720</v>
      </c>
      <c r="F249" s="68" t="s">
        <v>19</v>
      </c>
      <c r="G249" s="68" t="str">
        <f>$M$1</f>
        <v>Adopted</v>
      </c>
      <c r="H249" s="68" t="s">
        <v>19</v>
      </c>
      <c r="I249" s="68" t="s">
        <v>19</v>
      </c>
      <c r="J249" s="68" t="s">
        <v>19</v>
      </c>
      <c r="K249" s="68" t="s">
        <v>19</v>
      </c>
    </row>
    <row r="250" spans="2:11" ht="7.5" customHeight="1">
      <c r="B250" s="64"/>
      <c r="C250" s="137"/>
      <c r="D250" s="2"/>
      <c r="E250" s="2"/>
      <c r="F250" s="2"/>
      <c r="G250" s="2"/>
      <c r="H250" s="2"/>
      <c r="I250" s="2"/>
      <c r="J250" s="2"/>
      <c r="K250" s="2"/>
    </row>
    <row r="251" spans="2:11">
      <c r="B251" s="128" t="s">
        <v>764</v>
      </c>
      <c r="C251" s="2"/>
      <c r="D251" s="2"/>
      <c r="E251" s="2"/>
      <c r="F251" s="2"/>
      <c r="G251" s="2"/>
      <c r="H251" s="2"/>
      <c r="I251" s="2"/>
      <c r="J251" s="2"/>
      <c r="K251" s="2"/>
    </row>
    <row r="252" spans="2:11" ht="20.100000000000001" customHeight="1">
      <c r="B252" s="438" t="s">
        <v>767</v>
      </c>
      <c r="C252" s="2">
        <f>SUM('Budget Detail FY 2014-21'!L448:L453)</f>
        <v>76414</v>
      </c>
      <c r="D252" s="2">
        <f>SUM('Budget Detail FY 2014-21'!M448:M453)</f>
        <v>59700</v>
      </c>
      <c r="E252" s="2">
        <f>SUM('Budget Detail FY 2014-21'!N448:N453)</f>
        <v>49275</v>
      </c>
      <c r="F252" s="2">
        <f>SUM('Budget Detail FY 2014-21'!O448:O453)</f>
        <v>26000</v>
      </c>
      <c r="G252" s="2">
        <f>SUM('Budget Detail FY 2014-21'!P448:P453)</f>
        <v>26000</v>
      </c>
      <c r="H252" s="2">
        <f>SUM('Budget Detail FY 2014-21'!Q448:Q453)</f>
        <v>48775</v>
      </c>
      <c r="I252" s="2">
        <f>SUM('Budget Detail FY 2014-21'!R448:R453)</f>
        <v>48775</v>
      </c>
      <c r="J252" s="2">
        <f>SUM('Budget Detail FY 2014-21'!S448:S453)</f>
        <v>48775</v>
      </c>
      <c r="K252" s="2">
        <f>SUM('Budget Detail FY 2014-21'!T448:T453)</f>
        <v>48775</v>
      </c>
    </row>
    <row r="253" spans="2:11" ht="20.100000000000001" customHeight="1">
      <c r="B253" s="438" t="s">
        <v>768</v>
      </c>
      <c r="C253" s="2">
        <f>SUM('Budget Detail FY 2014-21'!L454:L456)</f>
        <v>8253</v>
      </c>
      <c r="D253" s="2">
        <f>SUM('Budget Detail FY 2014-21'!M454:M456)</f>
        <v>9181</v>
      </c>
      <c r="E253" s="2">
        <f>SUM('Budget Detail FY 2014-21'!N454:N456)</f>
        <v>12750</v>
      </c>
      <c r="F253" s="2">
        <f>SUM('Budget Detail FY 2014-21'!O454:O456)</f>
        <v>10200</v>
      </c>
      <c r="G253" s="2">
        <f>SUM('Budget Detail FY 2014-21'!P454:P456)</f>
        <v>10200</v>
      </c>
      <c r="H253" s="2">
        <f>SUM('Budget Detail FY 2014-21'!Q454:Q456)</f>
        <v>10200</v>
      </c>
      <c r="I253" s="2">
        <f>SUM('Budget Detail FY 2014-21'!R454:R456)</f>
        <v>10200</v>
      </c>
      <c r="J253" s="2">
        <f>SUM('Budget Detail FY 2014-21'!S454:S456)</f>
        <v>10200</v>
      </c>
      <c r="K253" s="2">
        <f>SUM('Budget Detail FY 2014-21'!T454:T456)</f>
        <v>10200</v>
      </c>
    </row>
    <row r="254" spans="2:11" ht="20.100000000000001" customHeight="1">
      <c r="B254" s="438" t="s">
        <v>769</v>
      </c>
      <c r="C254" s="2">
        <f>SUM('Budget Detail FY 2014-21'!L457:L460)</f>
        <v>157495</v>
      </c>
      <c r="D254" s="2">
        <f>SUM('Budget Detail FY 2014-21'!M457:M460)</f>
        <v>301715</v>
      </c>
      <c r="E254" s="2">
        <f>SUM('Budget Detail FY 2014-21'!N457:N460)</f>
        <v>373063</v>
      </c>
      <c r="F254" s="2">
        <f>SUM('Budget Detail FY 2014-21'!O457:O460)</f>
        <v>443478</v>
      </c>
      <c r="G254" s="2">
        <f>SUM('Budget Detail FY 2014-21'!P457:P460)</f>
        <v>101633</v>
      </c>
      <c r="H254" s="2">
        <f>SUM('Budget Detail FY 2014-21'!Q457:Q460)</f>
        <v>131698</v>
      </c>
      <c r="I254" s="2">
        <f>SUM('Budget Detail FY 2014-21'!R457:R460)</f>
        <v>131698</v>
      </c>
      <c r="J254" s="2">
        <f>SUM('Budget Detail FY 2014-21'!S457:S460)</f>
        <v>131698</v>
      </c>
      <c r="K254" s="2">
        <f>SUM('Budget Detail FY 2014-21'!T457:T460)</f>
        <v>131698</v>
      </c>
    </row>
    <row r="255" spans="2:11" ht="20.100000000000001" customHeight="1">
      <c r="B255" s="438" t="s">
        <v>770</v>
      </c>
      <c r="C255" s="2">
        <f>SUM('Budget Detail FY 2014-21'!L461:L462)</f>
        <v>446</v>
      </c>
      <c r="D255" s="2">
        <f>SUM('Budget Detail FY 2014-21'!M461:M462)</f>
        <v>449</v>
      </c>
      <c r="E255" s="2">
        <f>SUM('Budget Detail FY 2014-21'!N461:N462)</f>
        <v>250</v>
      </c>
      <c r="F255" s="2">
        <f>SUM('Budget Detail FY 2014-21'!O461:O462)</f>
        <v>50</v>
      </c>
      <c r="G255" s="2">
        <f>SUM('Budget Detail FY 2014-21'!P461:P462)</f>
        <v>50</v>
      </c>
      <c r="H255" s="2">
        <f>SUM('Budget Detail FY 2014-21'!Q461:Q462)</f>
        <v>50</v>
      </c>
      <c r="I255" s="2">
        <f>SUM('Budget Detail FY 2014-21'!R461:R462)</f>
        <v>50</v>
      </c>
      <c r="J255" s="2">
        <f>SUM('Budget Detail FY 2014-21'!S461:S462)</f>
        <v>50</v>
      </c>
      <c r="K255" s="2">
        <f>SUM('Budget Detail FY 2014-21'!T461:T462)</f>
        <v>50</v>
      </c>
    </row>
    <row r="256" spans="2:11" ht="20.100000000000001" customHeight="1">
      <c r="B256" s="438" t="s">
        <v>771</v>
      </c>
      <c r="C256" s="2">
        <f>'Budget Detail FY 2014-21'!L463</f>
        <v>50000</v>
      </c>
      <c r="D256" s="2">
        <f>'Budget Detail FY 2014-21'!M463</f>
        <v>97771</v>
      </c>
      <c r="E256" s="2">
        <f>'Budget Detail FY 2014-21'!N463</f>
        <v>0</v>
      </c>
      <c r="F256" s="2">
        <f>'Budget Detail FY 2014-21'!O463</f>
        <v>0</v>
      </c>
      <c r="G256" s="2">
        <f>'Budget Detail FY 2014-21'!P463</f>
        <v>0</v>
      </c>
      <c r="H256" s="2">
        <f>'Budget Detail FY 2014-21'!Q463</f>
        <v>0</v>
      </c>
      <c r="I256" s="2">
        <f>'Budget Detail FY 2014-21'!R463</f>
        <v>0</v>
      </c>
      <c r="J256" s="2">
        <f>'Budget Detail FY 2014-21'!S463</f>
        <v>0</v>
      </c>
      <c r="K256" s="2">
        <f>'Budget Detail FY 2014-21'!T463</f>
        <v>0</v>
      </c>
    </row>
    <row r="257" spans="2:11" ht="20.100000000000001" customHeight="1">
      <c r="B257" s="438" t="s">
        <v>772</v>
      </c>
      <c r="C257" s="2">
        <f>SUM('Budget Detail FY 2014-21'!L464:L465)</f>
        <v>4994</v>
      </c>
      <c r="D257" s="2">
        <f>SUM('Budget Detail FY 2014-21'!M464:M465)</f>
        <v>2193</v>
      </c>
      <c r="E257" s="2">
        <f>SUM('Budget Detail FY 2014-21'!N464:N465)</f>
        <v>1000</v>
      </c>
      <c r="F257" s="2">
        <f>SUM('Budget Detail FY 2014-21'!O464:O465)</f>
        <v>3929</v>
      </c>
      <c r="G257" s="2">
        <f>SUM('Budget Detail FY 2014-21'!P464:P465)</f>
        <v>2000</v>
      </c>
      <c r="H257" s="2">
        <f>SUM('Budget Detail FY 2014-21'!Q464:Q465)</f>
        <v>2000</v>
      </c>
      <c r="I257" s="2">
        <f>SUM('Budget Detail FY 2014-21'!R464:R465)</f>
        <v>2000</v>
      </c>
      <c r="J257" s="2">
        <f>SUM('Budget Detail FY 2014-21'!S464:S465)</f>
        <v>2000</v>
      </c>
      <c r="K257" s="2">
        <f>SUM('Budget Detail FY 2014-21'!T464:T465)</f>
        <v>2000</v>
      </c>
    </row>
    <row r="258" spans="2:11" ht="20.100000000000001" customHeight="1">
      <c r="B258" s="438" t="s">
        <v>773</v>
      </c>
      <c r="C258" s="2">
        <f>SUM('Budget Detail FY 2014-21'!L466:L468)</f>
        <v>7825</v>
      </c>
      <c r="D258" s="2">
        <f>SUM('Budget Detail FY 2014-21'!M466:M468)</f>
        <v>0</v>
      </c>
      <c r="E258" s="2">
        <f>SUM('Budget Detail FY 2014-21'!N466:N468)</f>
        <v>36000</v>
      </c>
      <c r="F258" s="2">
        <f>SUM('Budget Detail FY 2014-21'!O466:O468)</f>
        <v>45275</v>
      </c>
      <c r="G258" s="2">
        <f>SUM('Budget Detail FY 2014-21'!P466:P468)</f>
        <v>1000</v>
      </c>
      <c r="H258" s="2">
        <f>SUM('Budget Detail FY 2014-21'!Q466:Q468)</f>
        <v>1000</v>
      </c>
      <c r="I258" s="2">
        <f>SUM('Budget Detail FY 2014-21'!R466:R468)</f>
        <v>1000</v>
      </c>
      <c r="J258" s="2">
        <f>SUM('Budget Detail FY 2014-21'!S466:S468)</f>
        <v>1000</v>
      </c>
      <c r="K258" s="2">
        <f>SUM('Budget Detail FY 2014-21'!T466:T468)</f>
        <v>1000</v>
      </c>
    </row>
    <row r="259" spans="2:11" ht="20.100000000000001" customHeight="1" thickBot="1">
      <c r="B259" s="127" t="s">
        <v>774</v>
      </c>
      <c r="C259" s="124">
        <f>SUM(C252:C258)</f>
        <v>305427</v>
      </c>
      <c r="D259" s="124">
        <f t="shared" ref="D259:K259" si="21">SUM(D252:D258)</f>
        <v>471009</v>
      </c>
      <c r="E259" s="124">
        <f t="shared" si="21"/>
        <v>472338</v>
      </c>
      <c r="F259" s="124">
        <f t="shared" si="21"/>
        <v>528932</v>
      </c>
      <c r="G259" s="124">
        <f t="shared" si="21"/>
        <v>140883</v>
      </c>
      <c r="H259" s="124">
        <f t="shared" si="21"/>
        <v>193723</v>
      </c>
      <c r="I259" s="124">
        <f t="shared" si="21"/>
        <v>193723</v>
      </c>
      <c r="J259" s="124">
        <f t="shared" si="21"/>
        <v>193723</v>
      </c>
      <c r="K259" s="124">
        <f t="shared" si="21"/>
        <v>193723</v>
      </c>
    </row>
    <row r="260" spans="2:11" ht="7.5" customHeight="1">
      <c r="B260" s="1"/>
      <c r="C260" s="2"/>
      <c r="D260" s="2"/>
      <c r="E260" s="2"/>
      <c r="F260" s="2"/>
      <c r="G260" s="2"/>
      <c r="H260" s="2"/>
      <c r="I260" s="2"/>
      <c r="J260" s="2"/>
      <c r="K260" s="2"/>
    </row>
    <row r="261" spans="2:11">
      <c r="B261" s="128" t="s">
        <v>971</v>
      </c>
      <c r="C261" s="2"/>
      <c r="D261" s="2"/>
      <c r="E261" s="2"/>
      <c r="F261" s="2"/>
      <c r="G261" s="2"/>
      <c r="H261" s="2"/>
      <c r="I261" s="2"/>
      <c r="J261" s="2"/>
      <c r="K261" s="2"/>
    </row>
    <row r="262" spans="2:11" ht="20.100000000000001" customHeight="1">
      <c r="B262" s="439" t="s">
        <v>777</v>
      </c>
      <c r="C262" s="2">
        <f>SUM('Budget Detail FY 2014-21'!L473:L475)</f>
        <v>22521</v>
      </c>
      <c r="D262" s="2">
        <f>SUM('Budget Detail FY 2014-21'!M473:M475)</f>
        <v>15803</v>
      </c>
      <c r="E262" s="2">
        <f>SUM('Budget Detail FY 2014-21'!N473:N475)</f>
        <v>17667</v>
      </c>
      <c r="F262" s="2">
        <f>SUM('Budget Detail FY 2014-21'!O473:O475)</f>
        <v>16833</v>
      </c>
      <c r="G262" s="2">
        <f>SUM('Budget Detail FY 2014-21'!P473:P475)</f>
        <v>16833</v>
      </c>
      <c r="H262" s="2">
        <f>SUM('Budget Detail FY 2014-21'!Q473:Q475)</f>
        <v>16833</v>
      </c>
      <c r="I262" s="2">
        <f>SUM('Budget Detail FY 2014-21'!R473:R475)</f>
        <v>16833</v>
      </c>
      <c r="J262" s="2">
        <f>SUM('Budget Detail FY 2014-21'!S473:S475)</f>
        <v>16833</v>
      </c>
      <c r="K262" s="2">
        <f>SUM('Budget Detail FY 2014-21'!T473:T475)</f>
        <v>16833</v>
      </c>
    </row>
    <row r="263" spans="2:11" ht="20.100000000000001" customHeight="1">
      <c r="B263" s="439" t="s">
        <v>779</v>
      </c>
      <c r="C263" s="2">
        <f>SUM('Budget Detail FY 2014-21'!L476:L477)</f>
        <v>93750</v>
      </c>
      <c r="D263" s="2">
        <f>SUM('Budget Detail FY 2014-21'!M476:M477)</f>
        <v>112242</v>
      </c>
      <c r="E263" s="2">
        <f>SUM('Budget Detail FY 2014-21'!N476:N477)</f>
        <v>204000</v>
      </c>
      <c r="F263" s="2">
        <f>SUM('Budget Detail FY 2014-21'!O476:O477)</f>
        <v>204000</v>
      </c>
      <c r="G263" s="2">
        <f>SUM('Budget Detail FY 2014-21'!P476:P477)</f>
        <v>55000</v>
      </c>
      <c r="H263" s="2">
        <f>SUM('Budget Detail FY 2014-21'!Q476:Q477)</f>
        <v>55000</v>
      </c>
      <c r="I263" s="2">
        <f>SUM('Budget Detail FY 2014-21'!R476:R477)</f>
        <v>55000</v>
      </c>
      <c r="J263" s="2">
        <f>SUM('Budget Detail FY 2014-21'!S476:S477)</f>
        <v>55000</v>
      </c>
      <c r="K263" s="2">
        <f>SUM('Budget Detail FY 2014-21'!T476:T477)</f>
        <v>55000</v>
      </c>
    </row>
    <row r="264" spans="2:11" ht="20.100000000000001" customHeight="1" thickBot="1">
      <c r="B264" s="127" t="s">
        <v>976</v>
      </c>
      <c r="C264" s="141">
        <f t="shared" ref="C264:K264" si="22">SUM(C262:C263)</f>
        <v>116271</v>
      </c>
      <c r="D264" s="141">
        <f t="shared" si="22"/>
        <v>128045</v>
      </c>
      <c r="E264" s="141">
        <f t="shared" si="22"/>
        <v>221667</v>
      </c>
      <c r="F264" s="141">
        <f t="shared" si="22"/>
        <v>220833</v>
      </c>
      <c r="G264" s="141">
        <f t="shared" si="22"/>
        <v>71833</v>
      </c>
      <c r="H264" s="141">
        <f t="shared" si="22"/>
        <v>71833</v>
      </c>
      <c r="I264" s="141">
        <f t="shared" si="22"/>
        <v>71833</v>
      </c>
      <c r="J264" s="141">
        <f t="shared" si="22"/>
        <v>71833</v>
      </c>
      <c r="K264" s="141">
        <f t="shared" si="22"/>
        <v>71833</v>
      </c>
    </row>
    <row r="265" spans="2:11" ht="7.5" customHeight="1">
      <c r="B265" s="130"/>
      <c r="C265" s="4"/>
      <c r="D265" s="4"/>
      <c r="E265" s="4"/>
      <c r="F265" s="4"/>
      <c r="G265" s="4"/>
      <c r="H265" s="4"/>
      <c r="I265" s="4"/>
      <c r="J265" s="4"/>
      <c r="K265" s="4"/>
    </row>
    <row r="266" spans="2:11">
      <c r="B266" s="128" t="s">
        <v>972</v>
      </c>
      <c r="C266" s="2"/>
      <c r="D266" s="2"/>
      <c r="E266" s="2"/>
      <c r="F266" s="2"/>
      <c r="G266" s="2"/>
      <c r="H266" s="2"/>
      <c r="I266" s="2"/>
      <c r="J266" s="2"/>
      <c r="K266" s="2"/>
    </row>
    <row r="267" spans="2:11" ht="20.100000000000001" customHeight="1">
      <c r="B267" s="439" t="s">
        <v>777</v>
      </c>
      <c r="C267" s="2">
        <f>SUM('Budget Detail FY 2014-21'!L481:L483)</f>
        <v>26929</v>
      </c>
      <c r="D267" s="2">
        <f>SUM('Budget Detail FY 2014-21'!M481:M483)</f>
        <v>31608</v>
      </c>
      <c r="E267" s="2">
        <f>SUM('Budget Detail FY 2014-21'!N481:N483)</f>
        <v>6500</v>
      </c>
      <c r="F267" s="2">
        <f>SUM('Budget Detail FY 2014-21'!O481:O483)</f>
        <v>1176</v>
      </c>
      <c r="G267" s="2">
        <f>SUM('Budget Detail FY 2014-21'!P481:P483)</f>
        <v>1750</v>
      </c>
      <c r="H267" s="2">
        <f>SUM('Budget Detail FY 2014-21'!Q481:Q483)</f>
        <v>1750</v>
      </c>
      <c r="I267" s="2">
        <f>SUM('Budget Detail FY 2014-21'!R481:R483)</f>
        <v>1750</v>
      </c>
      <c r="J267" s="2">
        <f>SUM('Budget Detail FY 2014-21'!S481:S483)</f>
        <v>1750</v>
      </c>
      <c r="K267" s="2">
        <f>SUM('Budget Detail FY 2014-21'!T481:T483)</f>
        <v>1750</v>
      </c>
    </row>
    <row r="268" spans="2:11" ht="20.100000000000001" customHeight="1">
      <c r="B268" s="439" t="s">
        <v>778</v>
      </c>
      <c r="C268" s="2">
        <f>'Budget Detail FY 2014-21'!L484</f>
        <v>0</v>
      </c>
      <c r="D268" s="2">
        <f>'Budget Detail FY 2014-21'!M484</f>
        <v>499</v>
      </c>
      <c r="E268" s="2">
        <f>'Budget Detail FY 2014-21'!N484</f>
        <v>2000</v>
      </c>
      <c r="F268" s="2">
        <f>'Budget Detail FY 2014-21'!O484</f>
        <v>3929</v>
      </c>
      <c r="G268" s="2">
        <f>'Budget Detail FY 2014-21'!P484</f>
        <v>2000</v>
      </c>
      <c r="H268" s="2">
        <f>'Budget Detail FY 2014-21'!Q484</f>
        <v>2000</v>
      </c>
      <c r="I268" s="2">
        <f>'Budget Detail FY 2014-21'!R484</f>
        <v>2000</v>
      </c>
      <c r="J268" s="2">
        <f>'Budget Detail FY 2014-21'!S484</f>
        <v>2000</v>
      </c>
      <c r="K268" s="2">
        <f>'Budget Detail FY 2014-21'!T484</f>
        <v>2000</v>
      </c>
    </row>
    <row r="269" spans="2:11" ht="20.100000000000001" customHeight="1">
      <c r="B269" s="439" t="s">
        <v>779</v>
      </c>
      <c r="C269" s="2">
        <f>SUM('Budget Detail FY 2014-21'!L485:L486)</f>
        <v>48689</v>
      </c>
      <c r="D269" s="2">
        <f>SUM('Budget Detail FY 2014-21'!M485:M486)</f>
        <v>163750</v>
      </c>
      <c r="E269" s="2">
        <f>SUM('Budget Detail FY 2014-21'!N485:N486)</f>
        <v>185000</v>
      </c>
      <c r="F269" s="2">
        <f>SUM('Budget Detail FY 2014-21'!O485:O486)</f>
        <v>158658</v>
      </c>
      <c r="G269" s="2">
        <f>SUM('Budget Detail FY 2014-21'!P485:P486)</f>
        <v>45000</v>
      </c>
      <c r="H269" s="2">
        <f>SUM('Budget Detail FY 2014-21'!Q485:Q486)</f>
        <v>45000</v>
      </c>
      <c r="I269" s="2">
        <f>SUM('Budget Detail FY 2014-21'!R485:R486)</f>
        <v>45000</v>
      </c>
      <c r="J269" s="2">
        <f>SUM('Budget Detail FY 2014-21'!S485:S486)</f>
        <v>45000</v>
      </c>
      <c r="K269" s="2">
        <f>SUM('Budget Detail FY 2014-21'!T485:T486)</f>
        <v>45000</v>
      </c>
    </row>
    <row r="270" spans="2:11" ht="20.100000000000001" customHeight="1">
      <c r="B270" s="439" t="s">
        <v>705</v>
      </c>
      <c r="C270" s="2">
        <f>SUM('Budget Detail FY 2014-21'!L488:L489)</f>
        <v>76054</v>
      </c>
      <c r="D270" s="2">
        <f>SUM('Budget Detail FY 2014-21'!M488:M489)</f>
        <v>70816</v>
      </c>
      <c r="E270" s="2">
        <f>SUM('Budget Detail FY 2014-21'!N488:N489)</f>
        <v>70815</v>
      </c>
      <c r="F270" s="2">
        <f>SUM('Budget Detail FY 2014-21'!O488:O489)</f>
        <v>70815</v>
      </c>
      <c r="G270" s="2">
        <f>SUM('Budget Detail FY 2014-21'!P488:P489)</f>
        <v>70815</v>
      </c>
      <c r="H270" s="2">
        <f>SUM('Budget Detail FY 2014-21'!Q488:Q489)</f>
        <v>70815</v>
      </c>
      <c r="I270" s="2">
        <f>SUM('Budget Detail FY 2014-21'!R488:R489)</f>
        <v>70815</v>
      </c>
      <c r="J270" s="2">
        <f>SUM('Budget Detail FY 2014-21'!S488:S489)</f>
        <v>70815</v>
      </c>
      <c r="K270" s="2">
        <f>SUM('Budget Detail FY 2014-21'!T488:T489)</f>
        <v>70815</v>
      </c>
    </row>
    <row r="271" spans="2:11" ht="20.100000000000001" customHeight="1" thickBot="1">
      <c r="B271" s="127" t="s">
        <v>976</v>
      </c>
      <c r="C271" s="141">
        <f>SUM(C267:C270)</f>
        <v>151672</v>
      </c>
      <c r="D271" s="141">
        <f t="shared" ref="D271:K271" si="23">SUM(D267:D270)</f>
        <v>266673</v>
      </c>
      <c r="E271" s="141">
        <f t="shared" si="23"/>
        <v>264315</v>
      </c>
      <c r="F271" s="141">
        <f t="shared" si="23"/>
        <v>234578</v>
      </c>
      <c r="G271" s="141">
        <f t="shared" si="23"/>
        <v>119565</v>
      </c>
      <c r="H271" s="141">
        <f t="shared" si="23"/>
        <v>119565</v>
      </c>
      <c r="I271" s="141">
        <f t="shared" si="23"/>
        <v>119565</v>
      </c>
      <c r="J271" s="141">
        <f t="shared" si="23"/>
        <v>119565</v>
      </c>
      <c r="K271" s="141">
        <f t="shared" si="23"/>
        <v>119565</v>
      </c>
    </row>
    <row r="272" spans="2:11" ht="7.5" customHeight="1">
      <c r="B272" s="130"/>
      <c r="C272" s="4"/>
      <c r="D272" s="4"/>
      <c r="E272" s="4"/>
      <c r="F272" s="4"/>
      <c r="G272" s="4"/>
      <c r="H272" s="4"/>
      <c r="I272" s="4"/>
      <c r="J272" s="4"/>
      <c r="K272" s="4"/>
    </row>
    <row r="273" spans="2:11">
      <c r="B273" s="128" t="s">
        <v>1135</v>
      </c>
      <c r="C273" s="2"/>
      <c r="D273" s="2"/>
      <c r="E273" s="2"/>
      <c r="F273" s="2"/>
      <c r="G273" s="2"/>
      <c r="H273" s="2"/>
      <c r="I273" s="2"/>
      <c r="J273" s="2"/>
      <c r="K273" s="2"/>
    </row>
    <row r="274" spans="2:11" ht="20.100000000000001" customHeight="1">
      <c r="B274" s="439" t="s">
        <v>777</v>
      </c>
      <c r="C274" s="2">
        <f>'Budget Detail FY 2014-21'!L493+'Budget Detail FY 2014-21'!L494</f>
        <v>800</v>
      </c>
      <c r="D274" s="2">
        <f>'Budget Detail FY 2014-21'!M493+'Budget Detail FY 2014-21'!M494</f>
        <v>4303</v>
      </c>
      <c r="E274" s="2">
        <f>'Budget Detail FY 2014-21'!N493+'Budget Detail FY 2014-21'!N494</f>
        <v>0</v>
      </c>
      <c r="F274" s="2">
        <f>'Budget Detail FY 2014-21'!O493+'Budget Detail FY 2014-21'!O494</f>
        <v>0</v>
      </c>
      <c r="G274" s="2">
        <f>'Budget Detail FY 2014-21'!P493+'Budget Detail FY 2014-21'!P494</f>
        <v>0</v>
      </c>
      <c r="H274" s="2">
        <f>'Budget Detail FY 2014-21'!Q493+'Budget Detail FY 2014-21'!Q494</f>
        <v>0</v>
      </c>
      <c r="I274" s="2">
        <f>'Budget Detail FY 2014-21'!R493+'Budget Detail FY 2014-21'!R494</f>
        <v>0</v>
      </c>
      <c r="J274" s="2">
        <f>'Budget Detail FY 2014-21'!S493+'Budget Detail FY 2014-21'!S494</f>
        <v>0</v>
      </c>
      <c r="K274" s="2">
        <f>'Budget Detail FY 2014-21'!T493+'Budget Detail FY 2014-21'!T494</f>
        <v>0</v>
      </c>
    </row>
    <row r="275" spans="2:11" ht="20.100000000000001" customHeight="1">
      <c r="B275" s="439" t="s">
        <v>779</v>
      </c>
      <c r="C275" s="2">
        <f>SUM('Budget Detail FY 2014-21'!L495:L500)</f>
        <v>12143</v>
      </c>
      <c r="D275" s="2">
        <f>SUM('Budget Detail FY 2014-21'!M495:M500)</f>
        <v>111937</v>
      </c>
      <c r="E275" s="2">
        <f>SUM('Budget Detail FY 2014-21'!N495:N500)</f>
        <v>127929</v>
      </c>
      <c r="F275" s="2">
        <f>SUM('Budget Detail FY 2014-21'!O495:O500)</f>
        <v>124145</v>
      </c>
      <c r="G275" s="2">
        <f>SUM('Budget Detail FY 2014-21'!P495:P500)</f>
        <v>0</v>
      </c>
      <c r="H275" s="2">
        <f>SUM('Budget Detail FY 2014-21'!Q495:Q500)</f>
        <v>0</v>
      </c>
      <c r="I275" s="2">
        <f>SUM('Budget Detail FY 2014-21'!R495:R500)</f>
        <v>0</v>
      </c>
      <c r="J275" s="2">
        <f>SUM('Budget Detail FY 2014-21'!S495:S500)</f>
        <v>0</v>
      </c>
      <c r="K275" s="2">
        <f>SUM('Budget Detail FY 2014-21'!T495:T500)</f>
        <v>0</v>
      </c>
    </row>
    <row r="276" spans="2:11" ht="20.100000000000001" customHeight="1">
      <c r="B276" s="439" t="s">
        <v>705</v>
      </c>
      <c r="C276" s="2">
        <f>SUM('Budget Detail FY 2014-21'!L502:L503)</f>
        <v>2383</v>
      </c>
      <c r="D276" s="2">
        <f>SUM('Budget Detail FY 2014-21'!M502:M503)</f>
        <v>2219</v>
      </c>
      <c r="E276" s="2">
        <f>SUM('Budget Detail FY 2014-21'!N502:N503)</f>
        <v>2219</v>
      </c>
      <c r="F276" s="2">
        <f>SUM('Budget Detail FY 2014-21'!O502:O503)</f>
        <v>2219</v>
      </c>
      <c r="G276" s="2">
        <f>SUM('Budget Detail FY 2014-21'!P502:P503)</f>
        <v>2219</v>
      </c>
      <c r="H276" s="2">
        <f>SUM('Budget Detail FY 2014-21'!Q502:Q503)</f>
        <v>2219</v>
      </c>
      <c r="I276" s="2">
        <f>SUM('Budget Detail FY 2014-21'!R502:R503)</f>
        <v>2219</v>
      </c>
      <c r="J276" s="2">
        <f>SUM('Budget Detail FY 2014-21'!S502:S503)</f>
        <v>2219</v>
      </c>
      <c r="K276" s="2">
        <f>SUM('Budget Detail FY 2014-21'!T502:T503)</f>
        <v>2219</v>
      </c>
    </row>
    <row r="277" spans="2:11" ht="20.100000000000001" customHeight="1">
      <c r="B277" s="438" t="s">
        <v>781</v>
      </c>
      <c r="C277" s="2">
        <f>SUM('Budget Detail FY 2014-21'!L504:L504)</f>
        <v>50000</v>
      </c>
      <c r="D277" s="2">
        <f>SUM('Budget Detail FY 2014-21'!M504:M504)</f>
        <v>0</v>
      </c>
      <c r="E277" s="2">
        <f>SUM('Budget Detail FY 2014-21'!N504:N504)</f>
        <v>0</v>
      </c>
      <c r="F277" s="2">
        <f>SUM('Budget Detail FY 2014-21'!O504:O504)</f>
        <v>0</v>
      </c>
      <c r="G277" s="2">
        <f>SUM('Budget Detail FY 2014-21'!P504:P504)</f>
        <v>0</v>
      </c>
      <c r="H277" s="2">
        <f>SUM('Budget Detail FY 2014-21'!Q504:Q504)</f>
        <v>0</v>
      </c>
      <c r="I277" s="2">
        <f>SUM('Budget Detail FY 2014-21'!R504:R504)</f>
        <v>0</v>
      </c>
      <c r="J277" s="2">
        <f>SUM('Budget Detail FY 2014-21'!S504:S504)</f>
        <v>0</v>
      </c>
      <c r="K277" s="2">
        <f>SUM('Budget Detail FY 2014-21'!T504:T504)</f>
        <v>0</v>
      </c>
    </row>
    <row r="278" spans="2:11" ht="20.100000000000001" customHeight="1" thickBot="1">
      <c r="B278" s="127" t="s">
        <v>976</v>
      </c>
      <c r="C278" s="141">
        <f>SUM(C274:C277)</f>
        <v>65326</v>
      </c>
      <c r="D278" s="141">
        <f t="shared" ref="D278:K278" si="24">SUM(D274:D277)</f>
        <v>118459</v>
      </c>
      <c r="E278" s="141">
        <f t="shared" si="24"/>
        <v>130148</v>
      </c>
      <c r="F278" s="141">
        <f t="shared" si="24"/>
        <v>126364</v>
      </c>
      <c r="G278" s="141">
        <f t="shared" si="24"/>
        <v>2219</v>
      </c>
      <c r="H278" s="141">
        <f t="shared" si="24"/>
        <v>2219</v>
      </c>
      <c r="I278" s="141">
        <f t="shared" si="24"/>
        <v>2219</v>
      </c>
      <c r="J278" s="141">
        <f t="shared" si="24"/>
        <v>2219</v>
      </c>
      <c r="K278" s="141">
        <f t="shared" si="24"/>
        <v>2219</v>
      </c>
    </row>
    <row r="279" spans="2:11" ht="7.5" customHeight="1">
      <c r="B279" s="130"/>
      <c r="C279" s="4"/>
      <c r="D279" s="4"/>
      <c r="E279" s="4"/>
      <c r="F279" s="4"/>
      <c r="G279" s="4"/>
      <c r="H279" s="4"/>
      <c r="I279" s="4"/>
      <c r="J279" s="4"/>
      <c r="K279" s="4"/>
    </row>
    <row r="280" spans="2:11" ht="20.100000000000001" customHeight="1" thickBot="1">
      <c r="B280" s="127" t="s">
        <v>782</v>
      </c>
      <c r="C280" s="124">
        <f t="shared" ref="C280:K280" si="25">C264+C271+C278</f>
        <v>333269</v>
      </c>
      <c r="D280" s="124">
        <f t="shared" si="25"/>
        <v>513177</v>
      </c>
      <c r="E280" s="124">
        <f t="shared" si="25"/>
        <v>616130</v>
      </c>
      <c r="F280" s="124">
        <f t="shared" si="25"/>
        <v>581775</v>
      </c>
      <c r="G280" s="124">
        <f t="shared" si="25"/>
        <v>193617</v>
      </c>
      <c r="H280" s="124">
        <f t="shared" si="25"/>
        <v>193617</v>
      </c>
      <c r="I280" s="124">
        <f t="shared" si="25"/>
        <v>193617</v>
      </c>
      <c r="J280" s="124">
        <f t="shared" si="25"/>
        <v>193617</v>
      </c>
      <c r="K280" s="124">
        <f t="shared" si="25"/>
        <v>193617</v>
      </c>
    </row>
    <row r="281" spans="2:11" ht="7.5" customHeight="1">
      <c r="B281" s="130"/>
      <c r="C281" s="4"/>
      <c r="D281" s="4"/>
      <c r="E281" s="4"/>
      <c r="F281" s="4"/>
      <c r="G281" s="4"/>
      <c r="H281" s="4"/>
      <c r="I281" s="4"/>
      <c r="J281" s="4"/>
      <c r="K281" s="4"/>
    </row>
    <row r="282" spans="2:11" ht="20.100000000000001" customHeight="1">
      <c r="B282" s="441" t="s">
        <v>783</v>
      </c>
      <c r="C282" s="3">
        <f t="shared" ref="C282:K282" si="26">C259-C280</f>
        <v>-27842</v>
      </c>
      <c r="D282" s="3">
        <f t="shared" si="26"/>
        <v>-42168</v>
      </c>
      <c r="E282" s="3">
        <f t="shared" si="26"/>
        <v>-143792</v>
      </c>
      <c r="F282" s="3">
        <f t="shared" si="26"/>
        <v>-52843</v>
      </c>
      <c r="G282" s="3">
        <f t="shared" si="26"/>
        <v>-52734</v>
      </c>
      <c r="H282" s="3">
        <f t="shared" si="26"/>
        <v>106</v>
      </c>
      <c r="I282" s="3">
        <f t="shared" si="26"/>
        <v>106</v>
      </c>
      <c r="J282" s="3">
        <f t="shared" si="26"/>
        <v>106</v>
      </c>
      <c r="K282" s="3">
        <f t="shared" si="26"/>
        <v>106</v>
      </c>
    </row>
    <row r="283" spans="2:11" ht="7.5" customHeight="1">
      <c r="B283" s="139"/>
      <c r="C283" s="108"/>
      <c r="D283" s="108"/>
      <c r="E283" s="108"/>
      <c r="F283" s="108"/>
      <c r="G283" s="108"/>
      <c r="H283" s="108"/>
      <c r="I283" s="108"/>
      <c r="J283" s="108"/>
      <c r="K283" s="108"/>
    </row>
    <row r="284" spans="2:11">
      <c r="B284" s="140" t="s">
        <v>973</v>
      </c>
      <c r="C284" s="95">
        <v>39371</v>
      </c>
      <c r="D284" s="95">
        <v>0</v>
      </c>
      <c r="E284" s="95">
        <v>0</v>
      </c>
      <c r="F284" s="95">
        <f>'Budget Detail FY 2014-21'!O511</f>
        <v>0</v>
      </c>
      <c r="G284" s="95">
        <f>'Budget Detail FY 2014-21'!P511</f>
        <v>0</v>
      </c>
      <c r="H284" s="95">
        <f>'Budget Detail FY 2014-21'!Q511</f>
        <v>0</v>
      </c>
      <c r="I284" s="95">
        <f>'Budget Detail FY 2014-21'!R511</f>
        <v>0</v>
      </c>
      <c r="J284" s="95">
        <f>'Budget Detail FY 2014-21'!S511</f>
        <v>0</v>
      </c>
      <c r="K284" s="95">
        <f>'Budget Detail FY 2014-21'!T511</f>
        <v>0</v>
      </c>
    </row>
    <row r="285" spans="2:11" ht="7.5" customHeight="1">
      <c r="B285" s="140"/>
      <c r="C285" s="95"/>
      <c r="D285" s="95"/>
      <c r="E285" s="95"/>
      <c r="F285" s="95"/>
      <c r="G285" s="95"/>
      <c r="H285" s="95"/>
      <c r="I285" s="95"/>
      <c r="J285" s="95"/>
      <c r="K285" s="95"/>
    </row>
    <row r="286" spans="2:11">
      <c r="B286" s="140" t="s">
        <v>974</v>
      </c>
      <c r="C286" s="95">
        <v>74302</v>
      </c>
      <c r="D286" s="95">
        <v>-20106</v>
      </c>
      <c r="E286" s="95">
        <v>0</v>
      </c>
      <c r="F286" s="95">
        <f>'Budget Detail FY 2014-21'!O513</f>
        <v>51565</v>
      </c>
      <c r="G286" s="95">
        <f>'Budget Detail FY 2014-21'!P513</f>
        <v>0</v>
      </c>
      <c r="H286" s="95">
        <f>'Budget Detail FY 2014-21'!Q513</f>
        <v>0</v>
      </c>
      <c r="I286" s="95">
        <f>'Budget Detail FY 2014-21'!R513</f>
        <v>0</v>
      </c>
      <c r="J286" s="95">
        <f>'Budget Detail FY 2014-21'!S513</f>
        <v>0</v>
      </c>
      <c r="K286" s="95">
        <f>'Budget Detail FY 2014-21'!T513</f>
        <v>0</v>
      </c>
    </row>
    <row r="287" spans="2:11" ht="7.5" customHeight="1">
      <c r="B287" s="140"/>
      <c r="C287" s="95"/>
      <c r="D287" s="95"/>
      <c r="E287" s="95"/>
      <c r="F287" s="95"/>
      <c r="G287" s="95"/>
      <c r="H287" s="95"/>
      <c r="I287" s="95"/>
      <c r="J287" s="95"/>
      <c r="K287" s="95"/>
    </row>
    <row r="288" spans="2:11">
      <c r="B288" s="140" t="s">
        <v>1136</v>
      </c>
      <c r="C288" s="95">
        <v>34073</v>
      </c>
      <c r="D288" s="95">
        <v>125683</v>
      </c>
      <c r="E288" s="95">
        <v>-1224</v>
      </c>
      <c r="F288" s="95">
        <f>'Budget Detail FY 2014-21'!O515</f>
        <v>1169</v>
      </c>
      <c r="G288" s="95">
        <f>'Budget Detail FY 2014-21'!P515</f>
        <v>0</v>
      </c>
      <c r="H288" s="95">
        <f>'Budget Detail FY 2014-21'!Q515</f>
        <v>106</v>
      </c>
      <c r="I288" s="95">
        <f>'Budget Detail FY 2014-21'!R515</f>
        <v>212</v>
      </c>
      <c r="J288" s="95">
        <f>'Budget Detail FY 2014-21'!S515</f>
        <v>318</v>
      </c>
      <c r="K288" s="95">
        <f>'Budget Detail FY 2014-21'!T515</f>
        <v>424</v>
      </c>
    </row>
    <row r="289" spans="2:11" ht="7.5" customHeight="1">
      <c r="B289" s="140"/>
      <c r="C289" s="95"/>
      <c r="D289" s="95"/>
      <c r="E289" s="95"/>
      <c r="F289" s="95"/>
      <c r="G289" s="95"/>
      <c r="H289" s="95"/>
      <c r="I289" s="95"/>
      <c r="J289" s="95"/>
      <c r="K289" s="95"/>
    </row>
    <row r="290" spans="2:11" ht="15.75" thickBot="1">
      <c r="B290" s="126" t="s">
        <v>784</v>
      </c>
      <c r="C290" s="81">
        <v>147746</v>
      </c>
      <c r="D290" s="81">
        <v>105577</v>
      </c>
      <c r="E290" s="81">
        <v>-1224</v>
      </c>
      <c r="F290" s="81">
        <f>D290+F282</f>
        <v>52734</v>
      </c>
      <c r="G290" s="81">
        <f>F290+G282</f>
        <v>0</v>
      </c>
      <c r="H290" s="81">
        <f>G290+H282</f>
        <v>106</v>
      </c>
      <c r="I290" s="81">
        <f>H290+I282</f>
        <v>212</v>
      </c>
      <c r="J290" s="81">
        <f>I290+J282</f>
        <v>318</v>
      </c>
      <c r="K290" s="81">
        <f>J290+K282</f>
        <v>424</v>
      </c>
    </row>
    <row r="291" spans="2:11" ht="7.5" customHeight="1" thickTop="1">
      <c r="B291" s="132"/>
      <c r="C291" s="3"/>
      <c r="D291" s="3"/>
      <c r="E291" s="3"/>
      <c r="F291" s="2"/>
      <c r="G291" s="2"/>
      <c r="H291" s="2"/>
      <c r="I291" s="2"/>
      <c r="J291" s="2"/>
      <c r="K291" s="2"/>
    </row>
    <row r="292" spans="2:11">
      <c r="B292" s="132"/>
      <c r="C292" s="2"/>
      <c r="D292" s="2"/>
      <c r="E292" s="2"/>
      <c r="F292" s="2"/>
      <c r="G292" s="2"/>
      <c r="H292" s="2"/>
      <c r="I292" s="2"/>
      <c r="J292" s="2"/>
      <c r="K292" s="2"/>
    </row>
    <row r="293" spans="2:11">
      <c r="B293" s="1"/>
      <c r="C293" s="2"/>
      <c r="D293" s="2"/>
      <c r="E293" s="2"/>
      <c r="F293" s="2"/>
      <c r="G293" s="2"/>
      <c r="H293" s="2"/>
      <c r="I293" s="2"/>
      <c r="J293" s="2"/>
      <c r="K293" s="2"/>
    </row>
    <row r="294" spans="2:11">
      <c r="B294" s="1"/>
      <c r="C294" s="2"/>
      <c r="D294" s="2"/>
      <c r="E294" s="2"/>
      <c r="F294" s="2"/>
      <c r="G294" s="2"/>
      <c r="H294" s="2"/>
      <c r="I294" s="2"/>
      <c r="J294" s="2"/>
      <c r="K294" s="2"/>
    </row>
    <row r="295" spans="2:11">
      <c r="B295" s="1"/>
      <c r="C295" s="2"/>
      <c r="D295" s="2"/>
      <c r="E295" s="2"/>
      <c r="F295" s="2"/>
      <c r="G295" s="2"/>
      <c r="H295" s="2"/>
      <c r="I295" s="2"/>
      <c r="J295" s="2"/>
      <c r="K295" s="2"/>
    </row>
    <row r="296" spans="2:11">
      <c r="B296" s="1"/>
      <c r="C296" s="2"/>
      <c r="D296" s="2"/>
      <c r="E296" s="2"/>
      <c r="F296" s="2"/>
      <c r="G296" s="2"/>
      <c r="H296" s="2"/>
      <c r="I296" s="2"/>
      <c r="J296" s="2"/>
      <c r="K296" s="2"/>
    </row>
    <row r="297" spans="2:11">
      <c r="B297" s="1"/>
      <c r="C297" s="2"/>
      <c r="D297" s="2"/>
      <c r="E297" s="2"/>
      <c r="F297" s="2"/>
      <c r="G297" s="2"/>
      <c r="H297" s="2"/>
      <c r="I297" s="2"/>
      <c r="J297" s="2"/>
      <c r="K297" s="2"/>
    </row>
    <row r="298" spans="2:11">
      <c r="B298" s="1"/>
      <c r="C298" s="2"/>
      <c r="D298" s="2"/>
      <c r="E298" s="2"/>
      <c r="F298" s="2"/>
      <c r="G298" s="2"/>
      <c r="H298" s="2"/>
      <c r="I298" s="2"/>
      <c r="J298" s="2"/>
      <c r="K298" s="2"/>
    </row>
    <row r="299" spans="2:11">
      <c r="B299" s="1"/>
      <c r="C299" s="2"/>
      <c r="D299" s="2"/>
      <c r="E299" s="2"/>
      <c r="F299" s="2"/>
      <c r="G299" s="2"/>
      <c r="H299" s="2"/>
      <c r="I299" s="2"/>
      <c r="J299" s="2"/>
      <c r="K299" s="2"/>
    </row>
    <row r="300" spans="2:11">
      <c r="B300" s="1"/>
      <c r="C300" s="2"/>
      <c r="D300" s="2"/>
      <c r="E300" s="2"/>
      <c r="F300" s="2"/>
      <c r="G300" s="2"/>
      <c r="H300" s="2"/>
      <c r="I300" s="2"/>
      <c r="J300" s="2"/>
      <c r="K300" s="2"/>
    </row>
    <row r="301" spans="2:11">
      <c r="B301" s="1"/>
      <c r="C301" s="2"/>
      <c r="D301" s="2"/>
      <c r="E301" s="2"/>
      <c r="F301" s="2"/>
      <c r="G301" s="2"/>
      <c r="H301" s="2"/>
      <c r="I301" s="2"/>
      <c r="J301" s="2"/>
      <c r="K301" s="2"/>
    </row>
    <row r="302" spans="2:11">
      <c r="B302" s="1"/>
      <c r="C302" s="2"/>
      <c r="D302" s="2"/>
      <c r="E302" s="2"/>
      <c r="F302" s="2"/>
      <c r="G302" s="2"/>
      <c r="H302" s="2"/>
      <c r="I302" s="2"/>
      <c r="J302" s="2"/>
      <c r="K302" s="2"/>
    </row>
    <row r="304" spans="2:11">
      <c r="B304" s="764" t="s">
        <v>792</v>
      </c>
      <c r="C304" s="764"/>
      <c r="D304" s="764"/>
      <c r="E304" s="764"/>
      <c r="F304" s="764"/>
      <c r="G304" s="764"/>
      <c r="H304" s="764"/>
      <c r="I304" s="764"/>
      <c r="J304" s="764"/>
      <c r="K304" s="764"/>
    </row>
    <row r="305" spans="2:11">
      <c r="B305" s="65"/>
      <c r="C305" s="3"/>
      <c r="D305" s="2"/>
      <c r="E305" s="2"/>
      <c r="F305" s="2"/>
      <c r="G305" s="2"/>
      <c r="H305" s="2"/>
      <c r="I305" s="2"/>
      <c r="J305" s="2"/>
      <c r="K305" s="2"/>
    </row>
    <row r="306" spans="2:11" ht="12.75" customHeight="1">
      <c r="B306" s="761" t="s">
        <v>1288</v>
      </c>
      <c r="C306" s="761"/>
      <c r="D306" s="761"/>
      <c r="E306" s="761"/>
      <c r="F306" s="761"/>
      <c r="G306" s="761"/>
      <c r="H306" s="761"/>
      <c r="I306" s="761"/>
      <c r="J306" s="761"/>
      <c r="K306" s="761"/>
    </row>
    <row r="307" spans="2:11" ht="20.25" customHeight="1">
      <c r="B307" s="761"/>
      <c r="C307" s="761"/>
      <c r="D307" s="761"/>
      <c r="E307" s="761"/>
      <c r="F307" s="761"/>
      <c r="G307" s="761"/>
      <c r="H307" s="761"/>
      <c r="I307" s="761"/>
      <c r="J307" s="761"/>
      <c r="K307" s="761"/>
    </row>
    <row r="308" spans="2:11">
      <c r="B308" s="481"/>
      <c r="C308" s="22"/>
      <c r="D308" s="22"/>
      <c r="E308" s="22"/>
      <c r="F308" s="22"/>
      <c r="G308" s="22"/>
      <c r="H308" s="22"/>
      <c r="I308" s="22"/>
      <c r="J308" s="22"/>
      <c r="K308" s="22"/>
    </row>
    <row r="309" spans="2:11">
      <c r="B309" s="5"/>
      <c r="C309" s="65"/>
      <c r="D309" s="66"/>
      <c r="E309" s="65" t="s">
        <v>257</v>
      </c>
      <c r="F309" s="1"/>
      <c r="G309" s="1"/>
      <c r="H309" s="1"/>
      <c r="I309" s="1"/>
      <c r="J309" s="1"/>
      <c r="K309" s="1"/>
    </row>
    <row r="310" spans="2:11">
      <c r="B310" s="66"/>
      <c r="C310" s="65" t="s">
        <v>249</v>
      </c>
      <c r="D310" s="49" t="s">
        <v>256</v>
      </c>
      <c r="E310" s="66" t="s">
        <v>763</v>
      </c>
      <c r="F310" s="66" t="s">
        <v>257</v>
      </c>
      <c r="G310" s="66" t="s">
        <v>258</v>
      </c>
      <c r="H310" s="66" t="s">
        <v>926</v>
      </c>
      <c r="I310" s="66" t="s">
        <v>1026</v>
      </c>
      <c r="J310" s="66" t="s">
        <v>1060</v>
      </c>
      <c r="K310" s="66" t="s">
        <v>1061</v>
      </c>
    </row>
    <row r="311" spans="2:11" ht="15.75" thickBot="1">
      <c r="B311" s="136"/>
      <c r="C311" s="68" t="s">
        <v>1</v>
      </c>
      <c r="D311" s="68" t="s">
        <v>1</v>
      </c>
      <c r="E311" s="68" t="s">
        <v>720</v>
      </c>
      <c r="F311" s="68" t="s">
        <v>19</v>
      </c>
      <c r="G311" s="68" t="str">
        <f>$M$1</f>
        <v>Adopted</v>
      </c>
      <c r="H311" s="68" t="s">
        <v>19</v>
      </c>
      <c r="I311" s="68" t="s">
        <v>19</v>
      </c>
      <c r="J311" s="68" t="s">
        <v>19</v>
      </c>
      <c r="K311" s="68" t="s">
        <v>19</v>
      </c>
    </row>
    <row r="312" spans="2:11">
      <c r="B312" s="64"/>
      <c r="C312" s="137"/>
      <c r="D312" s="2"/>
      <c r="E312" s="2"/>
      <c r="F312" s="2"/>
      <c r="G312" s="2"/>
      <c r="H312" s="2"/>
      <c r="I312" s="2"/>
      <c r="J312" s="2"/>
      <c r="K312" s="2"/>
    </row>
    <row r="313" spans="2:11">
      <c r="B313" s="128" t="s">
        <v>764</v>
      </c>
      <c r="C313" s="2"/>
      <c r="D313" s="2"/>
      <c r="E313" s="2"/>
      <c r="F313" s="2"/>
      <c r="G313" s="2"/>
      <c r="H313" s="2"/>
      <c r="I313" s="2"/>
      <c r="J313" s="2"/>
      <c r="K313" s="2"/>
    </row>
    <row r="314" spans="2:11" ht="20.100000000000001" customHeight="1">
      <c r="B314" s="437" t="s">
        <v>765</v>
      </c>
      <c r="C314" s="2">
        <f>'Budget Detail FY 2014-21'!L522</f>
        <v>315790</v>
      </c>
      <c r="D314" s="2">
        <f>'Budget Detail FY 2014-21'!M522</f>
        <v>327984</v>
      </c>
      <c r="E314" s="2">
        <f>'Budget Detail FY 2014-21'!N522</f>
        <v>165527</v>
      </c>
      <c r="F314" s="2">
        <f>'Budget Detail FY 2014-21'!O522</f>
        <v>164852</v>
      </c>
      <c r="G314" s="2">
        <f>'Budget Detail FY 2014-21'!P522</f>
        <v>47497</v>
      </c>
      <c r="H314" s="2">
        <f>'Budget Detail FY 2014-21'!Q522</f>
        <v>0</v>
      </c>
      <c r="I314" s="2">
        <f>'Budget Detail FY 2014-21'!R522</f>
        <v>0</v>
      </c>
      <c r="J314" s="2">
        <f>'Budget Detail FY 2014-21'!S522</f>
        <v>0</v>
      </c>
      <c r="K314" s="2">
        <f>'Budget Detail FY 2014-21'!T522</f>
        <v>0</v>
      </c>
    </row>
    <row r="315" spans="2:11" ht="20.100000000000001" customHeight="1">
      <c r="B315" s="437" t="s">
        <v>767</v>
      </c>
      <c r="C315" s="2">
        <f>'Budget Detail FY 2014-21'!L523+'Budget Detail FY 2014-21'!L524</f>
        <v>6358</v>
      </c>
      <c r="D315" s="2">
        <f>'Budget Detail FY 2014-21'!M523+'Budget Detail FY 2014-21'!M524</f>
        <v>7418</v>
      </c>
      <c r="E315" s="2">
        <f>'Budget Detail FY 2014-21'!N523+'Budget Detail FY 2014-21'!N524</f>
        <v>4500</v>
      </c>
      <c r="F315" s="2">
        <f>'Budget Detail FY 2014-21'!O523+'Budget Detail FY 2014-21'!O524</f>
        <v>6640</v>
      </c>
      <c r="G315" s="2">
        <f>'Budget Detail FY 2014-21'!P523+'Budget Detail FY 2014-21'!P524</f>
        <v>5000</v>
      </c>
      <c r="H315" s="2">
        <f>'Budget Detail FY 2014-21'!Q523+'Budget Detail FY 2014-21'!Q524</f>
        <v>7000</v>
      </c>
      <c r="I315" s="2">
        <f>'Budget Detail FY 2014-21'!R523+'Budget Detail FY 2014-21'!R524</f>
        <v>7000</v>
      </c>
      <c r="J315" s="2">
        <f>'Budget Detail FY 2014-21'!S523+'Budget Detail FY 2014-21'!S524</f>
        <v>7000</v>
      </c>
      <c r="K315" s="2">
        <f>'Budget Detail FY 2014-21'!T523+'Budget Detail FY 2014-21'!T524</f>
        <v>7000</v>
      </c>
    </row>
    <row r="316" spans="2:11" ht="20.100000000000001" customHeight="1">
      <c r="B316" s="438" t="s">
        <v>770</v>
      </c>
      <c r="C316" s="2">
        <f>'Budget Detail FY 2014-21'!L525</f>
        <v>78</v>
      </c>
      <c r="D316" s="2">
        <f>'Budget Detail FY 2014-21'!M525</f>
        <v>5</v>
      </c>
      <c r="E316" s="2">
        <f>'Budget Detail FY 2014-21'!N525</f>
        <v>0</v>
      </c>
      <c r="F316" s="2">
        <f>'Budget Detail FY 2014-21'!O525</f>
        <v>11</v>
      </c>
      <c r="G316" s="2">
        <f>'Budget Detail FY 2014-21'!P525</f>
        <v>0</v>
      </c>
      <c r="H316" s="2">
        <f>'Budget Detail FY 2014-21'!Q525</f>
        <v>0</v>
      </c>
      <c r="I316" s="2">
        <f>'Budget Detail FY 2014-21'!R525</f>
        <v>0</v>
      </c>
      <c r="J316" s="2">
        <f>'Budget Detail FY 2014-21'!S525</f>
        <v>0</v>
      </c>
      <c r="K316" s="2">
        <f>'Budget Detail FY 2014-21'!T525</f>
        <v>0</v>
      </c>
    </row>
    <row r="317" spans="2:11" ht="20.100000000000001" customHeight="1">
      <c r="B317" s="438" t="s">
        <v>773</v>
      </c>
      <c r="C317" s="2">
        <f>SUM('Budget Detail FY 2014-21'!L526:L528)</f>
        <v>0</v>
      </c>
      <c r="D317" s="2">
        <f>SUM('Budget Detail FY 2014-21'!M526:M528)</f>
        <v>2369891</v>
      </c>
      <c r="E317" s="2">
        <f>SUM('Budget Detail FY 2014-21'!N526:N528)</f>
        <v>132103</v>
      </c>
      <c r="F317" s="2">
        <f>SUM('Budget Detail FY 2014-21'!O526:O528)</f>
        <v>131380</v>
      </c>
      <c r="G317" s="2">
        <f>SUM('Budget Detail FY 2014-21'!P526:P528)</f>
        <v>268178</v>
      </c>
      <c r="H317" s="2">
        <f>SUM('Budget Detail FY 2014-21'!Q526:Q528)</f>
        <v>313275</v>
      </c>
      <c r="I317" s="2">
        <f>SUM('Budget Detail FY 2014-21'!R526:R528)</f>
        <v>317775</v>
      </c>
      <c r="J317" s="2">
        <f>SUM('Budget Detail FY 2014-21'!S526:S528)</f>
        <v>317075</v>
      </c>
      <c r="K317" s="2">
        <f>SUM('Budget Detail FY 2014-21'!T526:T528)</f>
        <v>316275</v>
      </c>
    </row>
    <row r="318" spans="2:11" ht="20.100000000000001" customHeight="1" thickBot="1">
      <c r="B318" s="127" t="s">
        <v>774</v>
      </c>
      <c r="C318" s="124">
        <f t="shared" ref="C318:H318" si="27">SUM(C314:C317)</f>
        <v>322226</v>
      </c>
      <c r="D318" s="124">
        <f>SUM(D314:D317)</f>
        <v>2705298</v>
      </c>
      <c r="E318" s="124">
        <f t="shared" si="27"/>
        <v>302130</v>
      </c>
      <c r="F318" s="124">
        <f t="shared" si="27"/>
        <v>302883</v>
      </c>
      <c r="G318" s="124">
        <f t="shared" si="27"/>
        <v>320675</v>
      </c>
      <c r="H318" s="124">
        <f t="shared" si="27"/>
        <v>320275</v>
      </c>
      <c r="I318" s="124">
        <f>SUM(I314:I317)</f>
        <v>324775</v>
      </c>
      <c r="J318" s="124">
        <f>SUM(J314:J317)</f>
        <v>324075</v>
      </c>
      <c r="K318" s="124">
        <f>SUM(K314:K317)</f>
        <v>323275</v>
      </c>
    </row>
    <row r="319" spans="2:11">
      <c r="B319" s="1"/>
      <c r="C319" s="2"/>
      <c r="D319" s="2"/>
      <c r="E319" s="2"/>
      <c r="F319" s="2"/>
      <c r="G319" s="2"/>
      <c r="H319" s="2"/>
      <c r="I319" s="2"/>
      <c r="J319" s="2"/>
      <c r="K319" s="2"/>
    </row>
    <row r="320" spans="2:11">
      <c r="B320" s="128" t="s">
        <v>548</v>
      </c>
      <c r="C320" s="2"/>
      <c r="D320" s="2"/>
      <c r="E320" s="2"/>
      <c r="F320" s="2"/>
      <c r="G320" s="2"/>
      <c r="H320" s="2"/>
      <c r="I320" s="2"/>
      <c r="J320" s="2"/>
      <c r="K320" s="2"/>
    </row>
    <row r="321" spans="2:11" ht="20.100000000000001" customHeight="1">
      <c r="B321" s="439" t="s">
        <v>777</v>
      </c>
      <c r="C321" s="2">
        <f>'Budget Detail FY 2014-21'!L534+'Budget Detail FY 2014-21'!L533+'Budget Detail FY 2014-21'!L532</f>
        <v>775</v>
      </c>
      <c r="D321" s="2">
        <f>'Budget Detail FY 2014-21'!M534+'Budget Detail FY 2014-21'!M533+'Budget Detail FY 2014-21'!M532</f>
        <v>39617</v>
      </c>
      <c r="E321" s="2">
        <f>'Budget Detail FY 2014-21'!N534+'Budget Detail FY 2014-21'!N533+'Budget Detail FY 2014-21'!N532</f>
        <v>525</v>
      </c>
      <c r="F321" s="2">
        <f>'Budget Detail FY 2014-21'!O534+'Budget Detail FY 2014-21'!O533+'Budget Detail FY 2014-21'!O532</f>
        <v>475</v>
      </c>
      <c r="G321" s="2">
        <f>'Budget Detail FY 2014-21'!P534+'Budget Detail FY 2014-21'!P533+'Budget Detail FY 2014-21'!P532</f>
        <v>525</v>
      </c>
      <c r="H321" s="2">
        <f>'Budget Detail FY 2014-21'!Q534+'Budget Detail FY 2014-21'!Q533+'Budget Detail FY 2014-21'!Q532</f>
        <v>525</v>
      </c>
      <c r="I321" s="2">
        <f>'Budget Detail FY 2014-21'!R534+'Budget Detail FY 2014-21'!R533+'Budget Detail FY 2014-21'!R532</f>
        <v>525</v>
      </c>
      <c r="J321" s="2">
        <f>'Budget Detail FY 2014-21'!S534+'Budget Detail FY 2014-21'!S533+'Budget Detail FY 2014-21'!S532</f>
        <v>525</v>
      </c>
      <c r="K321" s="2">
        <f>'Budget Detail FY 2014-21'!T534+'Budget Detail FY 2014-21'!T533+'Budget Detail FY 2014-21'!T532</f>
        <v>525</v>
      </c>
    </row>
    <row r="322" spans="2:11" ht="20.100000000000001" customHeight="1">
      <c r="B322" s="439" t="s">
        <v>705</v>
      </c>
      <c r="C322" s="2">
        <f>SUM('Budget Detail FY 2014-21'!L536:L540)</f>
        <v>328179</v>
      </c>
      <c r="D322" s="2">
        <f>SUM('Budget Detail FY 2014-21'!M536:M540)</f>
        <v>304042</v>
      </c>
      <c r="E322" s="2">
        <f>SUM('Budget Detail FY 2014-21'!N536:N540)</f>
        <v>310250</v>
      </c>
      <c r="F322" s="2">
        <f>SUM('Budget Detail FY 2014-21'!O536:O540)</f>
        <v>310250</v>
      </c>
      <c r="G322" s="2">
        <f>SUM('Budget Detail FY 2014-21'!P536:P540)</f>
        <v>320150</v>
      </c>
      <c r="H322" s="2">
        <f>SUM('Budget Detail FY 2014-21'!Q536:Q540)</f>
        <v>319750</v>
      </c>
      <c r="I322" s="2">
        <f>SUM('Budget Detail FY 2014-21'!R536:R540)</f>
        <v>324250</v>
      </c>
      <c r="J322" s="2">
        <f>SUM('Budget Detail FY 2014-21'!S536:S540)</f>
        <v>323550</v>
      </c>
      <c r="K322" s="2">
        <f>SUM('Budget Detail FY 2014-21'!T536:T540)</f>
        <v>322750</v>
      </c>
    </row>
    <row r="323" spans="2:11" ht="20.100000000000001" customHeight="1">
      <c r="B323" s="438" t="s">
        <v>781</v>
      </c>
      <c r="C323" s="2">
        <f>'Budget Detail FY 2014-21'!L541</f>
        <v>0</v>
      </c>
      <c r="D323" s="2">
        <f>'Budget Detail FY 2014-21'!M541</f>
        <v>2359115</v>
      </c>
      <c r="E323" s="2">
        <f>'Budget Detail FY 2014-21'!N541</f>
        <v>0</v>
      </c>
      <c r="F323" s="2">
        <f>'Budget Detail FY 2014-21'!O541</f>
        <v>0</v>
      </c>
      <c r="G323" s="2">
        <f>'Budget Detail FY 2014-21'!P541</f>
        <v>0</v>
      </c>
      <c r="H323" s="2">
        <f>'Budget Detail FY 2014-21'!Q541</f>
        <v>0</v>
      </c>
      <c r="I323" s="2">
        <f>'Budget Detail FY 2014-21'!R541</f>
        <v>0</v>
      </c>
      <c r="J323" s="2">
        <f>'Budget Detail FY 2014-21'!S541</f>
        <v>0</v>
      </c>
      <c r="K323" s="2">
        <f>'Budget Detail FY 2014-21'!T541</f>
        <v>0</v>
      </c>
    </row>
    <row r="324" spans="2:11" ht="20.100000000000001" customHeight="1" thickBot="1">
      <c r="B324" s="127" t="s">
        <v>782</v>
      </c>
      <c r="C324" s="124">
        <f>SUM(C321:C323)</f>
        <v>328954</v>
      </c>
      <c r="D324" s="124">
        <f t="shared" ref="D324:K324" si="28">SUM(D321:D323)</f>
        <v>2702774</v>
      </c>
      <c r="E324" s="124">
        <f t="shared" si="28"/>
        <v>310775</v>
      </c>
      <c r="F324" s="124">
        <f t="shared" si="28"/>
        <v>310725</v>
      </c>
      <c r="G324" s="124">
        <f t="shared" si="28"/>
        <v>320675</v>
      </c>
      <c r="H324" s="124">
        <f t="shared" si="28"/>
        <v>320275</v>
      </c>
      <c r="I324" s="124">
        <f t="shared" si="28"/>
        <v>324775</v>
      </c>
      <c r="J324" s="124">
        <f t="shared" si="28"/>
        <v>324075</v>
      </c>
      <c r="K324" s="124">
        <f t="shared" si="28"/>
        <v>323275</v>
      </c>
    </row>
    <row r="325" spans="2:11">
      <c r="B325" s="130"/>
      <c r="C325" s="3"/>
      <c r="D325" s="2"/>
      <c r="E325" s="2"/>
      <c r="F325" s="2"/>
      <c r="G325" s="2"/>
      <c r="H325" s="2"/>
      <c r="I325" s="2"/>
      <c r="J325" s="2"/>
      <c r="K325" s="2"/>
    </row>
    <row r="326" spans="2:11" ht="20.100000000000001" customHeight="1">
      <c r="B326" s="441" t="s">
        <v>783</v>
      </c>
      <c r="C326" s="3">
        <f t="shared" ref="C326:K326" si="29">+C318-C324</f>
        <v>-6728</v>
      </c>
      <c r="D326" s="3">
        <f t="shared" si="29"/>
        <v>2524</v>
      </c>
      <c r="E326" s="3">
        <f t="shared" si="29"/>
        <v>-8645</v>
      </c>
      <c r="F326" s="3">
        <f t="shared" si="29"/>
        <v>-7842</v>
      </c>
      <c r="G326" s="3">
        <f t="shared" si="29"/>
        <v>0</v>
      </c>
      <c r="H326" s="3">
        <f t="shared" si="29"/>
        <v>0</v>
      </c>
      <c r="I326" s="3">
        <f t="shared" si="29"/>
        <v>0</v>
      </c>
      <c r="J326" s="3">
        <f t="shared" si="29"/>
        <v>0</v>
      </c>
      <c r="K326" s="3">
        <f t="shared" si="29"/>
        <v>0</v>
      </c>
    </row>
    <row r="327" spans="2:11">
      <c r="B327" s="131"/>
      <c r="C327" s="3"/>
      <c r="D327" s="2"/>
      <c r="E327" s="2"/>
      <c r="F327" s="2"/>
      <c r="G327" s="2"/>
      <c r="H327" s="2"/>
      <c r="I327" s="2"/>
      <c r="J327" s="2"/>
      <c r="K327" s="2"/>
    </row>
    <row r="328" spans="2:11" ht="20.100000000000001" customHeight="1" thickBot="1">
      <c r="B328" s="126" t="s">
        <v>784</v>
      </c>
      <c r="C328" s="81">
        <v>5319</v>
      </c>
      <c r="D328" s="81">
        <v>7842</v>
      </c>
      <c r="E328" s="81">
        <v>0</v>
      </c>
      <c r="F328" s="81">
        <f>D328+F326</f>
        <v>0</v>
      </c>
      <c r="G328" s="81">
        <f>F328+G326</f>
        <v>0</v>
      </c>
      <c r="H328" s="81">
        <f>G328+H326</f>
        <v>0</v>
      </c>
      <c r="I328" s="81">
        <f>H328+I326</f>
        <v>0</v>
      </c>
      <c r="J328" s="81">
        <f>I328+J326</f>
        <v>0</v>
      </c>
      <c r="K328" s="81">
        <f>J328+K326</f>
        <v>0</v>
      </c>
    </row>
    <row r="329" spans="2:11" ht="15.75" thickTop="1">
      <c r="B329" s="132"/>
      <c r="C329" s="3"/>
      <c r="D329" s="3"/>
      <c r="E329" s="3"/>
      <c r="F329" s="2"/>
      <c r="G329" s="2"/>
      <c r="H329" s="2"/>
      <c r="I329" s="2"/>
      <c r="J329" s="2"/>
      <c r="K329" s="2"/>
    </row>
    <row r="330" spans="2:11">
      <c r="B330" s="132"/>
      <c r="C330" s="2"/>
      <c r="D330" s="2"/>
      <c r="E330" s="2"/>
      <c r="F330" s="2"/>
      <c r="G330" s="2"/>
      <c r="H330" s="2"/>
      <c r="I330" s="2"/>
      <c r="J330" s="2"/>
      <c r="K330" s="2"/>
    </row>
    <row r="331" spans="2:11">
      <c r="B331" s="1"/>
      <c r="C331" s="2"/>
      <c r="D331" s="2"/>
      <c r="E331" s="2"/>
      <c r="F331" s="2"/>
      <c r="G331" s="2"/>
      <c r="H331" s="2"/>
      <c r="I331" s="2"/>
      <c r="J331" s="2"/>
      <c r="K331" s="2"/>
    </row>
    <row r="332" spans="2:11">
      <c r="B332" s="1"/>
      <c r="C332" s="2"/>
      <c r="D332" s="2"/>
      <c r="E332" s="2"/>
      <c r="F332" s="2"/>
      <c r="G332" s="2"/>
      <c r="H332" s="2"/>
      <c r="I332" s="2"/>
      <c r="J332" s="2"/>
      <c r="K332" s="2"/>
    </row>
    <row r="333" spans="2:11">
      <c r="B333" s="1"/>
      <c r="C333" s="2"/>
      <c r="D333" s="2"/>
      <c r="E333" s="2"/>
      <c r="F333" s="2"/>
      <c r="G333" s="2"/>
      <c r="H333" s="2"/>
      <c r="I333" s="2"/>
      <c r="J333" s="2"/>
      <c r="K333" s="2"/>
    </row>
    <row r="334" spans="2:11">
      <c r="B334" s="1"/>
      <c r="C334" s="2"/>
      <c r="D334" s="2"/>
      <c r="E334" s="2"/>
      <c r="F334" s="2"/>
      <c r="G334" s="2"/>
      <c r="H334" s="2"/>
      <c r="I334" s="2"/>
      <c r="J334" s="2"/>
      <c r="K334" s="2"/>
    </row>
    <row r="335" spans="2:11">
      <c r="B335" s="1"/>
      <c r="C335" s="2"/>
      <c r="D335" s="2"/>
      <c r="E335" s="2"/>
      <c r="F335" s="2"/>
      <c r="G335" s="2"/>
      <c r="H335" s="2"/>
      <c r="I335" s="2"/>
      <c r="J335" s="2"/>
      <c r="K335" s="2"/>
    </row>
    <row r="336" spans="2:11">
      <c r="B336" s="1"/>
      <c r="C336" s="2"/>
      <c r="D336" s="2"/>
      <c r="E336" s="2"/>
      <c r="F336" s="2"/>
      <c r="G336" s="2"/>
      <c r="H336" s="2"/>
      <c r="I336" s="2"/>
      <c r="J336" s="2"/>
      <c r="K336" s="2"/>
    </row>
    <row r="337" spans="2:18">
      <c r="B337" s="1"/>
      <c r="C337" s="2"/>
      <c r="D337" s="2"/>
      <c r="E337" s="2"/>
      <c r="F337" s="2"/>
      <c r="G337" s="2"/>
      <c r="H337" s="2"/>
      <c r="I337" s="2"/>
      <c r="J337" s="2"/>
      <c r="K337" s="2"/>
    </row>
    <row r="338" spans="2:18">
      <c r="B338" s="1"/>
      <c r="C338" s="2"/>
      <c r="D338" s="2"/>
      <c r="E338" s="2"/>
      <c r="F338" s="2"/>
      <c r="G338" s="2"/>
      <c r="H338" s="2"/>
      <c r="I338" s="2"/>
      <c r="J338" s="2"/>
      <c r="K338" s="2"/>
    </row>
    <row r="339" spans="2:18">
      <c r="B339" s="1"/>
      <c r="C339" s="2"/>
      <c r="D339" s="2"/>
      <c r="E339" s="2"/>
      <c r="F339" s="2"/>
      <c r="G339" s="2"/>
      <c r="H339" s="2"/>
      <c r="I339" s="2"/>
      <c r="J339" s="2"/>
      <c r="K339" s="2"/>
    </row>
    <row r="340" spans="2:18">
      <c r="B340" s="1"/>
      <c r="C340" s="2"/>
      <c r="D340" s="2"/>
      <c r="E340" s="2"/>
      <c r="F340" s="2"/>
      <c r="G340" s="2"/>
      <c r="H340" s="2"/>
      <c r="I340" s="2"/>
      <c r="J340" s="2"/>
      <c r="K340" s="2"/>
    </row>
    <row r="342" spans="2:18">
      <c r="B342" s="764" t="s">
        <v>793</v>
      </c>
      <c r="C342" s="764"/>
      <c r="D342" s="764"/>
      <c r="E342" s="764"/>
      <c r="F342" s="764"/>
      <c r="G342" s="764"/>
      <c r="H342" s="764"/>
      <c r="I342" s="764"/>
      <c r="J342" s="764"/>
      <c r="K342" s="764"/>
    </row>
    <row r="343" spans="2:18">
      <c r="B343" s="65"/>
      <c r="C343" s="3"/>
      <c r="D343" s="2"/>
      <c r="E343" s="2"/>
      <c r="F343" s="2"/>
      <c r="G343" s="2"/>
      <c r="H343" s="2"/>
      <c r="I343" s="2"/>
      <c r="J343" s="2"/>
      <c r="K343" s="2"/>
    </row>
    <row r="344" spans="2:18" ht="12.75" customHeight="1">
      <c r="B344" s="761" t="s">
        <v>794</v>
      </c>
      <c r="C344" s="761"/>
      <c r="D344" s="761"/>
      <c r="E344" s="761"/>
      <c r="F344" s="761"/>
      <c r="G344" s="761"/>
      <c r="H344" s="761"/>
      <c r="I344" s="761"/>
      <c r="J344" s="761"/>
      <c r="K344" s="761"/>
    </row>
    <row r="345" spans="2:18" ht="18" customHeight="1">
      <c r="B345" s="761"/>
      <c r="C345" s="761"/>
      <c r="D345" s="761"/>
      <c r="E345" s="761"/>
      <c r="F345" s="761"/>
      <c r="G345" s="761"/>
      <c r="H345" s="761"/>
      <c r="I345" s="761"/>
      <c r="J345" s="761"/>
      <c r="K345" s="761"/>
    </row>
    <row r="346" spans="2:18" ht="7.5" customHeight="1">
      <c r="B346" s="481"/>
      <c r="C346" s="22"/>
      <c r="D346" s="22"/>
      <c r="E346" s="22"/>
      <c r="F346" s="2"/>
      <c r="G346" s="2"/>
      <c r="H346" s="2"/>
      <c r="I346" s="2"/>
      <c r="J346" s="2"/>
      <c r="K346" s="2"/>
    </row>
    <row r="347" spans="2:18">
      <c r="B347" s="5"/>
      <c r="C347" s="65"/>
      <c r="D347" s="66"/>
      <c r="E347" s="65" t="s">
        <v>257</v>
      </c>
      <c r="F347" s="1"/>
      <c r="G347" s="1"/>
      <c r="H347" s="1"/>
      <c r="I347" s="1"/>
      <c r="J347" s="1"/>
      <c r="K347" s="1"/>
    </row>
    <row r="348" spans="2:18">
      <c r="B348" s="66"/>
      <c r="C348" s="65" t="s">
        <v>249</v>
      </c>
      <c r="D348" s="49" t="s">
        <v>256</v>
      </c>
      <c r="E348" s="66" t="s">
        <v>763</v>
      </c>
      <c r="F348" s="66" t="s">
        <v>257</v>
      </c>
      <c r="G348" s="66" t="s">
        <v>258</v>
      </c>
      <c r="H348" s="66" t="s">
        <v>926</v>
      </c>
      <c r="I348" s="66" t="s">
        <v>1026</v>
      </c>
      <c r="J348" s="66" t="s">
        <v>1060</v>
      </c>
      <c r="K348" s="66" t="s">
        <v>1061</v>
      </c>
      <c r="M348" s="715"/>
      <c r="N348" s="70"/>
      <c r="O348" s="715"/>
      <c r="P348" s="715"/>
      <c r="Q348" s="715"/>
      <c r="R348" s="715"/>
    </row>
    <row r="349" spans="2:18" ht="15.75" thickBot="1">
      <c r="B349" s="136"/>
      <c r="C349" s="68" t="s">
        <v>1</v>
      </c>
      <c r="D349" s="68" t="s">
        <v>1</v>
      </c>
      <c r="E349" s="68" t="s">
        <v>720</v>
      </c>
      <c r="F349" s="68" t="s">
        <v>19</v>
      </c>
      <c r="G349" s="68" t="str">
        <f>$M$1</f>
        <v>Adopted</v>
      </c>
      <c r="H349" s="68" t="s">
        <v>19</v>
      </c>
      <c r="I349" s="68" t="s">
        <v>19</v>
      </c>
      <c r="J349" s="68" t="s">
        <v>19</v>
      </c>
      <c r="K349" s="68" t="s">
        <v>19</v>
      </c>
      <c r="M349" s="715"/>
      <c r="N349" s="70"/>
      <c r="O349" s="715"/>
      <c r="P349" s="715"/>
      <c r="Q349" s="715"/>
      <c r="R349" s="715"/>
    </row>
    <row r="350" spans="2:18">
      <c r="B350" s="64"/>
      <c r="C350" s="137"/>
      <c r="D350" s="2"/>
      <c r="E350" s="2"/>
      <c r="F350" s="2"/>
      <c r="G350" s="2"/>
      <c r="H350" s="2"/>
      <c r="I350" s="2"/>
      <c r="J350" s="2"/>
      <c r="K350" s="2"/>
      <c r="M350" s="715"/>
      <c r="N350" s="715"/>
      <c r="O350" s="715"/>
      <c r="P350" s="715"/>
      <c r="Q350" s="715"/>
      <c r="R350" s="715"/>
    </row>
    <row r="351" spans="2:18">
      <c r="B351" s="128" t="s">
        <v>764</v>
      </c>
      <c r="C351" s="2"/>
      <c r="D351" s="2"/>
      <c r="E351" s="2"/>
      <c r="F351" s="2"/>
      <c r="G351" s="2"/>
      <c r="H351" s="2"/>
      <c r="I351" s="2"/>
      <c r="J351" s="2"/>
      <c r="K351" s="2"/>
      <c r="M351" s="715"/>
      <c r="N351" s="715"/>
      <c r="O351" s="715"/>
      <c r="P351" s="715"/>
      <c r="Q351" s="715"/>
      <c r="R351" s="715"/>
    </row>
    <row r="352" spans="2:18" ht="20.100000000000001" customHeight="1">
      <c r="B352" s="438" t="s">
        <v>765</v>
      </c>
      <c r="C352" s="2">
        <f>'Budget Detail FY 2014-21'!L551</f>
        <v>41403</v>
      </c>
      <c r="D352" s="2">
        <f>'Budget Detail FY 2014-21'!M551</f>
        <v>5210</v>
      </c>
      <c r="E352" s="2">
        <f>'Budget Detail FY 2014-21'!N551</f>
        <v>0</v>
      </c>
      <c r="F352" s="2">
        <f>'Budget Detail FY 2014-21'!O551</f>
        <v>0</v>
      </c>
      <c r="G352" s="2">
        <f>'Budget Detail FY 2014-21'!P551</f>
        <v>0</v>
      </c>
      <c r="H352" s="2">
        <f>'Budget Detail FY 2014-21'!Q551</f>
        <v>0</v>
      </c>
      <c r="I352" s="2">
        <f>'Budget Detail FY 2014-21'!R551</f>
        <v>0</v>
      </c>
      <c r="J352" s="2">
        <f>'Budget Detail FY 2014-21'!S551</f>
        <v>0</v>
      </c>
      <c r="K352" s="2">
        <f>'Budget Detail FY 2014-21'!T551</f>
        <v>0</v>
      </c>
      <c r="M352" s="722"/>
      <c r="N352" s="718"/>
      <c r="O352" s="723"/>
      <c r="P352" s="715"/>
      <c r="Q352" s="715"/>
      <c r="R352" s="715"/>
    </row>
    <row r="353" spans="2:18" ht="20.100000000000001" customHeight="1">
      <c r="B353" s="437" t="s">
        <v>767</v>
      </c>
      <c r="C353" s="2">
        <f>'Budget Detail FY 2014-21'!L552</f>
        <v>84544</v>
      </c>
      <c r="D353" s="2">
        <f>'Budget Detail FY 2014-21'!M552</f>
        <v>112323</v>
      </c>
      <c r="E353" s="2">
        <f>'Budget Detail FY 2014-21'!N552</f>
        <v>0</v>
      </c>
      <c r="F353" s="2">
        <f>'Budget Detail FY 2014-21'!O552</f>
        <v>0</v>
      </c>
      <c r="G353" s="2">
        <f>'Budget Detail FY 2014-21'!P552</f>
        <v>0</v>
      </c>
      <c r="H353" s="2">
        <f>'Budget Detail FY 2014-21'!Q552</f>
        <v>0</v>
      </c>
      <c r="I353" s="2">
        <f>'Budget Detail FY 2014-21'!R552</f>
        <v>0</v>
      </c>
      <c r="J353" s="2">
        <f>'Budget Detail FY 2014-21'!S552</f>
        <v>0</v>
      </c>
      <c r="K353" s="2">
        <f>'Budget Detail FY 2014-21'!T552</f>
        <v>0</v>
      </c>
      <c r="M353" s="441"/>
      <c r="N353" s="718"/>
      <c r="O353" s="723"/>
      <c r="P353" s="715"/>
      <c r="Q353" s="715"/>
      <c r="R353" s="715"/>
    </row>
    <row r="354" spans="2:18" ht="20.100000000000001" customHeight="1">
      <c r="B354" s="438" t="s">
        <v>769</v>
      </c>
      <c r="C354" s="2">
        <f>SUM('Budget Detail FY 2014-21'!L553:L558)</f>
        <v>2309950</v>
      </c>
      <c r="D354" s="2">
        <f>SUM('Budget Detail FY 2014-21'!M553:M558)</f>
        <v>2513791</v>
      </c>
      <c r="E354" s="2">
        <f>SUM('Budget Detail FY 2014-21'!N553:N558)</f>
        <v>3240437</v>
      </c>
      <c r="F354" s="2">
        <f>SUM('Budget Detail FY 2014-21'!O553:O558)</f>
        <v>3278400</v>
      </c>
      <c r="G354" s="2">
        <f>SUM('Budget Detail FY 2014-21'!P553:P558)</f>
        <v>3661400</v>
      </c>
      <c r="H354" s="2">
        <f>SUM('Budget Detail FY 2014-21'!Q553:Q558)</f>
        <v>3761400</v>
      </c>
      <c r="I354" s="2">
        <f>SUM('Budget Detail FY 2014-21'!R553:R558)</f>
        <v>3761400</v>
      </c>
      <c r="J354" s="2">
        <f>SUM('Budget Detail FY 2014-21'!S553:S558)</f>
        <v>4178850</v>
      </c>
      <c r="K354" s="2">
        <f>SUM('Budget Detail FY 2014-21'!T553:T558)</f>
        <v>4658918</v>
      </c>
      <c r="M354" s="722"/>
      <c r="N354" s="718"/>
      <c r="O354" s="723"/>
      <c r="P354" s="715"/>
      <c r="Q354" s="715"/>
      <c r="R354" s="715"/>
    </row>
    <row r="355" spans="2:18" ht="20.100000000000001" customHeight="1">
      <c r="B355" s="438" t="s">
        <v>770</v>
      </c>
      <c r="C355" s="2">
        <f>'Budget Detail FY 2014-21'!L559+'Budget Detail FY 2014-21'!L560</f>
        <v>2231</v>
      </c>
      <c r="D355" s="2">
        <f>'Budget Detail FY 2014-21'!M559+'Budget Detail FY 2014-21'!M560</f>
        <v>2034</v>
      </c>
      <c r="E355" s="2">
        <f>'Budget Detail FY 2014-21'!N559+'Budget Detail FY 2014-21'!N560</f>
        <v>500</v>
      </c>
      <c r="F355" s="2">
        <f>'Budget Detail FY 2014-21'!O559+'Budget Detail FY 2014-21'!O560</f>
        <v>3100</v>
      </c>
      <c r="G355" s="2">
        <f>'Budget Detail FY 2014-21'!P559+'Budget Detail FY 2014-21'!P560</f>
        <v>1000</v>
      </c>
      <c r="H355" s="2">
        <f>'Budget Detail FY 2014-21'!Q559+'Budget Detail FY 2014-21'!Q560</f>
        <v>500</v>
      </c>
      <c r="I355" s="2">
        <f>'Budget Detail FY 2014-21'!R559+'Budget Detail FY 2014-21'!R560</f>
        <v>500</v>
      </c>
      <c r="J355" s="2">
        <f>'Budget Detail FY 2014-21'!S559+'Budget Detail FY 2014-21'!S560</f>
        <v>500</v>
      </c>
      <c r="K355" s="2">
        <f>'Budget Detail FY 2014-21'!T559+'Budget Detail FY 2014-21'!T560</f>
        <v>500</v>
      </c>
      <c r="M355" s="722"/>
      <c r="N355" s="718"/>
      <c r="O355" s="723"/>
      <c r="P355" s="715"/>
      <c r="Q355" s="715"/>
      <c r="R355" s="715"/>
    </row>
    <row r="356" spans="2:18" ht="20.100000000000001" customHeight="1">
      <c r="B356" s="438" t="s">
        <v>771</v>
      </c>
      <c r="C356" s="2">
        <f>SUM('Budget Detail FY 2014-21'!L561:L561)</f>
        <v>14844</v>
      </c>
      <c r="D356" s="2">
        <f>SUM('Budget Detail FY 2014-21'!M561:M561)</f>
        <v>3970</v>
      </c>
      <c r="E356" s="2">
        <f>SUM('Budget Detail FY 2014-21'!N561:N561)</f>
        <v>0</v>
      </c>
      <c r="F356" s="2">
        <f>SUM('Budget Detail FY 2014-21'!O561:O561)</f>
        <v>0</v>
      </c>
      <c r="G356" s="2">
        <f>SUM('Budget Detail FY 2014-21'!P561:P561)</f>
        <v>0</v>
      </c>
      <c r="H356" s="2">
        <f>SUM('Budget Detail FY 2014-21'!Q561:Q561)</f>
        <v>0</v>
      </c>
      <c r="I356" s="2">
        <f>SUM('Budget Detail FY 2014-21'!R561:R561)</f>
        <v>0</v>
      </c>
      <c r="J356" s="2">
        <f>SUM('Budget Detail FY 2014-21'!S561:S561)</f>
        <v>0</v>
      </c>
      <c r="K356" s="2">
        <f>SUM('Budget Detail FY 2014-21'!T561:T561)</f>
        <v>0</v>
      </c>
      <c r="M356" s="722"/>
      <c r="N356" s="718"/>
      <c r="O356" s="723"/>
      <c r="P356" s="715"/>
      <c r="Q356" s="715"/>
      <c r="R356" s="715"/>
    </row>
    <row r="357" spans="2:18" ht="20.100000000000001" customHeight="1">
      <c r="B357" s="438" t="s">
        <v>772</v>
      </c>
      <c r="C357" s="2">
        <f>SUM('Budget Detail FY 2014-21'!L562:L563)</f>
        <v>51917</v>
      </c>
      <c r="D357" s="2">
        <f>SUM('Budget Detail FY 2014-21'!M562:M563)</f>
        <v>57775</v>
      </c>
      <c r="E357" s="2">
        <f>SUM('Budget Detail FY 2014-21'!N562:N563)</f>
        <v>56307</v>
      </c>
      <c r="F357" s="2">
        <f>SUM('Budget Detail FY 2014-21'!O562:O563)</f>
        <v>56307</v>
      </c>
      <c r="G357" s="2">
        <f>SUM('Budget Detail FY 2014-21'!P562:P563)</f>
        <v>57433</v>
      </c>
      <c r="H357" s="2">
        <f>SUM('Budget Detail FY 2014-21'!Q562:Q563)</f>
        <v>58582</v>
      </c>
      <c r="I357" s="2">
        <f>SUM('Budget Detail FY 2014-21'!R562:R563)</f>
        <v>59754</v>
      </c>
      <c r="J357" s="2">
        <f>SUM('Budget Detail FY 2014-21'!S562:S563)</f>
        <v>60949</v>
      </c>
      <c r="K357" s="2">
        <f>SUM('Budget Detail FY 2014-21'!T562:T563)</f>
        <v>62168</v>
      </c>
      <c r="M357" s="722"/>
      <c r="N357" s="721"/>
      <c r="O357" s="724"/>
      <c r="P357" s="715"/>
      <c r="Q357" s="715"/>
      <c r="R357" s="715"/>
    </row>
    <row r="358" spans="2:18" ht="20.100000000000001" customHeight="1">
      <c r="B358" s="438" t="s">
        <v>773</v>
      </c>
      <c r="C358" s="2">
        <f>SUM('Budget Detail FY 2014-21'!L564:L567)</f>
        <v>82988</v>
      </c>
      <c r="D358" s="2">
        <f>SUM('Budget Detail FY 2014-21'!M564:M567)</f>
        <v>1373687</v>
      </c>
      <c r="E358" s="2">
        <f>SUM('Budget Detail FY 2014-21'!N564:N567)</f>
        <v>4376275</v>
      </c>
      <c r="F358" s="2">
        <f>SUM('Budget Detail FY 2014-21'!O564:O567)</f>
        <v>4369998</v>
      </c>
      <c r="G358" s="2">
        <f>SUM('Budget Detail FY 2014-21'!P564:P567)</f>
        <v>75075</v>
      </c>
      <c r="H358" s="2">
        <f>SUM('Budget Detail FY 2014-21'!Q564:Q567)</f>
        <v>73875</v>
      </c>
      <c r="I358" s="2">
        <f>SUM('Budget Detail FY 2014-21'!R564:R567)</f>
        <v>77675</v>
      </c>
      <c r="J358" s="2">
        <f>SUM('Budget Detail FY 2014-21'!S564:S567)</f>
        <v>73875</v>
      </c>
      <c r="K358" s="2">
        <f>SUM('Budget Detail FY 2014-21'!T564:T567)</f>
        <v>75125</v>
      </c>
      <c r="M358" s="715"/>
      <c r="N358" s="718"/>
      <c r="O358" s="725"/>
      <c r="P358" s="718"/>
      <c r="Q358" s="715"/>
      <c r="R358" s="715"/>
    </row>
    <row r="359" spans="2:18" ht="20.100000000000001" customHeight="1" thickBot="1">
      <c r="B359" s="127" t="s">
        <v>774</v>
      </c>
      <c r="C359" s="124">
        <f t="shared" ref="C359:J359" si="30">SUM(C352:C358)</f>
        <v>2587877</v>
      </c>
      <c r="D359" s="124">
        <f>SUM(D352:D358)</f>
        <v>4068790</v>
      </c>
      <c r="E359" s="124">
        <f t="shared" si="30"/>
        <v>7673519</v>
      </c>
      <c r="F359" s="124">
        <f t="shared" si="30"/>
        <v>7707805</v>
      </c>
      <c r="G359" s="124">
        <f t="shared" si="30"/>
        <v>3794908</v>
      </c>
      <c r="H359" s="124">
        <f t="shared" si="30"/>
        <v>3894357</v>
      </c>
      <c r="I359" s="124">
        <f t="shared" si="30"/>
        <v>3899329</v>
      </c>
      <c r="J359" s="124">
        <f t="shared" si="30"/>
        <v>4314174</v>
      </c>
      <c r="K359" s="124">
        <f>SUM(K352:K358)</f>
        <v>4796711</v>
      </c>
      <c r="M359" s="715"/>
      <c r="N359" s="715"/>
      <c r="O359" s="715"/>
      <c r="P359" s="715"/>
      <c r="Q359" s="715"/>
      <c r="R359" s="715"/>
    </row>
    <row r="360" spans="2:18" ht="7.5" customHeight="1">
      <c r="B360" s="1"/>
      <c r="C360" s="2"/>
      <c r="D360" s="2"/>
      <c r="E360" s="2"/>
      <c r="F360" s="2"/>
      <c r="G360" s="2"/>
      <c r="H360" s="2"/>
      <c r="I360" s="2"/>
      <c r="J360" s="2"/>
      <c r="K360" s="2"/>
      <c r="M360" s="715"/>
      <c r="N360" s="715"/>
      <c r="O360" s="715"/>
      <c r="P360" s="715"/>
      <c r="Q360" s="715"/>
      <c r="R360" s="715"/>
    </row>
    <row r="361" spans="2:18">
      <c r="B361" s="128" t="s">
        <v>550</v>
      </c>
      <c r="C361" s="2"/>
      <c r="D361" s="2"/>
      <c r="E361" s="2"/>
      <c r="F361" s="2"/>
      <c r="G361" s="2"/>
      <c r="H361" s="2"/>
      <c r="I361" s="2"/>
      <c r="J361" s="2"/>
      <c r="K361" s="2"/>
      <c r="M361" s="715"/>
      <c r="N361" s="715"/>
      <c r="O361" s="715"/>
      <c r="P361" s="715"/>
      <c r="Q361" s="715"/>
      <c r="R361" s="715"/>
    </row>
    <row r="362" spans="2:18" ht="20.100000000000001" customHeight="1">
      <c r="B362" s="439" t="s">
        <v>775</v>
      </c>
      <c r="C362" s="2">
        <f>SUM('Budget Detail FY 2014-21'!L572:L574)</f>
        <v>338959</v>
      </c>
      <c r="D362" s="2">
        <f>SUM('Budget Detail FY 2014-21'!M572:M574)</f>
        <v>354098</v>
      </c>
      <c r="E362" s="2">
        <f>SUM('Budget Detail FY 2014-21'!N572:N574)</f>
        <v>411332</v>
      </c>
      <c r="F362" s="2">
        <f>SUM('Budget Detail FY 2014-21'!O572:O574)</f>
        <v>411332</v>
      </c>
      <c r="G362" s="2">
        <f>SUM('Budget Detail FY 2014-21'!P572:P574)</f>
        <v>416844</v>
      </c>
      <c r="H362" s="2">
        <f>SUM('Budget Detail FY 2014-21'!Q572:Q574)</f>
        <v>429727</v>
      </c>
      <c r="I362" s="2">
        <f>SUM('Budget Detail FY 2014-21'!R572:R574)</f>
        <v>441365</v>
      </c>
      <c r="J362" s="2">
        <f>SUM('Budget Detail FY 2014-21'!S572:S574)</f>
        <v>453352</v>
      </c>
      <c r="K362" s="2">
        <f>SUM('Budget Detail FY 2014-21'!T572:T574)</f>
        <v>465699</v>
      </c>
      <c r="M362" s="440"/>
      <c r="N362" s="718"/>
      <c r="O362" s="723"/>
      <c r="P362" s="715"/>
      <c r="Q362" s="715"/>
      <c r="R362" s="715"/>
    </row>
    <row r="363" spans="2:18" ht="20.100000000000001" customHeight="1">
      <c r="B363" s="439" t="s">
        <v>776</v>
      </c>
      <c r="C363" s="2">
        <f>SUM('Budget Detail FY 2014-21'!L575:L582)</f>
        <v>185769</v>
      </c>
      <c r="D363" s="2">
        <f>SUM('Budget Detail FY 2014-21'!M575:M582)</f>
        <v>211030</v>
      </c>
      <c r="E363" s="2">
        <f>SUM('Budget Detail FY 2014-21'!N575:N582)</f>
        <v>240029</v>
      </c>
      <c r="F363" s="2">
        <f>SUM('Budget Detail FY 2014-21'!O575:O582)</f>
        <v>230101</v>
      </c>
      <c r="G363" s="2">
        <f>SUM('Budget Detail FY 2014-21'!P575:P582)</f>
        <v>252493</v>
      </c>
      <c r="H363" s="2">
        <f>SUM('Budget Detail FY 2014-21'!Q575:Q582)</f>
        <v>268489</v>
      </c>
      <c r="I363" s="2">
        <f>SUM('Budget Detail FY 2014-21'!R575:R582)</f>
        <v>286857</v>
      </c>
      <c r="J363" s="2">
        <f>SUM('Budget Detail FY 2014-21'!S575:S582)</f>
        <v>306578</v>
      </c>
      <c r="K363" s="2">
        <f>SUM('Budget Detail FY 2014-21'!T575:T582)</f>
        <v>327707</v>
      </c>
      <c r="M363" s="440"/>
      <c r="N363" s="718"/>
      <c r="O363" s="723"/>
      <c r="P363" s="715"/>
      <c r="Q363" s="715"/>
      <c r="R363" s="715"/>
    </row>
    <row r="364" spans="2:18" ht="20.100000000000001" customHeight="1">
      <c r="B364" s="439" t="s">
        <v>777</v>
      </c>
      <c r="C364" s="2">
        <f>SUM('Budget Detail FY 2014-21'!L583:L605)</f>
        <v>540175</v>
      </c>
      <c r="D364" s="2">
        <f>SUM('Budget Detail FY 2014-21'!M583:M605)</f>
        <v>609139</v>
      </c>
      <c r="E364" s="2">
        <f>SUM('Budget Detail FY 2014-21'!N583:N605)</f>
        <v>816370</v>
      </c>
      <c r="F364" s="2">
        <f>SUM('Budget Detail FY 2014-21'!O583:O605)</f>
        <v>789626</v>
      </c>
      <c r="G364" s="2">
        <f>SUM('Budget Detail FY 2014-21'!P583:P605)</f>
        <v>544927</v>
      </c>
      <c r="H364" s="2">
        <f>SUM('Budget Detail FY 2014-21'!Q583:Q605)</f>
        <v>561735</v>
      </c>
      <c r="I364" s="2">
        <f>SUM('Budget Detail FY 2014-21'!R583:R605)</f>
        <v>579551</v>
      </c>
      <c r="J364" s="2">
        <f>SUM('Budget Detail FY 2014-21'!S583:S605)</f>
        <v>598436</v>
      </c>
      <c r="K364" s="2">
        <f>SUM('Budget Detail FY 2014-21'!T583:T605)</f>
        <v>617864</v>
      </c>
      <c r="M364" s="440"/>
      <c r="N364" s="718"/>
      <c r="O364" s="723"/>
      <c r="P364" s="715"/>
      <c r="Q364" s="715"/>
      <c r="R364" s="715"/>
    </row>
    <row r="365" spans="2:18" ht="20.100000000000001" customHeight="1">
      <c r="B365" s="439" t="s">
        <v>778</v>
      </c>
      <c r="C365" s="2">
        <f>SUM('Budget Detail FY 2014-21'!L606:L615)</f>
        <v>243529</v>
      </c>
      <c r="D365" s="2">
        <f>SUM('Budget Detail FY 2014-21'!M606:M615)</f>
        <v>245704</v>
      </c>
      <c r="E365" s="2">
        <f>SUM('Budget Detail FY 2014-21'!N606:N615)</f>
        <v>302995</v>
      </c>
      <c r="F365" s="2">
        <f>SUM('Budget Detail FY 2014-21'!O606:O615)</f>
        <v>302995</v>
      </c>
      <c r="G365" s="2">
        <f>SUM('Budget Detail FY 2014-21'!P606:P615)</f>
        <v>297660</v>
      </c>
      <c r="H365" s="2">
        <f>SUM('Budget Detail FY 2014-21'!Q606:Q615)</f>
        <v>308417</v>
      </c>
      <c r="I365" s="2">
        <f>SUM('Budget Detail FY 2014-21'!R606:R615)</f>
        <v>319749</v>
      </c>
      <c r="J365" s="2">
        <f>SUM('Budget Detail FY 2014-21'!S606:S615)</f>
        <v>331686</v>
      </c>
      <c r="K365" s="2">
        <f>SUM('Budget Detail FY 2014-21'!T606:T615)</f>
        <v>344263</v>
      </c>
      <c r="M365" s="440"/>
      <c r="N365" s="718"/>
      <c r="O365" s="723"/>
      <c r="P365" s="715"/>
      <c r="Q365" s="715"/>
      <c r="R365" s="715"/>
    </row>
    <row r="366" spans="2:18" ht="20.100000000000001" customHeight="1">
      <c r="B366" s="439" t="s">
        <v>779</v>
      </c>
      <c r="C366" s="2">
        <f>SUM('Budget Detail FY 2014-21'!L616:L623)</f>
        <v>282399</v>
      </c>
      <c r="D366" s="2">
        <f>SUM('Budget Detail FY 2014-21'!M616:M623)</f>
        <v>474916</v>
      </c>
      <c r="E366" s="2">
        <f>SUM('Budget Detail FY 2014-21'!N616:N623)</f>
        <v>4948544</v>
      </c>
      <c r="F366" s="2">
        <f>SUM('Budget Detail FY 2014-21'!O616:O623)</f>
        <v>1515544</v>
      </c>
      <c r="G366" s="2">
        <f>SUM('Budget Detail FY 2014-21'!P616:P623)</f>
        <v>3482668</v>
      </c>
      <c r="H366" s="2">
        <f>SUM('Budget Detail FY 2014-21'!Q616:Q623)</f>
        <v>1060668</v>
      </c>
      <c r="I366" s="2">
        <f>SUM('Budget Detail FY 2014-21'!R616:R623)</f>
        <v>1079918</v>
      </c>
      <c r="J366" s="2">
        <f>SUM('Budget Detail FY 2014-21'!S616:S623)</f>
        <v>1081794</v>
      </c>
      <c r="K366" s="2">
        <f>SUM('Budget Detail FY 2014-21'!T616:T623)</f>
        <v>452544</v>
      </c>
      <c r="M366" s="440"/>
      <c r="N366" s="718"/>
      <c r="O366" s="723"/>
      <c r="P366" s="715"/>
      <c r="Q366" s="715"/>
      <c r="R366" s="715"/>
    </row>
    <row r="367" spans="2:18" ht="20.100000000000001" customHeight="1">
      <c r="B367" s="440" t="s">
        <v>705</v>
      </c>
      <c r="C367" s="2">
        <f>SUM('Budget Detail FY 2014-21'!L625:L644)</f>
        <v>1172802</v>
      </c>
      <c r="D367" s="2">
        <f>SUM('Budget Detail FY 2014-21'!M625:M644)</f>
        <v>1168385</v>
      </c>
      <c r="E367" s="2">
        <f>SUM('Budget Detail FY 2014-21'!N625:N644)</f>
        <v>1230445</v>
      </c>
      <c r="F367" s="2">
        <f>SUM('Budget Detail FY 2014-21'!O625:O644)</f>
        <v>1147429</v>
      </c>
      <c r="G367" s="2">
        <f>SUM('Budget Detail FY 2014-21'!P625:P644)</f>
        <v>1450677</v>
      </c>
      <c r="H367" s="2">
        <f>SUM('Budget Detail FY 2014-21'!Q625:Q644)</f>
        <v>1412451</v>
      </c>
      <c r="I367" s="2">
        <f>SUM('Budget Detail FY 2014-21'!R625:R644)</f>
        <v>1615281</v>
      </c>
      <c r="J367" s="2">
        <f>SUM('Budget Detail FY 2014-21'!S625:S644)</f>
        <v>2462306</v>
      </c>
      <c r="K367" s="2">
        <f>SUM('Budget Detail FY 2014-21'!T625:T644)</f>
        <v>2410941</v>
      </c>
      <c r="M367" s="440"/>
      <c r="N367" s="718"/>
      <c r="O367" s="723"/>
      <c r="P367" s="715"/>
      <c r="Q367" s="715"/>
      <c r="R367" s="715"/>
    </row>
    <row r="368" spans="2:18" ht="20.100000000000001" customHeight="1">
      <c r="B368" s="438" t="s">
        <v>781</v>
      </c>
      <c r="C368" s="2">
        <f>'Budget Detail FY 2014-21'!L645</f>
        <v>0</v>
      </c>
      <c r="D368" s="2">
        <f>'Budget Detail FY 2014-21'!M645</f>
        <v>1256453</v>
      </c>
      <c r="E368" s="2">
        <f>'Budget Detail FY 2014-21'!N645</f>
        <v>0</v>
      </c>
      <c r="F368" s="2">
        <f>'Budget Detail FY 2014-21'!O645</f>
        <v>0</v>
      </c>
      <c r="G368" s="2">
        <f>'Budget Detail FY 2014-21'!P645</f>
        <v>0</v>
      </c>
      <c r="H368" s="2">
        <f>'Budget Detail FY 2014-21'!Q645</f>
        <v>0</v>
      </c>
      <c r="I368" s="2">
        <f>'Budget Detail FY 2014-21'!R645</f>
        <v>0</v>
      </c>
      <c r="J368" s="2">
        <f>'Budget Detail FY 2014-21'!S645</f>
        <v>0</v>
      </c>
      <c r="K368" s="2">
        <f>'Budget Detail FY 2014-21'!T645</f>
        <v>0</v>
      </c>
      <c r="M368" s="722"/>
      <c r="N368" s="721"/>
      <c r="O368" s="724"/>
      <c r="P368" s="715"/>
      <c r="Q368" s="715"/>
      <c r="R368" s="715"/>
    </row>
    <row r="369" spans="2:18" ht="20.100000000000001" customHeight="1" thickBot="1">
      <c r="B369" s="127" t="s">
        <v>796</v>
      </c>
      <c r="C369" s="124">
        <f>SUM(C362:C368)</f>
        <v>2763633</v>
      </c>
      <c r="D369" s="124">
        <f t="shared" ref="D369:K369" si="31">SUM(D362:D368)</f>
        <v>4319725</v>
      </c>
      <c r="E369" s="124">
        <f t="shared" si="31"/>
        <v>7949715</v>
      </c>
      <c r="F369" s="124">
        <f t="shared" si="31"/>
        <v>4397027</v>
      </c>
      <c r="G369" s="124">
        <f t="shared" si="31"/>
        <v>6445269</v>
      </c>
      <c r="H369" s="124">
        <f t="shared" si="31"/>
        <v>4041487</v>
      </c>
      <c r="I369" s="124">
        <f t="shared" si="31"/>
        <v>4322721</v>
      </c>
      <c r="J369" s="124">
        <f t="shared" si="31"/>
        <v>5234152</v>
      </c>
      <c r="K369" s="124">
        <f t="shared" si="31"/>
        <v>4619018</v>
      </c>
      <c r="M369" s="715"/>
      <c r="N369" s="718"/>
      <c r="O369" s="723"/>
      <c r="P369" s="718"/>
      <c r="Q369" s="715"/>
      <c r="R369" s="715"/>
    </row>
    <row r="370" spans="2:18" ht="7.5" customHeight="1">
      <c r="B370" s="130"/>
      <c r="C370" s="3"/>
      <c r="D370" s="2"/>
      <c r="E370" s="2"/>
      <c r="F370" s="2"/>
      <c r="G370" s="2"/>
      <c r="H370" s="2"/>
      <c r="I370" s="2"/>
      <c r="J370" s="2"/>
      <c r="K370" s="2"/>
      <c r="M370" s="715"/>
      <c r="N370" s="715"/>
      <c r="O370" s="715"/>
      <c r="P370" s="715"/>
      <c r="Q370" s="715"/>
      <c r="R370" s="715"/>
    </row>
    <row r="371" spans="2:18" ht="20.100000000000001" customHeight="1">
      <c r="B371" s="441" t="s">
        <v>783</v>
      </c>
      <c r="C371" s="3">
        <f t="shared" ref="C371:K371" si="32">+C359-C369</f>
        <v>-175756</v>
      </c>
      <c r="D371" s="3">
        <f t="shared" si="32"/>
        <v>-250935</v>
      </c>
      <c r="E371" s="3">
        <f t="shared" si="32"/>
        <v>-276196</v>
      </c>
      <c r="F371" s="3">
        <f t="shared" si="32"/>
        <v>3310778</v>
      </c>
      <c r="G371" s="3">
        <f t="shared" si="32"/>
        <v>-2650361</v>
      </c>
      <c r="H371" s="3">
        <f t="shared" si="32"/>
        <v>-147130</v>
      </c>
      <c r="I371" s="3">
        <f t="shared" si="32"/>
        <v>-423392</v>
      </c>
      <c r="J371" s="3">
        <f t="shared" si="32"/>
        <v>-919978</v>
      </c>
      <c r="K371" s="3">
        <f t="shared" si="32"/>
        <v>177693</v>
      </c>
      <c r="M371" s="715"/>
      <c r="N371" s="715"/>
      <c r="O371" s="715"/>
      <c r="P371" s="715"/>
      <c r="Q371" s="715"/>
      <c r="R371" s="715"/>
    </row>
    <row r="372" spans="2:18" ht="7.5" customHeight="1">
      <c r="B372" s="131"/>
      <c r="C372" s="3"/>
      <c r="D372" s="2"/>
      <c r="E372" s="2"/>
      <c r="F372" s="2"/>
      <c r="G372" s="2"/>
      <c r="H372" s="2"/>
      <c r="I372" s="2"/>
      <c r="J372" s="2"/>
      <c r="K372" s="2"/>
      <c r="M372" s="715"/>
      <c r="N372" s="715"/>
      <c r="O372" s="715"/>
      <c r="P372" s="715"/>
      <c r="Q372" s="715"/>
      <c r="R372" s="715"/>
    </row>
    <row r="373" spans="2:18" ht="20.100000000000001" customHeight="1" thickBot="1">
      <c r="B373" s="126" t="s">
        <v>797</v>
      </c>
      <c r="C373" s="81">
        <v>1350923</v>
      </c>
      <c r="D373" s="81">
        <v>1099988</v>
      </c>
      <c r="E373" s="81">
        <v>558007</v>
      </c>
      <c r="F373" s="81">
        <f>D373+F371</f>
        <v>4410766</v>
      </c>
      <c r="G373" s="81">
        <f>F373+G371</f>
        <v>1760405</v>
      </c>
      <c r="H373" s="81">
        <f>G373+H371</f>
        <v>1613275</v>
      </c>
      <c r="I373" s="81">
        <f>H373+I371</f>
        <v>1189883</v>
      </c>
      <c r="J373" s="81">
        <f>I373+J371</f>
        <v>269905</v>
      </c>
      <c r="K373" s="81">
        <f>J373+K371</f>
        <v>447598</v>
      </c>
      <c r="M373" s="715"/>
      <c r="N373" s="715"/>
      <c r="O373" s="715"/>
      <c r="P373" s="715"/>
      <c r="Q373" s="715"/>
      <c r="R373" s="715"/>
    </row>
    <row r="374" spans="2:18" ht="15.75" thickTop="1">
      <c r="B374" s="132"/>
      <c r="C374" s="133">
        <f t="shared" ref="C374:K374" si="33">+C373/C369</f>
        <v>0.4888214173155408</v>
      </c>
      <c r="D374" s="133">
        <f t="shared" si="33"/>
        <v>0.25464306176897833</v>
      </c>
      <c r="E374" s="133">
        <f t="shared" si="33"/>
        <v>7.0192076068135781E-2</v>
      </c>
      <c r="F374" s="133">
        <f t="shared" si="33"/>
        <v>1.0031246112430059</v>
      </c>
      <c r="G374" s="133">
        <f t="shared" si="33"/>
        <v>0.2731313464185901</v>
      </c>
      <c r="H374" s="133">
        <f t="shared" si="33"/>
        <v>0.39917856967002491</v>
      </c>
      <c r="I374" s="133">
        <f t="shared" si="33"/>
        <v>0.27526250248396783</v>
      </c>
      <c r="J374" s="133">
        <f t="shared" si="33"/>
        <v>5.1566137169879664E-2</v>
      </c>
      <c r="K374" s="133">
        <f t="shared" si="33"/>
        <v>9.690328117361742E-2</v>
      </c>
    </row>
    <row r="375" spans="2:18">
      <c r="B375" s="132"/>
      <c r="C375" s="133"/>
      <c r="D375" s="133"/>
      <c r="E375" s="133"/>
      <c r="F375" s="133"/>
      <c r="G375" s="133"/>
      <c r="H375" s="133"/>
      <c r="I375" s="133"/>
      <c r="J375" s="133"/>
      <c r="K375" s="133"/>
    </row>
    <row r="376" spans="2:18" ht="7.5" customHeight="1">
      <c r="B376" s="132"/>
      <c r="C376" s="2"/>
      <c r="D376" s="2"/>
      <c r="E376" s="2"/>
      <c r="F376" s="2"/>
      <c r="G376" s="2"/>
      <c r="H376" s="2"/>
      <c r="I376" s="2"/>
      <c r="J376" s="2"/>
      <c r="K376" s="2"/>
    </row>
    <row r="377" spans="2:18">
      <c r="B377" s="1"/>
      <c r="C377" s="2"/>
      <c r="D377" s="2"/>
      <c r="E377" s="2"/>
      <c r="F377" s="2"/>
      <c r="G377" s="2"/>
      <c r="H377" s="2"/>
      <c r="I377" s="2"/>
      <c r="J377" s="2"/>
      <c r="K377" s="2"/>
    </row>
    <row r="378" spans="2:18">
      <c r="B378" s="1"/>
      <c r="C378" s="2"/>
      <c r="D378" s="2"/>
      <c r="E378" s="2"/>
      <c r="F378" s="2"/>
      <c r="G378" s="2"/>
      <c r="H378" s="2"/>
      <c r="I378" s="2"/>
      <c r="J378" s="2"/>
      <c r="K378" s="2"/>
    </row>
    <row r="379" spans="2:18">
      <c r="B379" s="1"/>
      <c r="C379" s="2"/>
      <c r="D379" s="2"/>
      <c r="E379" s="2"/>
      <c r="F379" s="2"/>
      <c r="G379" s="2"/>
      <c r="H379" s="2"/>
      <c r="I379" s="2"/>
      <c r="J379" s="2"/>
      <c r="K379" s="2"/>
    </row>
    <row r="380" spans="2:18">
      <c r="B380" s="1"/>
      <c r="C380" s="2"/>
      <c r="D380" s="2"/>
      <c r="E380" s="2"/>
      <c r="F380" s="2"/>
      <c r="G380" s="2"/>
      <c r="H380" s="2"/>
      <c r="I380" s="2"/>
      <c r="J380" s="2"/>
      <c r="K380" s="2"/>
    </row>
    <row r="381" spans="2:18">
      <c r="B381" s="1"/>
      <c r="C381" s="2"/>
      <c r="D381" s="2"/>
      <c r="E381" s="2"/>
      <c r="F381" s="2"/>
      <c r="G381" s="2"/>
      <c r="H381" s="2"/>
      <c r="I381" s="2"/>
      <c r="J381" s="2"/>
      <c r="K381" s="2"/>
    </row>
    <row r="382" spans="2:18">
      <c r="B382" s="1"/>
      <c r="C382" s="2"/>
      <c r="D382" s="2"/>
      <c r="E382" s="2"/>
      <c r="F382" s="2"/>
      <c r="G382" s="2"/>
      <c r="H382" s="2"/>
      <c r="I382" s="2"/>
      <c r="J382" s="2"/>
      <c r="K382" s="2"/>
    </row>
    <row r="383" spans="2:18">
      <c r="B383" s="1"/>
      <c r="C383" s="2"/>
      <c r="D383" s="2"/>
      <c r="E383" s="2"/>
      <c r="F383" s="2"/>
      <c r="G383" s="2"/>
      <c r="H383" s="2"/>
      <c r="I383" s="2"/>
      <c r="J383" s="2"/>
      <c r="K383" s="2"/>
    </row>
    <row r="384" spans="2:18">
      <c r="B384" s="1"/>
      <c r="C384" s="2"/>
      <c r="D384" s="2"/>
      <c r="E384" s="2"/>
      <c r="F384" s="2"/>
      <c r="G384" s="2"/>
      <c r="H384" s="2"/>
      <c r="I384" s="2"/>
      <c r="J384" s="2"/>
      <c r="K384" s="2"/>
    </row>
    <row r="385" spans="2:18">
      <c r="B385" s="1"/>
      <c r="C385" s="2"/>
      <c r="D385" s="2"/>
      <c r="E385" s="2"/>
      <c r="F385" s="2"/>
      <c r="G385" s="2"/>
      <c r="H385" s="2"/>
      <c r="I385" s="2"/>
      <c r="J385" s="2"/>
      <c r="K385" s="2"/>
    </row>
    <row r="386" spans="2:18">
      <c r="B386" s="1"/>
      <c r="C386" s="2"/>
      <c r="D386" s="2"/>
      <c r="E386" s="2"/>
      <c r="F386" s="2"/>
      <c r="G386" s="2"/>
      <c r="H386" s="2"/>
      <c r="I386" s="2"/>
      <c r="J386" s="2"/>
      <c r="K386" s="2"/>
    </row>
    <row r="387" spans="2:18">
      <c r="B387" s="1"/>
      <c r="C387" s="2"/>
      <c r="D387" s="2"/>
      <c r="E387" s="2"/>
      <c r="F387" s="2"/>
      <c r="G387" s="2"/>
      <c r="H387" s="2"/>
      <c r="I387" s="2"/>
      <c r="J387" s="2"/>
      <c r="K387" s="2"/>
    </row>
    <row r="389" spans="2:18">
      <c r="B389" s="764" t="s">
        <v>798</v>
      </c>
      <c r="C389" s="764"/>
      <c r="D389" s="764"/>
      <c r="E389" s="764"/>
      <c r="F389" s="764"/>
      <c r="G389" s="764"/>
      <c r="H389" s="764"/>
      <c r="I389" s="764"/>
      <c r="J389" s="764"/>
      <c r="K389" s="764"/>
    </row>
    <row r="390" spans="2:18">
      <c r="B390" s="65"/>
      <c r="C390" s="3"/>
      <c r="D390" s="2"/>
      <c r="E390" s="2"/>
      <c r="F390" s="2"/>
      <c r="G390" s="2"/>
      <c r="H390" s="2"/>
      <c r="I390" s="2"/>
      <c r="J390" s="2"/>
      <c r="K390" s="2"/>
    </row>
    <row r="391" spans="2:18" ht="12.75" customHeight="1">
      <c r="B391" s="761" t="s">
        <v>799</v>
      </c>
      <c r="C391" s="761"/>
      <c r="D391" s="761"/>
      <c r="E391" s="761"/>
      <c r="F391" s="761"/>
      <c r="G391" s="761"/>
      <c r="H391" s="761"/>
      <c r="I391" s="761"/>
      <c r="J391" s="761"/>
      <c r="K391" s="761"/>
    </row>
    <row r="392" spans="2:18" ht="18" customHeight="1">
      <c r="B392" s="761"/>
      <c r="C392" s="761"/>
      <c r="D392" s="761"/>
      <c r="E392" s="761"/>
      <c r="F392" s="761"/>
      <c r="G392" s="761"/>
      <c r="H392" s="761"/>
      <c r="I392" s="761"/>
      <c r="J392" s="761"/>
      <c r="K392" s="761"/>
    </row>
    <row r="393" spans="2:18" ht="7.5" customHeight="1">
      <c r="B393" s="481"/>
      <c r="C393" s="22"/>
      <c r="D393" s="22"/>
      <c r="E393" s="22"/>
      <c r="F393" s="2"/>
      <c r="G393" s="2"/>
      <c r="H393" s="2"/>
      <c r="I393" s="2"/>
      <c r="J393" s="2"/>
      <c r="K393" s="2"/>
    </row>
    <row r="394" spans="2:18">
      <c r="B394" s="5"/>
      <c r="C394" s="65"/>
      <c r="D394" s="66"/>
      <c r="E394" s="65" t="s">
        <v>257</v>
      </c>
      <c r="F394" s="1"/>
      <c r="G394" s="1"/>
      <c r="H394" s="1"/>
      <c r="I394" s="1"/>
      <c r="J394" s="1"/>
      <c r="K394" s="1"/>
      <c r="M394" s="715"/>
      <c r="N394" s="715"/>
      <c r="O394" s="715"/>
      <c r="P394" s="715"/>
      <c r="Q394" s="715"/>
      <c r="R394" s="715"/>
    </row>
    <row r="395" spans="2:18">
      <c r="B395" s="66"/>
      <c r="C395" s="65" t="s">
        <v>249</v>
      </c>
      <c r="D395" s="49" t="s">
        <v>256</v>
      </c>
      <c r="E395" s="66" t="s">
        <v>763</v>
      </c>
      <c r="F395" s="66" t="s">
        <v>257</v>
      </c>
      <c r="G395" s="66" t="s">
        <v>258</v>
      </c>
      <c r="H395" s="66" t="s">
        <v>926</v>
      </c>
      <c r="I395" s="66" t="s">
        <v>1026</v>
      </c>
      <c r="J395" s="66" t="s">
        <v>1060</v>
      </c>
      <c r="K395" s="66" t="s">
        <v>1061</v>
      </c>
      <c r="M395" s="715"/>
      <c r="N395" s="70"/>
      <c r="O395" s="715"/>
      <c r="P395" s="715"/>
      <c r="Q395" s="715"/>
      <c r="R395" s="715"/>
    </row>
    <row r="396" spans="2:18" ht="15.75" thickBot="1">
      <c r="B396" s="136"/>
      <c r="C396" s="68" t="s">
        <v>1</v>
      </c>
      <c r="D396" s="68" t="s">
        <v>1</v>
      </c>
      <c r="E396" s="68" t="s">
        <v>720</v>
      </c>
      <c r="F396" s="68" t="s">
        <v>19</v>
      </c>
      <c r="G396" s="68" t="str">
        <f>$M$1</f>
        <v>Adopted</v>
      </c>
      <c r="H396" s="68" t="s">
        <v>19</v>
      </c>
      <c r="I396" s="68" t="s">
        <v>19</v>
      </c>
      <c r="J396" s="68" t="s">
        <v>19</v>
      </c>
      <c r="K396" s="68" t="s">
        <v>19</v>
      </c>
      <c r="M396" s="715"/>
      <c r="N396" s="70"/>
      <c r="O396" s="715"/>
      <c r="P396" s="715"/>
      <c r="Q396" s="715"/>
      <c r="R396" s="715"/>
    </row>
    <row r="397" spans="2:18" ht="7.5" customHeight="1">
      <c r="B397" s="64"/>
      <c r="C397" s="137"/>
      <c r="D397" s="2"/>
      <c r="E397" s="2"/>
      <c r="F397" s="2"/>
      <c r="G397" s="2"/>
      <c r="H397" s="2"/>
      <c r="I397" s="2"/>
      <c r="J397" s="2"/>
      <c r="K397" s="2"/>
      <c r="M397" s="715"/>
      <c r="N397" s="715"/>
      <c r="O397" s="715"/>
      <c r="P397" s="715"/>
      <c r="Q397" s="715"/>
      <c r="R397" s="715"/>
    </row>
    <row r="398" spans="2:18">
      <c r="B398" s="128" t="s">
        <v>764</v>
      </c>
      <c r="C398" s="2"/>
      <c r="D398" s="2"/>
      <c r="E398" s="2"/>
      <c r="F398" s="2"/>
      <c r="G398" s="2"/>
      <c r="H398" s="2"/>
      <c r="I398" s="2"/>
      <c r="J398" s="2"/>
      <c r="K398" s="2"/>
      <c r="M398" s="715"/>
      <c r="N398" s="715"/>
      <c r="O398" s="715"/>
      <c r="P398" s="715"/>
      <c r="Q398" s="715"/>
      <c r="R398" s="715"/>
    </row>
    <row r="399" spans="2:18" ht="20.100000000000001" customHeight="1">
      <c r="B399" s="438" t="s">
        <v>765</v>
      </c>
      <c r="C399" s="2">
        <f>SUM('Budget Detail FY 2014-21'!L657:L657)</f>
        <v>110601</v>
      </c>
      <c r="D399" s="2">
        <f>SUM('Budget Detail FY 2014-21'!M657:M657)</f>
        <v>0</v>
      </c>
      <c r="E399" s="2">
        <f>SUM('Budget Detail FY 2014-21'!N657:N657)</f>
        <v>0</v>
      </c>
      <c r="F399" s="2">
        <f>SUM('Budget Detail FY 2014-21'!O657:O657)</f>
        <v>0</v>
      </c>
      <c r="G399" s="2">
        <f>SUM('Budget Detail FY 2014-21'!P657:P657)</f>
        <v>0</v>
      </c>
      <c r="H399" s="2">
        <f>SUM('Budget Detail FY 2014-21'!Q657:Q657)</f>
        <v>0</v>
      </c>
      <c r="I399" s="2">
        <f>SUM('Budget Detail FY 2014-21'!R657:R657)</f>
        <v>0</v>
      </c>
      <c r="J399" s="2">
        <f>SUM('Budget Detail FY 2014-21'!S657:S657)</f>
        <v>0</v>
      </c>
      <c r="K399" s="2">
        <f>SUM('Budget Detail FY 2014-21'!T657:T657)</f>
        <v>0</v>
      </c>
      <c r="M399" s="722"/>
      <c r="N399" s="718"/>
      <c r="O399" s="723"/>
      <c r="P399" s="715"/>
      <c r="Q399" s="715"/>
      <c r="R399" s="715"/>
    </row>
    <row r="400" spans="2:18" ht="20.100000000000001" customHeight="1">
      <c r="B400" s="437" t="s">
        <v>767</v>
      </c>
      <c r="C400" s="2">
        <f>'Budget Detail FY 2014-21'!L658</f>
        <v>16800</v>
      </c>
      <c r="D400" s="2">
        <f>'Budget Detail FY 2014-21'!M658</f>
        <v>35000</v>
      </c>
      <c r="E400" s="2">
        <f>'Budget Detail FY 2014-21'!N658</f>
        <v>0</v>
      </c>
      <c r="F400" s="2">
        <f>'Budget Detail FY 2014-21'!O658</f>
        <v>0</v>
      </c>
      <c r="G400" s="2">
        <f>'Budget Detail FY 2014-21'!P658</f>
        <v>0</v>
      </c>
      <c r="H400" s="2">
        <f>'Budget Detail FY 2014-21'!Q658</f>
        <v>0</v>
      </c>
      <c r="I400" s="2">
        <f>'Budget Detail FY 2014-21'!R658</f>
        <v>0</v>
      </c>
      <c r="J400" s="2">
        <f>'Budget Detail FY 2014-21'!S658</f>
        <v>0</v>
      </c>
      <c r="K400" s="2">
        <f>'Budget Detail FY 2014-21'!T658</f>
        <v>0</v>
      </c>
      <c r="M400" s="441"/>
      <c r="N400" s="718"/>
      <c r="O400" s="723"/>
      <c r="P400" s="715"/>
      <c r="Q400" s="715"/>
      <c r="R400" s="715"/>
    </row>
    <row r="401" spans="2:18" ht="20.100000000000001" customHeight="1">
      <c r="B401" s="438" t="s">
        <v>769</v>
      </c>
      <c r="C401" s="2">
        <f>SUM('Budget Detail FY 2014-21'!L659:L664)</f>
        <v>1114432</v>
      </c>
      <c r="D401" s="2">
        <f>SUM('Budget Detail FY 2014-21'!M659:M664)</f>
        <v>1151713</v>
      </c>
      <c r="E401" s="2">
        <f>SUM('Budget Detail FY 2014-21'!N659:N664)</f>
        <v>1180200</v>
      </c>
      <c r="F401" s="2">
        <f>SUM('Budget Detail FY 2014-21'!O659:O664)</f>
        <v>1173334</v>
      </c>
      <c r="G401" s="2">
        <f>SUM('Budget Detail FY 2014-21'!P659:P664)</f>
        <v>1199942</v>
      </c>
      <c r="H401" s="2">
        <f>SUM('Budget Detail FY 2014-21'!Q659:Q664)</f>
        <v>1246076</v>
      </c>
      <c r="I401" s="2">
        <f>SUM('Budget Detail FY 2014-21'!R659:R664)</f>
        <v>1272062</v>
      </c>
      <c r="J401" s="2">
        <f>SUM('Budget Detail FY 2014-21'!S659:S664)</f>
        <v>1298734</v>
      </c>
      <c r="K401" s="2">
        <f>SUM('Budget Detail FY 2014-21'!T659:T664)</f>
        <v>1326206</v>
      </c>
      <c r="M401" s="722"/>
      <c r="N401" s="718"/>
      <c r="O401" s="723"/>
      <c r="P401" s="715"/>
      <c r="Q401" s="715"/>
      <c r="R401" s="715"/>
    </row>
    <row r="402" spans="2:18" ht="20.100000000000001" customHeight="1">
      <c r="B402" s="438" t="s">
        <v>770</v>
      </c>
      <c r="C402" s="2">
        <f>'Budget Detail FY 2014-21'!L665+'Budget Detail FY 2014-21'!L666</f>
        <v>9260</v>
      </c>
      <c r="D402" s="2">
        <f>'Budget Detail FY 2014-21'!M665+'Budget Detail FY 2014-21'!M666</f>
        <v>9176</v>
      </c>
      <c r="E402" s="2">
        <f>'Budget Detail FY 2014-21'!N665+'Budget Detail FY 2014-21'!N666</f>
        <v>1500</v>
      </c>
      <c r="F402" s="2">
        <f>'Budget Detail FY 2014-21'!O665+'Budget Detail FY 2014-21'!O666</f>
        <v>1100</v>
      </c>
      <c r="G402" s="2">
        <f>'Budget Detail FY 2014-21'!P665+'Budget Detail FY 2014-21'!P666</f>
        <v>1000</v>
      </c>
      <c r="H402" s="2">
        <f>'Budget Detail FY 2014-21'!Q665+'Budget Detail FY 2014-21'!Q666</f>
        <v>500</v>
      </c>
      <c r="I402" s="2">
        <f>'Budget Detail FY 2014-21'!R665+'Budget Detail FY 2014-21'!R666</f>
        <v>500</v>
      </c>
      <c r="J402" s="2">
        <f>'Budget Detail FY 2014-21'!S665+'Budget Detail FY 2014-21'!S666</f>
        <v>500</v>
      </c>
      <c r="K402" s="2">
        <f>'Budget Detail FY 2014-21'!T665+'Budget Detail FY 2014-21'!T666</f>
        <v>500</v>
      </c>
      <c r="M402" s="722"/>
      <c r="N402" s="718"/>
      <c r="O402" s="723"/>
      <c r="P402" s="715"/>
      <c r="Q402" s="715"/>
      <c r="R402" s="715"/>
    </row>
    <row r="403" spans="2:18" ht="20.100000000000001" customHeight="1">
      <c r="B403" s="438" t="s">
        <v>771</v>
      </c>
      <c r="C403" s="2">
        <f>SUM('Budget Detail FY 2014-21'!L667:L668)</f>
        <v>1300</v>
      </c>
      <c r="D403" s="2">
        <f>SUM('Budget Detail FY 2014-21'!M667:M668)</f>
        <v>2360</v>
      </c>
      <c r="E403" s="2">
        <f>SUM('Budget Detail FY 2014-21'!N667:N668)</f>
        <v>200000</v>
      </c>
      <c r="F403" s="2">
        <f>SUM('Budget Detail FY 2014-21'!O667:O668)</f>
        <v>201175</v>
      </c>
      <c r="G403" s="2">
        <f>SUM('Budget Detail FY 2014-21'!P667:P668)</f>
        <v>200000</v>
      </c>
      <c r="H403" s="2">
        <f>SUM('Budget Detail FY 2014-21'!Q667:Q668)</f>
        <v>200000</v>
      </c>
      <c r="I403" s="2">
        <f>SUM('Budget Detail FY 2014-21'!R667:R668)</f>
        <v>200000</v>
      </c>
      <c r="J403" s="2">
        <f>SUM('Budget Detail FY 2014-21'!S667:S668)</f>
        <v>200000</v>
      </c>
      <c r="K403" s="2">
        <f>SUM('Budget Detail FY 2014-21'!T667:T668)</f>
        <v>200000</v>
      </c>
      <c r="M403" s="722"/>
      <c r="N403" s="718"/>
      <c r="O403" s="723"/>
      <c r="P403" s="715"/>
      <c r="Q403" s="715"/>
      <c r="R403" s="715"/>
    </row>
    <row r="404" spans="2:18" ht="20.100000000000001" customHeight="1">
      <c r="B404" s="438" t="s">
        <v>773</v>
      </c>
      <c r="C404" s="2">
        <f>'Budget Detail FY 2014-21'!L669+'Budget Detail FY 2014-21'!L670</f>
        <v>1137220</v>
      </c>
      <c r="D404" s="2">
        <f>'Budget Detail FY 2014-21'!M669+'Budget Detail FY 2014-21'!M670</f>
        <v>1243972</v>
      </c>
      <c r="E404" s="2">
        <f>'Budget Detail FY 2014-21'!N669+'Budget Detail FY 2014-21'!N670</f>
        <v>1134654</v>
      </c>
      <c r="F404" s="2">
        <f>'Budget Detail FY 2014-21'!O669+'Budget Detail FY 2014-21'!O670</f>
        <v>1134654</v>
      </c>
      <c r="G404" s="2">
        <f>'Budget Detail FY 2014-21'!P669+'Budget Detail FY 2014-21'!P670</f>
        <v>1134052</v>
      </c>
      <c r="H404" s="2">
        <f>'Budget Detail FY 2014-21'!Q669+'Budget Detail FY 2014-21'!Q670</f>
        <v>1137166</v>
      </c>
      <c r="I404" s="2">
        <f>'Budget Detail FY 2014-21'!R669+'Budget Detail FY 2014-21'!R670</f>
        <v>1133782</v>
      </c>
      <c r="J404" s="2">
        <f>'Budget Detail FY 2014-21'!S669+'Budget Detail FY 2014-21'!S670</f>
        <v>1134114</v>
      </c>
      <c r="K404" s="2">
        <f>'Budget Detail FY 2014-21'!T669+'Budget Detail FY 2014-21'!T670</f>
        <v>1137948</v>
      </c>
      <c r="M404" s="722"/>
      <c r="N404" s="721"/>
      <c r="O404" s="724"/>
      <c r="P404" s="715"/>
      <c r="Q404" s="715"/>
      <c r="R404" s="715"/>
    </row>
    <row r="405" spans="2:18" ht="20.100000000000001" customHeight="1" thickBot="1">
      <c r="B405" s="127" t="s">
        <v>774</v>
      </c>
      <c r="C405" s="124">
        <f t="shared" ref="C405:J405" si="34">SUM(C399:C404)</f>
        <v>2389613</v>
      </c>
      <c r="D405" s="124">
        <f>SUM(D399:D404)</f>
        <v>2442221</v>
      </c>
      <c r="E405" s="124">
        <f t="shared" si="34"/>
        <v>2516354</v>
      </c>
      <c r="F405" s="124">
        <f t="shared" si="34"/>
        <v>2510263</v>
      </c>
      <c r="G405" s="124">
        <f t="shared" si="34"/>
        <v>2534994</v>
      </c>
      <c r="H405" s="124">
        <f t="shared" si="34"/>
        <v>2583742</v>
      </c>
      <c r="I405" s="124">
        <f t="shared" si="34"/>
        <v>2606344</v>
      </c>
      <c r="J405" s="124">
        <f t="shared" si="34"/>
        <v>2633348</v>
      </c>
      <c r="K405" s="124">
        <f>SUM(K399:K404)</f>
        <v>2664654</v>
      </c>
      <c r="M405" s="715"/>
      <c r="N405" s="718"/>
      <c r="O405" s="725"/>
      <c r="P405" s="718"/>
      <c r="Q405" s="715"/>
      <c r="R405" s="715"/>
    </row>
    <row r="406" spans="2:18" ht="7.5" customHeight="1">
      <c r="B406" s="1"/>
      <c r="C406" s="2"/>
      <c r="D406" s="2"/>
      <c r="E406" s="2"/>
      <c r="F406" s="2"/>
      <c r="G406" s="2"/>
      <c r="H406" s="2"/>
      <c r="I406" s="2"/>
      <c r="J406" s="2"/>
      <c r="K406" s="2"/>
      <c r="M406" s="715"/>
      <c r="N406" s="715"/>
      <c r="O406" s="715"/>
      <c r="P406" s="715"/>
      <c r="Q406" s="715"/>
      <c r="R406" s="715"/>
    </row>
    <row r="407" spans="2:18">
      <c r="B407" s="128" t="s">
        <v>550</v>
      </c>
      <c r="C407" s="2"/>
      <c r="D407" s="2"/>
      <c r="E407" s="2"/>
      <c r="F407" s="2"/>
      <c r="G407" s="2"/>
      <c r="H407" s="2"/>
      <c r="I407" s="2"/>
      <c r="J407" s="2"/>
      <c r="K407" s="2"/>
      <c r="M407" s="715"/>
      <c r="N407" s="715"/>
      <c r="O407" s="715"/>
      <c r="P407" s="715"/>
      <c r="Q407" s="715"/>
      <c r="R407" s="715"/>
    </row>
    <row r="408" spans="2:18" ht="20.100000000000001" customHeight="1">
      <c r="B408" s="439" t="s">
        <v>775</v>
      </c>
      <c r="C408" s="2">
        <f>SUM('Budget Detail FY 2014-21'!L675:L676)</f>
        <v>164273</v>
      </c>
      <c r="D408" s="2">
        <f>SUM('Budget Detail FY 2014-21'!M675:M676)</f>
        <v>187301</v>
      </c>
      <c r="E408" s="2">
        <f>SUM('Budget Detail FY 2014-21'!N675:N676)</f>
        <v>205003</v>
      </c>
      <c r="F408" s="2">
        <f>SUM('Budget Detail FY 2014-21'!O675:O676)</f>
        <v>205003</v>
      </c>
      <c r="G408" s="2">
        <f>SUM('Budget Detail FY 2014-21'!P675:P676)</f>
        <v>216289</v>
      </c>
      <c r="H408" s="2">
        <f>SUM('Budget Detail FY 2014-21'!Q675:Q676)</f>
        <v>223650</v>
      </c>
      <c r="I408" s="2">
        <f>SUM('Budget Detail FY 2014-21'!R675:R676)</f>
        <v>230300</v>
      </c>
      <c r="J408" s="2">
        <f>SUM('Budget Detail FY 2014-21'!S675:S676)</f>
        <v>237149</v>
      </c>
      <c r="K408" s="2">
        <f>SUM('Budget Detail FY 2014-21'!T675:T676)</f>
        <v>244203</v>
      </c>
      <c r="M408" s="440"/>
      <c r="N408" s="718"/>
      <c r="O408" s="723"/>
      <c r="P408" s="715"/>
      <c r="Q408" s="715"/>
      <c r="R408" s="715"/>
    </row>
    <row r="409" spans="2:18" ht="20.100000000000001" customHeight="1">
      <c r="B409" s="439" t="s">
        <v>776</v>
      </c>
      <c r="C409" s="2">
        <f>SUM('Budget Detail FY 2014-21'!L677:L684)</f>
        <v>80030</v>
      </c>
      <c r="D409" s="2">
        <f>SUM('Budget Detail FY 2014-21'!M677:M684)</f>
        <v>92443</v>
      </c>
      <c r="E409" s="2">
        <f>SUM('Budget Detail FY 2014-21'!N677:N684)</f>
        <v>127049</v>
      </c>
      <c r="F409" s="2">
        <f>SUM('Budget Detail FY 2014-21'!O677:O684)</f>
        <v>98969</v>
      </c>
      <c r="G409" s="2">
        <f>SUM('Budget Detail FY 2014-21'!P677:P684)</f>
        <v>110254</v>
      </c>
      <c r="H409" s="2">
        <f>SUM('Budget Detail FY 2014-21'!Q677:Q684)</f>
        <v>117398</v>
      </c>
      <c r="I409" s="2">
        <f>SUM('Budget Detail FY 2014-21'!R677:R684)</f>
        <v>125184</v>
      </c>
      <c r="J409" s="2">
        <f>SUM('Budget Detail FY 2014-21'!S677:S684)</f>
        <v>133531</v>
      </c>
      <c r="K409" s="2">
        <f>SUM('Budget Detail FY 2014-21'!T677:T684)</f>
        <v>142457</v>
      </c>
      <c r="M409" s="440"/>
      <c r="N409" s="718"/>
      <c r="O409" s="723"/>
      <c r="P409" s="715"/>
      <c r="Q409" s="715"/>
      <c r="R409" s="715"/>
    </row>
    <row r="410" spans="2:18" ht="20.100000000000001" customHeight="1">
      <c r="B410" s="439" t="s">
        <v>777</v>
      </c>
      <c r="C410" s="2">
        <f>SUM('Budget Detail FY 2014-21'!L685:L698)</f>
        <v>75530</v>
      </c>
      <c r="D410" s="2">
        <f>SUM('Budget Detail FY 2014-21'!M685:M698)</f>
        <v>164251</v>
      </c>
      <c r="E410" s="2">
        <f>SUM('Budget Detail FY 2014-21'!N685:N698)</f>
        <v>82845</v>
      </c>
      <c r="F410" s="2">
        <f>SUM('Budget Detail FY 2014-21'!O685:O698)</f>
        <v>102377</v>
      </c>
      <c r="G410" s="2">
        <f>SUM('Budget Detail FY 2014-21'!P685:P698)</f>
        <v>119463</v>
      </c>
      <c r="H410" s="2">
        <f>SUM('Budget Detail FY 2014-21'!Q685:Q698)</f>
        <v>123243</v>
      </c>
      <c r="I410" s="2">
        <f>SUM('Budget Detail FY 2014-21'!R685:R698)</f>
        <v>127230</v>
      </c>
      <c r="J410" s="2">
        <f>SUM('Budget Detail FY 2014-21'!S685:S698)</f>
        <v>131438</v>
      </c>
      <c r="K410" s="2">
        <f>SUM('Budget Detail FY 2014-21'!T685:T698)</f>
        <v>135287</v>
      </c>
      <c r="M410" s="440"/>
      <c r="N410" s="718"/>
      <c r="O410" s="723"/>
      <c r="P410" s="715"/>
      <c r="Q410" s="715"/>
      <c r="R410" s="715"/>
    </row>
    <row r="411" spans="2:18" ht="20.100000000000001" customHeight="1">
      <c r="B411" s="439" t="s">
        <v>778</v>
      </c>
      <c r="C411" s="2">
        <f>SUM('Budget Detail FY 2014-21'!L699:L707)</f>
        <v>66064</v>
      </c>
      <c r="D411" s="2">
        <f>SUM('Budget Detail FY 2014-21'!M699:M707)</f>
        <v>38300</v>
      </c>
      <c r="E411" s="2">
        <f>SUM('Budget Detail FY 2014-21'!N699:N707)</f>
        <v>92610</v>
      </c>
      <c r="F411" s="2">
        <f>SUM('Budget Detail FY 2014-21'!O699:O707)</f>
        <v>92610</v>
      </c>
      <c r="G411" s="2">
        <f>SUM('Budget Detail FY 2014-21'!P699:P707)</f>
        <v>84206</v>
      </c>
      <c r="H411" s="2">
        <f>SUM('Budget Detail FY 2014-21'!Q699:Q707)</f>
        <v>86217</v>
      </c>
      <c r="I411" s="2">
        <f>SUM('Budget Detail FY 2014-21'!R699:R707)</f>
        <v>88366</v>
      </c>
      <c r="J411" s="2">
        <f>SUM('Budget Detail FY 2014-21'!S699:S707)</f>
        <v>90662</v>
      </c>
      <c r="K411" s="2">
        <f>SUM('Budget Detail FY 2014-21'!T699:T707)</f>
        <v>93116</v>
      </c>
      <c r="M411" s="440"/>
      <c r="N411" s="718"/>
      <c r="O411" s="723"/>
      <c r="P411" s="715"/>
      <c r="Q411" s="715"/>
      <c r="R411" s="715"/>
    </row>
    <row r="412" spans="2:18" ht="20.100000000000001" customHeight="1">
      <c r="B412" s="439" t="s">
        <v>779</v>
      </c>
      <c r="C412" s="2">
        <f>SUM('Budget Detail FY 2014-21'!L708:L712)</f>
        <v>66773</v>
      </c>
      <c r="D412" s="2">
        <f>SUM('Budget Detail FY 2014-21'!M708:M712)</f>
        <v>808520</v>
      </c>
      <c r="E412" s="2">
        <f>SUM('Budget Detail FY 2014-21'!N708:N712)</f>
        <v>459015</v>
      </c>
      <c r="F412" s="2">
        <f>SUM('Budget Detail FY 2014-21'!O708:O712)</f>
        <v>459015</v>
      </c>
      <c r="G412" s="2">
        <f>SUM('Budget Detail FY 2014-21'!P708:P712)</f>
        <v>460282</v>
      </c>
      <c r="H412" s="2">
        <f>SUM('Budget Detail FY 2014-21'!Q708:Q712)</f>
        <v>460282</v>
      </c>
      <c r="I412" s="2">
        <f>SUM('Budget Detail FY 2014-21'!R708:R712)</f>
        <v>460282</v>
      </c>
      <c r="J412" s="2">
        <f>SUM('Budget Detail FY 2014-21'!S708:S712)</f>
        <v>459015</v>
      </c>
      <c r="K412" s="2">
        <f>SUM('Budget Detail FY 2014-21'!T708:T712)</f>
        <v>459015</v>
      </c>
      <c r="M412" s="440"/>
      <c r="N412" s="718"/>
      <c r="O412" s="723"/>
      <c r="P412" s="715"/>
      <c r="Q412" s="715"/>
      <c r="R412" s="715"/>
    </row>
    <row r="413" spans="2:18" ht="20.100000000000001" customHeight="1">
      <c r="B413" s="440" t="s">
        <v>795</v>
      </c>
      <c r="C413" s="2">
        <f>SUM('Budget Detail FY 2014-21'!L713:L713)</f>
        <v>0</v>
      </c>
      <c r="D413" s="2">
        <f>SUM('Budget Detail FY 2014-21'!M713:M713)</f>
        <v>62922</v>
      </c>
      <c r="E413" s="2">
        <f>SUM('Budget Detail FY 2014-21'!N713:N713)</f>
        <v>32891</v>
      </c>
      <c r="F413" s="2">
        <f>SUM('Budget Detail FY 2014-21'!O713:O713)</f>
        <v>32891</v>
      </c>
      <c r="G413" s="2">
        <f>SUM('Budget Detail FY 2014-21'!P713:P713)</f>
        <v>33872</v>
      </c>
      <c r="H413" s="2">
        <f>SUM('Budget Detail FY 2014-21'!Q713:Q713)</f>
        <v>34888</v>
      </c>
      <c r="I413" s="2">
        <f>SUM('Budget Detail FY 2014-21'!R713:R713)</f>
        <v>35939</v>
      </c>
      <c r="J413" s="2">
        <f>SUM('Budget Detail FY 2014-21'!S713:S713)</f>
        <v>28204</v>
      </c>
      <c r="K413" s="2">
        <f>SUM('Budget Detail FY 2014-21'!T713:T713)</f>
        <v>0</v>
      </c>
      <c r="M413" s="440"/>
      <c r="N413" s="718"/>
      <c r="O413" s="723"/>
      <c r="P413" s="715"/>
      <c r="Q413" s="715"/>
      <c r="R413" s="715"/>
    </row>
    <row r="414" spans="2:18" ht="20.100000000000001" customHeight="1">
      <c r="B414" s="440" t="s">
        <v>705</v>
      </c>
      <c r="C414" s="2">
        <f>SUM('Budget Detail FY 2014-21'!L714:L728)</f>
        <v>1968119</v>
      </c>
      <c r="D414" s="2">
        <f>SUM('Budget Detail FY 2014-21'!M714:M728)</f>
        <v>2054461</v>
      </c>
      <c r="E414" s="2">
        <f>SUM('Budget Detail FY 2014-21'!N714:N728)</f>
        <v>1865399</v>
      </c>
      <c r="F414" s="2">
        <f>SUM('Budget Detail FY 2014-21'!O714:O728)</f>
        <v>1865399</v>
      </c>
      <c r="G414" s="2">
        <f>SUM('Budget Detail FY 2014-21'!P714:P728)</f>
        <v>1865857</v>
      </c>
      <c r="H414" s="2">
        <f>SUM('Budget Detail FY 2014-21'!Q714:Q728)</f>
        <v>1877110</v>
      </c>
      <c r="I414" s="2">
        <f>SUM('Budget Detail FY 2014-21'!R714:R728)</f>
        <v>1880265</v>
      </c>
      <c r="J414" s="2">
        <f>SUM('Budget Detail FY 2014-21'!S714:S728)</f>
        <v>1352307</v>
      </c>
      <c r="K414" s="2">
        <f>SUM('Budget Detail FY 2014-21'!T714:T728)</f>
        <v>1300798</v>
      </c>
      <c r="M414" s="440"/>
      <c r="N414" s="718"/>
      <c r="O414" s="723"/>
      <c r="P414" s="715"/>
      <c r="Q414" s="715"/>
      <c r="R414" s="715"/>
    </row>
    <row r="415" spans="2:18" ht="20.100000000000001" customHeight="1">
      <c r="B415" s="440" t="s">
        <v>781</v>
      </c>
      <c r="C415" s="2">
        <f>SUM('Budget Detail FY 2014-21'!L729:L729)</f>
        <v>82988</v>
      </c>
      <c r="D415" s="2">
        <f>SUM('Budget Detail FY 2014-21'!M729:M729)</f>
        <v>83588</v>
      </c>
      <c r="E415" s="2">
        <f>SUM('Budget Detail FY 2014-21'!N729:N729)</f>
        <v>76275</v>
      </c>
      <c r="F415" s="2">
        <f>SUM('Budget Detail FY 2014-21'!O729:O729)</f>
        <v>76275</v>
      </c>
      <c r="G415" s="2">
        <f>SUM('Budget Detail FY 2014-21'!P729:P729)</f>
        <v>75075</v>
      </c>
      <c r="H415" s="2">
        <f>SUM('Budget Detail FY 2014-21'!Q729:Q729)</f>
        <v>73875</v>
      </c>
      <c r="I415" s="2">
        <f>SUM('Budget Detail FY 2014-21'!R729:R729)</f>
        <v>77675</v>
      </c>
      <c r="J415" s="2">
        <f>SUM('Budget Detail FY 2014-21'!S729:S729)</f>
        <v>73875</v>
      </c>
      <c r="K415" s="2">
        <f>SUM('Budget Detail FY 2014-21'!T729:T729)</f>
        <v>75125</v>
      </c>
      <c r="M415" s="440"/>
      <c r="N415" s="721"/>
      <c r="O415" s="724"/>
      <c r="P415" s="715"/>
      <c r="Q415" s="715"/>
      <c r="R415" s="715"/>
    </row>
    <row r="416" spans="2:18" ht="20.100000000000001" customHeight="1" thickBot="1">
      <c r="B416" s="127" t="s">
        <v>796</v>
      </c>
      <c r="C416" s="124">
        <f t="shared" ref="C416:J416" si="35">SUM(C408:C415)</f>
        <v>2503777</v>
      </c>
      <c r="D416" s="124">
        <f>SUM(D408:D415)</f>
        <v>3491786</v>
      </c>
      <c r="E416" s="124">
        <f t="shared" si="35"/>
        <v>2941087</v>
      </c>
      <c r="F416" s="124">
        <f>SUM(F408:F415)</f>
        <v>2932539</v>
      </c>
      <c r="G416" s="124">
        <f t="shared" si="35"/>
        <v>2965298</v>
      </c>
      <c r="H416" s="124">
        <f t="shared" si="35"/>
        <v>2996663</v>
      </c>
      <c r="I416" s="124">
        <f t="shared" si="35"/>
        <v>3025241</v>
      </c>
      <c r="J416" s="124">
        <f t="shared" si="35"/>
        <v>2506181</v>
      </c>
      <c r="K416" s="124">
        <f>SUM(K408:K415)</f>
        <v>2450001</v>
      </c>
      <c r="M416" s="715"/>
      <c r="N416" s="718"/>
      <c r="O416" s="723"/>
      <c r="P416" s="718"/>
      <c r="Q416" s="715"/>
      <c r="R416" s="715"/>
    </row>
    <row r="417" spans="2:18" ht="7.5" customHeight="1">
      <c r="B417" s="130"/>
      <c r="C417" s="3"/>
      <c r="D417" s="2"/>
      <c r="E417" s="2"/>
      <c r="F417" s="2"/>
      <c r="G417" s="2"/>
      <c r="H417" s="2"/>
      <c r="I417" s="2"/>
      <c r="J417" s="2"/>
      <c r="K417" s="2"/>
      <c r="M417" s="715"/>
      <c r="N417" s="715"/>
      <c r="O417" s="715"/>
      <c r="P417" s="715"/>
      <c r="Q417" s="715"/>
      <c r="R417" s="715"/>
    </row>
    <row r="418" spans="2:18" ht="20.100000000000001" customHeight="1">
      <c r="B418" s="441" t="s">
        <v>783</v>
      </c>
      <c r="C418" s="3">
        <f t="shared" ref="C418:K418" si="36">+C405-C416</f>
        <v>-114164</v>
      </c>
      <c r="D418" s="3">
        <f t="shared" si="36"/>
        <v>-1049565</v>
      </c>
      <c r="E418" s="3">
        <f t="shared" si="36"/>
        <v>-424733</v>
      </c>
      <c r="F418" s="3">
        <f t="shared" si="36"/>
        <v>-422276</v>
      </c>
      <c r="G418" s="3">
        <f t="shared" si="36"/>
        <v>-430304</v>
      </c>
      <c r="H418" s="3">
        <f t="shared" si="36"/>
        <v>-412921</v>
      </c>
      <c r="I418" s="3">
        <f t="shared" si="36"/>
        <v>-418897</v>
      </c>
      <c r="J418" s="3">
        <f t="shared" si="36"/>
        <v>127167</v>
      </c>
      <c r="K418" s="3">
        <f t="shared" si="36"/>
        <v>214653</v>
      </c>
      <c r="M418" s="715"/>
      <c r="N418" s="715"/>
      <c r="O418" s="715"/>
      <c r="P418" s="715"/>
      <c r="Q418" s="715"/>
      <c r="R418" s="715"/>
    </row>
    <row r="419" spans="2:18" ht="7.5" customHeight="1">
      <c r="B419" s="131"/>
      <c r="C419" s="3"/>
      <c r="D419" s="2"/>
      <c r="E419" s="2"/>
      <c r="F419" s="2"/>
      <c r="G419" s="2"/>
      <c r="H419" s="2"/>
      <c r="I419" s="2"/>
      <c r="J419" s="2"/>
      <c r="K419" s="2"/>
    </row>
    <row r="420" spans="2:18" ht="20.100000000000001" customHeight="1" thickBot="1">
      <c r="B420" s="126" t="s">
        <v>797</v>
      </c>
      <c r="C420" s="81">
        <v>2879170</v>
      </c>
      <c r="D420" s="81">
        <v>1829603</v>
      </c>
      <c r="E420" s="81">
        <v>1368893</v>
      </c>
      <c r="F420" s="81">
        <f>D420+F418</f>
        <v>1407327</v>
      </c>
      <c r="G420" s="81">
        <f>F420+G418</f>
        <v>977023</v>
      </c>
      <c r="H420" s="81">
        <f>G420+H418</f>
        <v>564102</v>
      </c>
      <c r="I420" s="81">
        <f>H420+I418</f>
        <v>145205</v>
      </c>
      <c r="J420" s="81">
        <f>I420+J418</f>
        <v>272372</v>
      </c>
      <c r="K420" s="81">
        <f>J420+K418</f>
        <v>487025</v>
      </c>
    </row>
    <row r="421" spans="2:18" ht="15.75" thickTop="1">
      <c r="B421" s="132"/>
      <c r="C421" s="133">
        <f t="shared" ref="C421:K421" si="37">+C420/C416</f>
        <v>1.1499306847215227</v>
      </c>
      <c r="D421" s="133">
        <f t="shared" si="37"/>
        <v>0.52397340501393841</v>
      </c>
      <c r="E421" s="133">
        <f t="shared" si="37"/>
        <v>0.46543777861722552</v>
      </c>
      <c r="F421" s="133">
        <f t="shared" si="37"/>
        <v>0.47990052306209741</v>
      </c>
      <c r="G421" s="133">
        <f t="shared" si="37"/>
        <v>0.32948560313331071</v>
      </c>
      <c r="H421" s="133">
        <f t="shared" si="37"/>
        <v>0.18824338939680571</v>
      </c>
      <c r="I421" s="133">
        <f t="shared" si="37"/>
        <v>4.7997828933298209E-2</v>
      </c>
      <c r="J421" s="133">
        <f t="shared" si="37"/>
        <v>0.10868009932243521</v>
      </c>
      <c r="K421" s="133">
        <f t="shared" si="37"/>
        <v>0.19878563314872116</v>
      </c>
    </row>
    <row r="422" spans="2:18">
      <c r="B422" s="132"/>
      <c r="C422" s="133"/>
      <c r="D422" s="133"/>
      <c r="E422" s="133"/>
      <c r="F422" s="133"/>
      <c r="G422" s="133"/>
      <c r="H422" s="133"/>
      <c r="I422" s="133"/>
      <c r="J422" s="133"/>
      <c r="K422" s="133"/>
    </row>
    <row r="423" spans="2:18" ht="7.5" customHeight="1">
      <c r="B423" s="132"/>
      <c r="C423" s="2"/>
      <c r="D423" s="2"/>
      <c r="E423" s="2"/>
      <c r="F423" s="2"/>
      <c r="G423" s="2"/>
      <c r="H423" s="2"/>
      <c r="I423" s="2"/>
      <c r="J423" s="2"/>
      <c r="K423" s="2"/>
    </row>
    <row r="424" spans="2:18">
      <c r="B424" s="1"/>
      <c r="C424" s="2"/>
      <c r="D424" s="2"/>
      <c r="E424" s="2"/>
      <c r="F424" s="2"/>
      <c r="G424" s="2"/>
      <c r="H424" s="2"/>
      <c r="I424" s="2"/>
      <c r="J424" s="2"/>
      <c r="K424" s="2"/>
    </row>
    <row r="425" spans="2:18">
      <c r="B425" s="1"/>
      <c r="C425" s="2"/>
      <c r="D425" s="2"/>
      <c r="E425" s="2"/>
      <c r="F425" s="2"/>
      <c r="G425" s="2"/>
      <c r="H425" s="2"/>
      <c r="I425" s="2"/>
      <c r="J425" s="2"/>
      <c r="K425" s="2"/>
    </row>
    <row r="426" spans="2:18">
      <c r="B426" s="1"/>
      <c r="C426" s="2"/>
      <c r="D426" s="2"/>
      <c r="E426" s="2"/>
      <c r="F426" s="2"/>
      <c r="G426" s="2"/>
      <c r="H426" s="2"/>
      <c r="I426" s="2"/>
      <c r="J426" s="2"/>
      <c r="K426" s="2"/>
    </row>
    <row r="427" spans="2:18">
      <c r="B427" s="1"/>
      <c r="C427" s="2"/>
      <c r="D427" s="2"/>
      <c r="E427" s="2"/>
      <c r="F427" s="2"/>
      <c r="G427" s="2"/>
      <c r="H427" s="2"/>
      <c r="I427" s="2"/>
      <c r="J427" s="2"/>
      <c r="K427" s="2"/>
    </row>
    <row r="428" spans="2:18">
      <c r="B428" s="1"/>
      <c r="C428" s="2"/>
      <c r="D428" s="2"/>
      <c r="E428" s="2"/>
      <c r="F428" s="2"/>
      <c r="G428" s="2"/>
      <c r="H428" s="2"/>
      <c r="I428" s="2"/>
      <c r="J428" s="2"/>
      <c r="K428" s="2"/>
    </row>
    <row r="429" spans="2:18">
      <c r="B429" s="1"/>
      <c r="C429" s="2"/>
      <c r="D429" s="2"/>
      <c r="E429" s="2"/>
      <c r="F429" s="2"/>
      <c r="G429" s="2"/>
      <c r="H429" s="2"/>
      <c r="I429" s="2"/>
      <c r="J429" s="2"/>
      <c r="K429" s="2"/>
    </row>
    <row r="430" spans="2:18">
      <c r="B430" s="1"/>
      <c r="C430" s="2"/>
      <c r="D430" s="2"/>
      <c r="E430" s="2"/>
      <c r="F430" s="2"/>
      <c r="G430" s="2"/>
      <c r="H430" s="2"/>
      <c r="I430" s="2"/>
      <c r="J430" s="2"/>
      <c r="K430" s="2"/>
    </row>
    <row r="431" spans="2:18">
      <c r="B431" s="1"/>
      <c r="C431" s="2"/>
      <c r="D431" s="2"/>
      <c r="E431" s="2"/>
      <c r="F431" s="2"/>
      <c r="G431" s="2"/>
      <c r="H431" s="2"/>
      <c r="I431" s="2"/>
      <c r="J431" s="2"/>
      <c r="K431" s="2"/>
    </row>
    <row r="432" spans="2:18">
      <c r="B432" s="1"/>
      <c r="C432" s="2"/>
      <c r="D432" s="2"/>
      <c r="E432" s="2"/>
      <c r="F432" s="2"/>
      <c r="G432" s="2"/>
      <c r="H432" s="2"/>
      <c r="I432" s="2"/>
      <c r="J432" s="2"/>
      <c r="K432" s="2"/>
    </row>
    <row r="433" spans="2:11">
      <c r="B433" s="1"/>
      <c r="C433" s="2"/>
      <c r="D433" s="2"/>
      <c r="E433" s="2"/>
      <c r="F433" s="2"/>
      <c r="G433" s="2"/>
      <c r="H433" s="2"/>
      <c r="I433" s="2"/>
      <c r="J433" s="2"/>
      <c r="K433" s="2"/>
    </row>
    <row r="434" spans="2:11">
      <c r="B434" s="1"/>
      <c r="C434" s="2"/>
      <c r="D434" s="2"/>
      <c r="E434" s="2"/>
      <c r="F434" s="2"/>
      <c r="G434" s="2"/>
      <c r="H434" s="2"/>
      <c r="I434" s="2"/>
      <c r="J434" s="2"/>
      <c r="K434" s="2"/>
    </row>
    <row r="435" spans="2:11">
      <c r="B435" s="1"/>
      <c r="C435" s="2"/>
      <c r="D435" s="2"/>
      <c r="E435" s="2"/>
      <c r="F435" s="2"/>
      <c r="G435" s="2"/>
      <c r="H435" s="2"/>
      <c r="I435" s="2"/>
      <c r="J435" s="2"/>
      <c r="K435" s="2"/>
    </row>
    <row r="438" spans="2:11">
      <c r="B438" s="764" t="s">
        <v>800</v>
      </c>
      <c r="C438" s="764"/>
      <c r="D438" s="764"/>
      <c r="E438" s="764"/>
      <c r="F438" s="764"/>
      <c r="G438" s="764"/>
      <c r="H438" s="764"/>
      <c r="I438" s="764"/>
      <c r="J438" s="764"/>
      <c r="K438" s="764"/>
    </row>
    <row r="439" spans="2:11">
      <c r="B439" s="65"/>
      <c r="C439" s="3"/>
      <c r="D439" s="2"/>
      <c r="E439" s="2"/>
      <c r="F439" s="2"/>
      <c r="G439" s="2"/>
      <c r="H439" s="2"/>
      <c r="I439" s="2"/>
      <c r="J439" s="2"/>
      <c r="K439" s="2"/>
    </row>
    <row r="440" spans="2:11" ht="12.75" customHeight="1">
      <c r="B440" s="766" t="s">
        <v>801</v>
      </c>
      <c r="C440" s="766"/>
      <c r="D440" s="766"/>
      <c r="E440" s="766"/>
      <c r="F440" s="766"/>
      <c r="G440" s="766"/>
      <c r="H440" s="766"/>
      <c r="I440" s="766"/>
      <c r="J440" s="766"/>
      <c r="K440" s="766"/>
    </row>
    <row r="441" spans="2:11" ht="12.75" customHeight="1">
      <c r="B441" s="766"/>
      <c r="C441" s="766"/>
      <c r="D441" s="766"/>
      <c r="E441" s="766"/>
      <c r="F441" s="766"/>
      <c r="G441" s="766"/>
      <c r="H441" s="766"/>
      <c r="I441" s="766"/>
      <c r="J441" s="766"/>
      <c r="K441" s="766"/>
    </row>
    <row r="442" spans="2:11" ht="18.75" customHeight="1">
      <c r="B442" s="766"/>
      <c r="C442" s="766"/>
      <c r="D442" s="766"/>
      <c r="E442" s="766"/>
      <c r="F442" s="766"/>
      <c r="G442" s="766"/>
      <c r="H442" s="766"/>
      <c r="I442" s="766"/>
      <c r="J442" s="766"/>
      <c r="K442" s="766"/>
    </row>
    <row r="443" spans="2:11">
      <c r="B443" s="5"/>
      <c r="C443" s="65"/>
      <c r="D443" s="66"/>
      <c r="E443" s="65" t="s">
        <v>257</v>
      </c>
      <c r="F443" s="1"/>
      <c r="G443" s="1"/>
      <c r="H443" s="1"/>
      <c r="I443" s="1"/>
      <c r="J443" s="1"/>
      <c r="K443" s="1"/>
    </row>
    <row r="444" spans="2:11">
      <c r="B444" s="66"/>
      <c r="C444" s="65" t="s">
        <v>249</v>
      </c>
      <c r="D444" s="49" t="s">
        <v>256</v>
      </c>
      <c r="E444" s="66" t="s">
        <v>763</v>
      </c>
      <c r="F444" s="66" t="s">
        <v>257</v>
      </c>
      <c r="G444" s="66" t="s">
        <v>258</v>
      </c>
      <c r="H444" s="66" t="s">
        <v>926</v>
      </c>
      <c r="I444" s="66" t="s">
        <v>1026</v>
      </c>
      <c r="J444" s="66" t="s">
        <v>1060</v>
      </c>
      <c r="K444" s="66" t="s">
        <v>1061</v>
      </c>
    </row>
    <row r="445" spans="2:11" ht="15.75" thickBot="1">
      <c r="B445" s="136"/>
      <c r="C445" s="68" t="s">
        <v>1</v>
      </c>
      <c r="D445" s="68" t="s">
        <v>1</v>
      </c>
      <c r="E445" s="68" t="s">
        <v>720</v>
      </c>
      <c r="F445" s="68" t="s">
        <v>19</v>
      </c>
      <c r="G445" s="68" t="str">
        <f>$M$1</f>
        <v>Adopted</v>
      </c>
      <c r="H445" s="68" t="s">
        <v>19</v>
      </c>
      <c r="I445" s="68" t="s">
        <v>19</v>
      </c>
      <c r="J445" s="68" t="s">
        <v>19</v>
      </c>
      <c r="K445" s="68" t="s">
        <v>19</v>
      </c>
    </row>
    <row r="446" spans="2:11">
      <c r="B446" s="64"/>
      <c r="C446" s="137"/>
      <c r="D446" s="2"/>
      <c r="E446" s="2"/>
      <c r="F446" s="2"/>
      <c r="G446" s="2"/>
      <c r="H446" s="2"/>
      <c r="I446" s="2"/>
      <c r="J446" s="2"/>
      <c r="K446" s="2"/>
    </row>
    <row r="447" spans="2:11">
      <c r="B447" s="128" t="s">
        <v>764</v>
      </c>
      <c r="C447" s="2"/>
      <c r="D447" s="2"/>
      <c r="E447" s="2"/>
      <c r="F447" s="2"/>
      <c r="G447" s="2"/>
      <c r="H447" s="2"/>
      <c r="I447" s="2"/>
      <c r="J447" s="2"/>
      <c r="K447" s="2"/>
    </row>
    <row r="448" spans="2:11" ht="20.100000000000001" customHeight="1">
      <c r="B448" s="438" t="s">
        <v>766</v>
      </c>
      <c r="C448" s="2">
        <f>SUM('Budget Detail FY 2014-21'!L741:L743)</f>
        <v>31286</v>
      </c>
      <c r="D448" s="2">
        <f>SUM('Budget Detail FY 2014-21'!M741:M743)</f>
        <v>40144</v>
      </c>
      <c r="E448" s="2">
        <f>SUM('Budget Detail FY 2014-21'!N741:N743)</f>
        <v>400000</v>
      </c>
      <c r="F448" s="2">
        <f>SUM('Budget Detail FY 2014-21'!O741:O743)</f>
        <v>0</v>
      </c>
      <c r="G448" s="2">
        <f>SUM('Budget Detail FY 2014-21'!P741:P743)</f>
        <v>400000</v>
      </c>
      <c r="H448" s="2">
        <f>SUM('Budget Detail FY 2014-21'!Q741:Q743)</f>
        <v>0</v>
      </c>
      <c r="I448" s="2">
        <f>SUM('Budget Detail FY 2014-21'!R741:R743)</f>
        <v>400000</v>
      </c>
      <c r="J448" s="2">
        <f>SUM('Budget Detail FY 2014-21'!S741:S743)</f>
        <v>0</v>
      </c>
      <c r="K448" s="2">
        <f>SUM('Budget Detail FY 2014-21'!T741:T743)</f>
        <v>0</v>
      </c>
    </row>
    <row r="449" spans="2:11" ht="20.100000000000001" customHeight="1">
      <c r="B449" s="437" t="s">
        <v>767</v>
      </c>
      <c r="C449" s="2">
        <f>'Budget Detail FY 2014-21'!L744</f>
        <v>1733</v>
      </c>
      <c r="D449" s="2">
        <f>'Budget Detail FY 2014-21'!M744</f>
        <v>8407</v>
      </c>
      <c r="E449" s="2">
        <f>'Budget Detail FY 2014-21'!N744</f>
        <v>0</v>
      </c>
      <c r="F449" s="2">
        <f>'Budget Detail FY 2014-21'!O744</f>
        <v>0</v>
      </c>
      <c r="G449" s="2">
        <f>'Budget Detail FY 2014-21'!P744</f>
        <v>0</v>
      </c>
      <c r="H449" s="2">
        <f>'Budget Detail FY 2014-21'!Q744</f>
        <v>0</v>
      </c>
      <c r="I449" s="2">
        <f>'Budget Detail FY 2014-21'!R744</f>
        <v>0</v>
      </c>
      <c r="J449" s="2">
        <f>'Budget Detail FY 2014-21'!S744</f>
        <v>0</v>
      </c>
      <c r="K449" s="2">
        <f>'Budget Detail FY 2014-21'!T744</f>
        <v>0</v>
      </c>
    </row>
    <row r="450" spans="2:11" ht="20.100000000000001" customHeight="1">
      <c r="B450" s="438" t="s">
        <v>770</v>
      </c>
      <c r="C450" s="2">
        <f>'Budget Detail FY 2014-21'!L745</f>
        <v>4</v>
      </c>
      <c r="D450" s="2">
        <f>'Budget Detail FY 2014-21'!M745</f>
        <v>0</v>
      </c>
      <c r="E450" s="2">
        <f>'Budget Detail FY 2014-21'!N745</f>
        <v>0</v>
      </c>
      <c r="F450" s="2">
        <f>'Budget Detail FY 2014-21'!O745</f>
        <v>0</v>
      </c>
      <c r="G450" s="2">
        <f>'Budget Detail FY 2014-21'!P745</f>
        <v>0</v>
      </c>
      <c r="H450" s="2">
        <f>'Budget Detail FY 2014-21'!Q745</f>
        <v>0</v>
      </c>
      <c r="I450" s="2">
        <f>'Budget Detail FY 2014-21'!R745</f>
        <v>0</v>
      </c>
      <c r="J450" s="2">
        <f>'Budget Detail FY 2014-21'!S745</f>
        <v>0</v>
      </c>
      <c r="K450" s="2">
        <f>'Budget Detail FY 2014-21'!T745</f>
        <v>0</v>
      </c>
    </row>
    <row r="451" spans="2:11" ht="20.100000000000001" customHeight="1">
      <c r="B451" s="438" t="s">
        <v>802</v>
      </c>
      <c r="C451" s="2">
        <f>SUM('Budget Detail FY 2014-21'!L747:L753)</f>
        <v>54579</v>
      </c>
      <c r="D451" s="2">
        <f>SUM('Budget Detail FY 2014-21'!M747:M753)</f>
        <v>40997</v>
      </c>
      <c r="E451" s="2">
        <f>SUM('Budget Detail FY 2014-21'!N747:N753)</f>
        <v>30500</v>
      </c>
      <c r="F451" s="2">
        <f>SUM('Budget Detail FY 2014-21'!O747:O753)</f>
        <v>113257</v>
      </c>
      <c r="G451" s="2">
        <f>SUM('Budget Detail FY 2014-21'!P747:P753)</f>
        <v>39000</v>
      </c>
      <c r="H451" s="2">
        <f>SUM('Budget Detail FY 2014-21'!Q747:Q753)</f>
        <v>37000</v>
      </c>
      <c r="I451" s="2">
        <f>SUM('Budget Detail FY 2014-21'!R747:R753)</f>
        <v>37000</v>
      </c>
      <c r="J451" s="2">
        <f>SUM('Budget Detail FY 2014-21'!S747:S753)</f>
        <v>35000</v>
      </c>
      <c r="K451" s="2">
        <f>SUM('Budget Detail FY 2014-21'!T747:T753)</f>
        <v>35000</v>
      </c>
    </row>
    <row r="452" spans="2:11" ht="20.100000000000001" customHeight="1">
      <c r="B452" s="438" t="s">
        <v>771</v>
      </c>
      <c r="C452" s="2">
        <f>'Budget Detail FY 2014-21'!L746</f>
        <v>0</v>
      </c>
      <c r="D452" s="2">
        <f>'Budget Detail FY 2014-21'!M746</f>
        <v>83311</v>
      </c>
      <c r="E452" s="2">
        <f>'Budget Detail FY 2014-21'!N746</f>
        <v>0</v>
      </c>
      <c r="F452" s="2">
        <f>'Budget Detail FY 2014-21'!O746</f>
        <v>0</v>
      </c>
      <c r="G452" s="2">
        <f>'Budget Detail FY 2014-21'!P746</f>
        <v>50000</v>
      </c>
      <c r="H452" s="2">
        <f>'Budget Detail FY 2014-21'!Q746</f>
        <v>0</v>
      </c>
      <c r="I452" s="2">
        <f>'Budget Detail FY 2014-21'!R746</f>
        <v>0</v>
      </c>
      <c r="J452" s="2">
        <f>'Budget Detail FY 2014-21'!S746</f>
        <v>0</v>
      </c>
      <c r="K452" s="2">
        <f>'Budget Detail FY 2014-21'!T746</f>
        <v>0</v>
      </c>
    </row>
    <row r="453" spans="2:11" ht="20.100000000000001" customHeight="1">
      <c r="B453" s="438" t="s">
        <v>772</v>
      </c>
      <c r="C453" s="2">
        <f>'Budget Detail FY 2014-21'!L754</f>
        <v>0</v>
      </c>
      <c r="D453" s="2">
        <f>'Budget Detail FY 2014-21'!M754</f>
        <v>14</v>
      </c>
      <c r="E453" s="2">
        <f>'Budget Detail FY 2014-21'!N754</f>
        <v>0</v>
      </c>
      <c r="F453" s="2">
        <f>'Budget Detail FY 2014-21'!O754</f>
        <v>0</v>
      </c>
      <c r="G453" s="2">
        <f>'Budget Detail FY 2014-21'!P754</f>
        <v>0</v>
      </c>
      <c r="H453" s="2">
        <f>'Budget Detail FY 2014-21'!Q754</f>
        <v>0</v>
      </c>
      <c r="I453" s="2">
        <f>'Budget Detail FY 2014-21'!R754</f>
        <v>0</v>
      </c>
      <c r="J453" s="2">
        <f>'Budget Detail FY 2014-21'!S754</f>
        <v>0</v>
      </c>
      <c r="K453" s="2">
        <f>'Budget Detail FY 2014-21'!T754</f>
        <v>0</v>
      </c>
    </row>
    <row r="454" spans="2:11" ht="20.100000000000001" customHeight="1">
      <c r="B454" s="440" t="s">
        <v>773</v>
      </c>
      <c r="C454" s="2">
        <f>'Budget Detail FY 2014-21'!L755</f>
        <v>50000</v>
      </c>
      <c r="D454" s="2">
        <f>'Budget Detail FY 2014-21'!M755</f>
        <v>0</v>
      </c>
      <c r="E454" s="2">
        <f>'Budget Detail FY 2014-21'!N755</f>
        <v>0</v>
      </c>
      <c r="F454" s="2">
        <f>'Budget Detail FY 2014-21'!O755</f>
        <v>0</v>
      </c>
      <c r="G454" s="2">
        <f>'Budget Detail FY 2014-21'!P755</f>
        <v>0</v>
      </c>
      <c r="H454" s="2">
        <f>'Budget Detail FY 2014-21'!Q755</f>
        <v>0</v>
      </c>
      <c r="I454" s="2">
        <f>'Budget Detail FY 2014-21'!R755</f>
        <v>0</v>
      </c>
      <c r="J454" s="2">
        <f>'Budget Detail FY 2014-21'!S755</f>
        <v>0</v>
      </c>
      <c r="K454" s="2">
        <f>'Budget Detail FY 2014-21'!T755</f>
        <v>0</v>
      </c>
    </row>
    <row r="455" spans="2:11" ht="20.100000000000001" customHeight="1" thickBot="1">
      <c r="B455" s="127" t="s">
        <v>774</v>
      </c>
      <c r="C455" s="124">
        <f>SUM(C448:C454)</f>
        <v>137602</v>
      </c>
      <c r="D455" s="124">
        <f t="shared" ref="D455:K455" si="38">SUM(D448:D454)</f>
        <v>172873</v>
      </c>
      <c r="E455" s="124">
        <f t="shared" si="38"/>
        <v>430500</v>
      </c>
      <c r="F455" s="124">
        <f t="shared" si="38"/>
        <v>113257</v>
      </c>
      <c r="G455" s="124">
        <f t="shared" si="38"/>
        <v>489000</v>
      </c>
      <c r="H455" s="124">
        <f t="shared" si="38"/>
        <v>37000</v>
      </c>
      <c r="I455" s="124">
        <f t="shared" si="38"/>
        <v>437000</v>
      </c>
      <c r="J455" s="124">
        <f t="shared" si="38"/>
        <v>35000</v>
      </c>
      <c r="K455" s="124">
        <f t="shared" si="38"/>
        <v>35000</v>
      </c>
    </row>
    <row r="456" spans="2:11">
      <c r="B456" s="1"/>
      <c r="C456" s="2"/>
      <c r="D456" s="2"/>
      <c r="E456" s="2"/>
      <c r="F456" s="2"/>
      <c r="G456" s="2"/>
      <c r="H456" s="2"/>
      <c r="I456" s="2"/>
      <c r="J456" s="2"/>
      <c r="K456" s="2"/>
    </row>
    <row r="457" spans="2:11">
      <c r="B457" s="128" t="s">
        <v>548</v>
      </c>
      <c r="C457" s="2"/>
      <c r="D457" s="2"/>
      <c r="E457" s="2"/>
      <c r="F457" s="2"/>
      <c r="G457" s="2"/>
      <c r="H457" s="2"/>
      <c r="I457" s="2"/>
      <c r="J457" s="2"/>
      <c r="K457" s="2"/>
    </row>
    <row r="458" spans="2:11" ht="20.100000000000001" customHeight="1">
      <c r="B458" s="439" t="s">
        <v>777</v>
      </c>
      <c r="C458" s="2">
        <f>'Budget Detail FY 2014-21'!L759</f>
        <v>1733</v>
      </c>
      <c r="D458" s="2">
        <f>'Budget Detail FY 2014-21'!M759</f>
        <v>8407</v>
      </c>
      <c r="E458" s="2">
        <f>'Budget Detail FY 2014-21'!N759</f>
        <v>0</v>
      </c>
      <c r="F458" s="2">
        <f>'Budget Detail FY 2014-21'!O759</f>
        <v>0</v>
      </c>
      <c r="G458" s="2">
        <f>'Budget Detail FY 2014-21'!P759</f>
        <v>0</v>
      </c>
      <c r="H458" s="2">
        <f>'Budget Detail FY 2014-21'!Q759</f>
        <v>0</v>
      </c>
      <c r="I458" s="2">
        <f>'Budget Detail FY 2014-21'!R759</f>
        <v>0</v>
      </c>
      <c r="J458" s="2">
        <f>'Budget Detail FY 2014-21'!S759</f>
        <v>0</v>
      </c>
      <c r="K458" s="2">
        <f>'Budget Detail FY 2014-21'!T759</f>
        <v>0</v>
      </c>
    </row>
    <row r="459" spans="2:11" ht="20.100000000000001" customHeight="1">
      <c r="B459" s="439" t="s">
        <v>779</v>
      </c>
      <c r="C459" s="2">
        <f>SUM('Budget Detail FY 2014-21'!L760:L767)</f>
        <v>69304</v>
      </c>
      <c r="D459" s="2">
        <f>SUM('Budget Detail FY 2014-21'!M760:M767)</f>
        <v>235021</v>
      </c>
      <c r="E459" s="2">
        <f>SUM('Budget Detail FY 2014-21'!N760:N767)</f>
        <v>580832</v>
      </c>
      <c r="F459" s="2">
        <f>SUM('Budget Detail FY 2014-21'!O760:O767)</f>
        <v>45512</v>
      </c>
      <c r="G459" s="2">
        <f>SUM('Budget Detail FY 2014-21'!P760:P767)</f>
        <v>453855</v>
      </c>
      <c r="H459" s="2">
        <f>SUM('Budget Detail FY 2014-21'!Q760:Q767)</f>
        <v>330832</v>
      </c>
      <c r="I459" s="2">
        <f>SUM('Budget Detail FY 2014-21'!R760:R767)</f>
        <v>72734</v>
      </c>
      <c r="J459" s="2">
        <f>SUM('Budget Detail FY 2014-21'!S760:S767)</f>
        <v>0</v>
      </c>
      <c r="K459" s="2">
        <f>SUM('Budget Detail FY 2014-21'!T760:T767)</f>
        <v>0</v>
      </c>
    </row>
    <row r="460" spans="2:11" ht="20.100000000000001" customHeight="1" thickBot="1">
      <c r="B460" s="127" t="s">
        <v>782</v>
      </c>
      <c r="C460" s="124">
        <f>SUM(C458:C459)</f>
        <v>71037</v>
      </c>
      <c r="D460" s="124">
        <f t="shared" ref="D460:K460" si="39">SUM(D458:D459)</f>
        <v>243428</v>
      </c>
      <c r="E460" s="124">
        <f t="shared" si="39"/>
        <v>580832</v>
      </c>
      <c r="F460" s="124">
        <f t="shared" si="39"/>
        <v>45512</v>
      </c>
      <c r="G460" s="124">
        <f t="shared" si="39"/>
        <v>453855</v>
      </c>
      <c r="H460" s="124">
        <f t="shared" si="39"/>
        <v>330832</v>
      </c>
      <c r="I460" s="124">
        <f t="shared" si="39"/>
        <v>72734</v>
      </c>
      <c r="J460" s="124">
        <f t="shared" si="39"/>
        <v>0</v>
      </c>
      <c r="K460" s="124">
        <f t="shared" si="39"/>
        <v>0</v>
      </c>
    </row>
    <row r="461" spans="2:11">
      <c r="B461" s="130"/>
      <c r="C461" s="3"/>
      <c r="D461" s="2"/>
      <c r="E461" s="2"/>
      <c r="F461" s="2"/>
      <c r="G461" s="2"/>
      <c r="H461" s="2"/>
      <c r="I461" s="2"/>
      <c r="J461" s="2"/>
      <c r="K461" s="2"/>
    </row>
    <row r="462" spans="2:11" ht="20.100000000000001" customHeight="1">
      <c r="B462" s="441" t="s">
        <v>783</v>
      </c>
      <c r="C462" s="3">
        <f t="shared" ref="C462:K462" si="40">+C455-C460</f>
        <v>66565</v>
      </c>
      <c r="D462" s="3">
        <f t="shared" si="40"/>
        <v>-70555</v>
      </c>
      <c r="E462" s="3">
        <f t="shared" si="40"/>
        <v>-150332</v>
      </c>
      <c r="F462" s="3">
        <f t="shared" si="40"/>
        <v>67745</v>
      </c>
      <c r="G462" s="3">
        <f t="shared" si="40"/>
        <v>35145</v>
      </c>
      <c r="H462" s="3">
        <f t="shared" si="40"/>
        <v>-293832</v>
      </c>
      <c r="I462" s="3">
        <f t="shared" si="40"/>
        <v>364266</v>
      </c>
      <c r="J462" s="3">
        <f t="shared" si="40"/>
        <v>35000</v>
      </c>
      <c r="K462" s="3">
        <f t="shared" si="40"/>
        <v>35000</v>
      </c>
    </row>
    <row r="463" spans="2:11">
      <c r="B463" s="131"/>
      <c r="C463" s="3"/>
      <c r="D463" s="2"/>
      <c r="E463" s="2"/>
      <c r="F463" s="2"/>
      <c r="G463" s="2"/>
      <c r="H463" s="2"/>
      <c r="I463" s="2"/>
      <c r="J463" s="2"/>
      <c r="K463" s="2"/>
    </row>
    <row r="464" spans="2:11" ht="20.100000000000001" customHeight="1" thickBot="1">
      <c r="B464" s="126" t="s">
        <v>784</v>
      </c>
      <c r="C464" s="81">
        <v>187984</v>
      </c>
      <c r="D464" s="81">
        <v>117430</v>
      </c>
      <c r="E464" s="81">
        <v>-185167</v>
      </c>
      <c r="F464" s="81">
        <f>D464+F462</f>
        <v>185175</v>
      </c>
      <c r="G464" s="81">
        <f>F464+G462</f>
        <v>220320</v>
      </c>
      <c r="H464" s="81">
        <f>G464+H462</f>
        <v>-73512</v>
      </c>
      <c r="I464" s="81">
        <f>H464+I462</f>
        <v>290754</v>
      </c>
      <c r="J464" s="81">
        <f>I464+J462</f>
        <v>325754</v>
      </c>
      <c r="K464" s="81">
        <f>J464+K462</f>
        <v>360754</v>
      </c>
    </row>
    <row r="465" spans="2:11" ht="15.75" thickTop="1">
      <c r="B465" s="132"/>
      <c r="C465" s="3"/>
      <c r="D465" s="3"/>
      <c r="E465" s="3"/>
      <c r="F465" s="2"/>
      <c r="G465" s="2"/>
      <c r="H465" s="2"/>
      <c r="I465" s="2"/>
      <c r="J465" s="2"/>
      <c r="K465" s="2"/>
    </row>
    <row r="466" spans="2:11">
      <c r="B466" s="132"/>
      <c r="C466" s="2"/>
      <c r="D466" s="2"/>
      <c r="E466" s="2"/>
      <c r="F466" s="2"/>
      <c r="G466" s="2"/>
      <c r="H466" s="2"/>
      <c r="I466" s="2"/>
      <c r="J466" s="2"/>
      <c r="K466" s="2"/>
    </row>
    <row r="467" spans="2:11">
      <c r="B467" s="1"/>
      <c r="C467" s="2"/>
      <c r="D467" s="2"/>
      <c r="E467" s="2"/>
      <c r="F467" s="2"/>
      <c r="G467" s="2"/>
      <c r="H467" s="2"/>
      <c r="I467" s="2"/>
      <c r="J467" s="2"/>
      <c r="K467" s="2"/>
    </row>
    <row r="468" spans="2:11">
      <c r="B468" s="1"/>
      <c r="C468" s="2"/>
      <c r="D468" s="2"/>
      <c r="E468" s="2"/>
      <c r="F468" s="2"/>
      <c r="G468" s="2"/>
      <c r="H468" s="2"/>
      <c r="I468" s="2"/>
      <c r="J468" s="2"/>
      <c r="K468" s="2"/>
    </row>
    <row r="469" spans="2:11">
      <c r="B469" s="1"/>
      <c r="C469" s="2"/>
      <c r="D469" s="2"/>
      <c r="E469" s="2"/>
      <c r="F469" s="2"/>
      <c r="G469" s="2"/>
      <c r="H469" s="2"/>
      <c r="I469" s="2"/>
      <c r="J469" s="2"/>
      <c r="K469" s="2"/>
    </row>
    <row r="470" spans="2:11">
      <c r="B470" s="1"/>
      <c r="C470" s="2"/>
      <c r="D470" s="2"/>
      <c r="E470" s="2"/>
      <c r="F470" s="2"/>
      <c r="G470" s="2"/>
      <c r="H470" s="2"/>
      <c r="I470" s="2"/>
      <c r="J470" s="2"/>
      <c r="K470" s="2"/>
    </row>
    <row r="471" spans="2:11">
      <c r="B471" s="1"/>
      <c r="C471" s="2"/>
      <c r="D471" s="2"/>
      <c r="E471" s="2"/>
      <c r="F471" s="2"/>
      <c r="G471" s="2"/>
      <c r="H471" s="2"/>
      <c r="I471" s="2"/>
      <c r="J471" s="2"/>
      <c r="K471" s="2"/>
    </row>
    <row r="472" spans="2:11">
      <c r="B472" s="1"/>
      <c r="C472" s="2"/>
      <c r="D472" s="2"/>
      <c r="E472" s="2"/>
      <c r="F472" s="2"/>
      <c r="G472" s="2"/>
      <c r="H472" s="2"/>
      <c r="I472" s="2"/>
      <c r="J472" s="2"/>
      <c r="K472" s="2"/>
    </row>
    <row r="473" spans="2:11">
      <c r="B473" s="1"/>
      <c r="C473" s="2"/>
      <c r="D473" s="2"/>
      <c r="E473" s="2"/>
      <c r="F473" s="2"/>
      <c r="G473" s="2"/>
      <c r="H473" s="2"/>
      <c r="I473" s="2"/>
      <c r="J473" s="2"/>
      <c r="K473" s="2"/>
    </row>
    <row r="474" spans="2:11">
      <c r="B474" s="1"/>
      <c r="C474" s="2"/>
      <c r="D474" s="2"/>
      <c r="E474" s="2"/>
      <c r="F474" s="2"/>
      <c r="G474" s="2"/>
      <c r="H474" s="2"/>
      <c r="I474" s="2"/>
      <c r="J474" s="2"/>
      <c r="K474" s="2"/>
    </row>
    <row r="475" spans="2:11">
      <c r="B475" s="1"/>
      <c r="C475" s="2"/>
      <c r="D475" s="2"/>
      <c r="E475" s="2"/>
      <c r="F475" s="2"/>
      <c r="G475" s="2"/>
      <c r="H475" s="2"/>
      <c r="I475" s="2"/>
      <c r="J475" s="2"/>
      <c r="K475" s="2"/>
    </row>
    <row r="476" spans="2:11">
      <c r="B476" s="1"/>
      <c r="C476" s="2"/>
      <c r="D476" s="2"/>
      <c r="E476" s="2"/>
      <c r="F476" s="2"/>
      <c r="G476" s="2"/>
      <c r="H476" s="2"/>
      <c r="I476" s="2"/>
      <c r="J476" s="2"/>
      <c r="K476" s="2"/>
    </row>
    <row r="477" spans="2:11">
      <c r="B477" s="1"/>
      <c r="C477" s="2"/>
      <c r="D477" s="2"/>
      <c r="E477" s="2"/>
      <c r="F477" s="2"/>
      <c r="G477" s="2"/>
      <c r="H477" s="2"/>
      <c r="I477" s="2"/>
      <c r="J477" s="2"/>
      <c r="K477" s="2"/>
    </row>
    <row r="480" spans="2:11" ht="18.75" customHeight="1">
      <c r="B480" s="764" t="s">
        <v>803</v>
      </c>
      <c r="C480" s="764"/>
      <c r="D480" s="764"/>
      <c r="E480" s="764"/>
      <c r="F480" s="764"/>
      <c r="G480" s="764"/>
      <c r="H480" s="764"/>
      <c r="I480" s="764"/>
      <c r="J480" s="764"/>
      <c r="K480" s="764"/>
    </row>
    <row r="481" spans="2:18">
      <c r="B481" s="65"/>
      <c r="C481" s="3"/>
      <c r="D481" s="2"/>
      <c r="E481" s="2"/>
      <c r="F481" s="2"/>
      <c r="G481" s="2"/>
      <c r="H481" s="2"/>
      <c r="I481" s="2"/>
      <c r="J481" s="2"/>
      <c r="K481" s="2"/>
    </row>
    <row r="482" spans="2:18" ht="12.75" customHeight="1">
      <c r="B482" s="761" t="s">
        <v>804</v>
      </c>
      <c r="C482" s="761"/>
      <c r="D482" s="761"/>
      <c r="E482" s="761"/>
      <c r="F482" s="761"/>
      <c r="G482" s="761"/>
      <c r="H482" s="761"/>
      <c r="I482" s="761"/>
      <c r="J482" s="761"/>
      <c r="K482" s="761"/>
    </row>
    <row r="483" spans="2:18" ht="12.75" customHeight="1">
      <c r="B483" s="761"/>
      <c r="C483" s="761"/>
      <c r="D483" s="761"/>
      <c r="E483" s="761"/>
      <c r="F483" s="761"/>
      <c r="G483" s="761"/>
      <c r="H483" s="761"/>
      <c r="I483" s="761"/>
      <c r="J483" s="761"/>
      <c r="K483" s="761"/>
    </row>
    <row r="484" spans="2:18" ht="12.75" customHeight="1">
      <c r="B484" s="761"/>
      <c r="C484" s="761"/>
      <c r="D484" s="761"/>
      <c r="E484" s="761"/>
      <c r="F484" s="761"/>
      <c r="G484" s="761"/>
      <c r="H484" s="761"/>
      <c r="I484" s="761"/>
      <c r="J484" s="761"/>
      <c r="K484" s="761"/>
    </row>
    <row r="485" spans="2:18" ht="23.25" customHeight="1">
      <c r="B485" s="761"/>
      <c r="C485" s="761"/>
      <c r="D485" s="761"/>
      <c r="E485" s="761"/>
      <c r="F485" s="761"/>
      <c r="G485" s="761"/>
      <c r="H485" s="761"/>
      <c r="I485" s="761"/>
      <c r="J485" s="761"/>
      <c r="K485" s="761"/>
      <c r="M485" s="715"/>
      <c r="N485" s="715"/>
      <c r="O485" s="715"/>
      <c r="P485" s="715"/>
      <c r="Q485" s="715"/>
      <c r="R485" s="715"/>
    </row>
    <row r="486" spans="2:18">
      <c r="B486" s="5"/>
      <c r="C486" s="65"/>
      <c r="D486" s="66"/>
      <c r="E486" s="65" t="s">
        <v>257</v>
      </c>
      <c r="F486" s="1"/>
      <c r="G486" s="1"/>
      <c r="H486" s="1"/>
      <c r="I486" s="1"/>
      <c r="J486" s="1"/>
      <c r="K486" s="1"/>
      <c r="M486" s="715"/>
      <c r="N486" s="715"/>
      <c r="O486" s="715"/>
      <c r="P486" s="715"/>
      <c r="Q486" s="715"/>
      <c r="R486" s="715"/>
    </row>
    <row r="487" spans="2:18">
      <c r="B487" s="66"/>
      <c r="C487" s="65" t="s">
        <v>249</v>
      </c>
      <c r="D487" s="49" t="s">
        <v>256</v>
      </c>
      <c r="E487" s="66" t="s">
        <v>763</v>
      </c>
      <c r="F487" s="66" t="s">
        <v>257</v>
      </c>
      <c r="G487" s="66" t="s">
        <v>258</v>
      </c>
      <c r="H487" s="66" t="s">
        <v>926</v>
      </c>
      <c r="I487" s="66" t="s">
        <v>1026</v>
      </c>
      <c r="J487" s="66" t="s">
        <v>1060</v>
      </c>
      <c r="K487" s="66" t="s">
        <v>1061</v>
      </c>
      <c r="M487" s="715"/>
      <c r="N487" s="70"/>
      <c r="O487" s="715"/>
      <c r="P487" s="715"/>
      <c r="Q487" s="715"/>
      <c r="R487" s="715"/>
    </row>
    <row r="488" spans="2:18" ht="15.75" thickBot="1">
      <c r="B488" s="136"/>
      <c r="C488" s="68" t="s">
        <v>1</v>
      </c>
      <c r="D488" s="68" t="s">
        <v>1</v>
      </c>
      <c r="E488" s="68" t="s">
        <v>720</v>
      </c>
      <c r="F488" s="68" t="s">
        <v>19</v>
      </c>
      <c r="G488" s="68" t="str">
        <f>$M$1</f>
        <v>Adopted</v>
      </c>
      <c r="H488" s="68" t="s">
        <v>19</v>
      </c>
      <c r="I488" s="68" t="s">
        <v>19</v>
      </c>
      <c r="J488" s="68" t="s">
        <v>19</v>
      </c>
      <c r="K488" s="68" t="s">
        <v>19</v>
      </c>
      <c r="M488" s="715"/>
      <c r="N488" s="70"/>
      <c r="O488" s="715"/>
      <c r="P488" s="715"/>
      <c r="Q488" s="715"/>
      <c r="R488" s="715"/>
    </row>
    <row r="489" spans="2:18" ht="7.5" customHeight="1">
      <c r="B489" s="64"/>
      <c r="C489" s="137"/>
      <c r="D489" s="2"/>
      <c r="E489" s="2"/>
      <c r="F489" s="2"/>
      <c r="G489" s="2"/>
      <c r="H489" s="2"/>
      <c r="I489" s="2"/>
      <c r="J489" s="2"/>
      <c r="K489" s="2"/>
      <c r="M489" s="715"/>
      <c r="N489" s="715"/>
      <c r="O489" s="715"/>
      <c r="P489" s="715"/>
      <c r="Q489" s="715"/>
      <c r="R489" s="715"/>
    </row>
    <row r="490" spans="2:18">
      <c r="B490" s="128" t="s">
        <v>764</v>
      </c>
      <c r="C490" s="2"/>
      <c r="D490" s="2"/>
      <c r="E490" s="2"/>
      <c r="F490" s="2"/>
      <c r="G490" s="2"/>
      <c r="H490" s="2"/>
      <c r="I490" s="2"/>
      <c r="J490" s="2"/>
      <c r="K490" s="2"/>
      <c r="M490" s="715"/>
      <c r="N490" s="715"/>
      <c r="O490" s="715"/>
      <c r="P490" s="715"/>
      <c r="Q490" s="715"/>
      <c r="R490" s="715"/>
    </row>
    <row r="491" spans="2:18" ht="20.100000000000001" customHeight="1">
      <c r="B491" s="438" t="s">
        <v>769</v>
      </c>
      <c r="C491" s="2">
        <f>SUM('Budget Detail FY 2014-21'!L777:L780)</f>
        <v>299478</v>
      </c>
      <c r="D491" s="2">
        <f>SUM('Budget Detail FY 2014-21'!M777:M780)</f>
        <v>352714</v>
      </c>
      <c r="E491" s="2">
        <f>SUM('Budget Detail FY 2014-21'!N777:N780)</f>
        <v>325000</v>
      </c>
      <c r="F491" s="2">
        <f>SUM('Budget Detail FY 2014-21'!O777:O780)</f>
        <v>351000</v>
      </c>
      <c r="G491" s="2">
        <f>SUM('Budget Detail FY 2014-21'!P777:P780)</f>
        <v>355000</v>
      </c>
      <c r="H491" s="2">
        <f>SUM('Budget Detail FY 2014-21'!Q777:Q780)</f>
        <v>355000</v>
      </c>
      <c r="I491" s="2">
        <f>SUM('Budget Detail FY 2014-21'!R777:R780)</f>
        <v>355000</v>
      </c>
      <c r="J491" s="2">
        <f>SUM('Budget Detail FY 2014-21'!S777:S780)</f>
        <v>355000</v>
      </c>
      <c r="K491" s="2">
        <f>SUM('Budget Detail FY 2014-21'!T777:T780)</f>
        <v>355000</v>
      </c>
      <c r="M491" s="722"/>
      <c r="N491" s="718"/>
      <c r="O491" s="723"/>
      <c r="P491" s="715"/>
      <c r="Q491" s="715"/>
      <c r="R491" s="715"/>
    </row>
    <row r="492" spans="2:18" ht="20.100000000000001" customHeight="1">
      <c r="B492" s="438" t="s">
        <v>770</v>
      </c>
      <c r="C492" s="2">
        <f>'Budget Detail FY 2014-21'!L781</f>
        <v>382</v>
      </c>
      <c r="D492" s="2">
        <f>'Budget Detail FY 2014-21'!M781</f>
        <v>698</v>
      </c>
      <c r="E492" s="2">
        <f>'Budget Detail FY 2014-21'!N781</f>
        <v>400</v>
      </c>
      <c r="F492" s="2">
        <f>'Budget Detail FY 2014-21'!O781</f>
        <v>375</v>
      </c>
      <c r="G492" s="2">
        <f>'Budget Detail FY 2014-21'!P781</f>
        <v>350</v>
      </c>
      <c r="H492" s="2">
        <f>'Budget Detail FY 2014-21'!Q781</f>
        <v>350</v>
      </c>
      <c r="I492" s="2">
        <f>'Budget Detail FY 2014-21'!R781</f>
        <v>350</v>
      </c>
      <c r="J492" s="2">
        <f>'Budget Detail FY 2014-21'!S781</f>
        <v>350</v>
      </c>
      <c r="K492" s="2">
        <f>'Budget Detail FY 2014-21'!T781</f>
        <v>350</v>
      </c>
      <c r="M492" s="722"/>
      <c r="N492" s="718"/>
      <c r="O492" s="723"/>
      <c r="P492" s="715"/>
      <c r="Q492" s="715"/>
      <c r="R492" s="715"/>
    </row>
    <row r="493" spans="2:18" ht="20.100000000000001" customHeight="1">
      <c r="B493" s="438" t="s">
        <v>771</v>
      </c>
      <c r="C493" s="2">
        <f>SUM('Budget Detail FY 2014-21'!L782:L782)</f>
        <v>35728</v>
      </c>
      <c r="D493" s="2">
        <f>SUM('Budget Detail FY 2014-21'!M782:M782)</f>
        <v>7502</v>
      </c>
      <c r="E493" s="2">
        <f>SUM('Budget Detail FY 2014-21'!N782:N782)</f>
        <v>0</v>
      </c>
      <c r="F493" s="2">
        <f>SUM('Budget Detail FY 2014-21'!O782:O782)</f>
        <v>0</v>
      </c>
      <c r="G493" s="2">
        <f>SUM('Budget Detail FY 2014-21'!P782:P782)</f>
        <v>0</v>
      </c>
      <c r="H493" s="2">
        <f>SUM('Budget Detail FY 2014-21'!Q782:Q782)</f>
        <v>0</v>
      </c>
      <c r="I493" s="2">
        <f>SUM('Budget Detail FY 2014-21'!R782:R782)</f>
        <v>0</v>
      </c>
      <c r="J493" s="2">
        <f>SUM('Budget Detail FY 2014-21'!S782:S782)</f>
        <v>0</v>
      </c>
      <c r="K493" s="2">
        <f>SUM('Budget Detail FY 2014-21'!T782:T782)</f>
        <v>0</v>
      </c>
      <c r="M493" s="722"/>
      <c r="N493" s="718"/>
      <c r="O493" s="723"/>
      <c r="P493" s="715"/>
      <c r="Q493" s="715"/>
      <c r="R493" s="715"/>
    </row>
    <row r="494" spans="2:18" ht="20.100000000000001" customHeight="1">
      <c r="B494" s="438" t="s">
        <v>772</v>
      </c>
      <c r="C494" s="2">
        <f>SUM('Budget Detail FY 2014-21'!L783:L787)</f>
        <v>188824</v>
      </c>
      <c r="D494" s="2">
        <f>SUM('Budget Detail FY 2014-21'!M783:M787)</f>
        <v>177755</v>
      </c>
      <c r="E494" s="2">
        <f>SUM('Budget Detail FY 2014-21'!N783:N787)</f>
        <v>181000</v>
      </c>
      <c r="F494" s="2">
        <f>SUM('Budget Detail FY 2014-21'!O783:O787)</f>
        <v>191000</v>
      </c>
      <c r="G494" s="2">
        <f>SUM('Budget Detail FY 2014-21'!P783:P787)</f>
        <v>181000</v>
      </c>
      <c r="H494" s="2">
        <f>SUM('Budget Detail FY 2014-21'!Q783:Q787)</f>
        <v>181000</v>
      </c>
      <c r="I494" s="2">
        <f>SUM('Budget Detail FY 2014-21'!R783:R787)</f>
        <v>181000</v>
      </c>
      <c r="J494" s="2">
        <f>SUM('Budget Detail FY 2014-21'!S783:S787)</f>
        <v>181000</v>
      </c>
      <c r="K494" s="2">
        <f>SUM('Budget Detail FY 2014-21'!T783:T787)</f>
        <v>181000</v>
      </c>
      <c r="M494" s="722"/>
      <c r="N494" s="721"/>
      <c r="O494" s="724"/>
      <c r="P494" s="715"/>
      <c r="Q494" s="715"/>
      <c r="R494" s="715"/>
    </row>
    <row r="495" spans="2:18" ht="20.100000000000001" customHeight="1">
      <c r="B495" s="438" t="s">
        <v>773</v>
      </c>
      <c r="C495" s="2">
        <f>'Budget Detail FY 2014-21'!L788</f>
        <v>1765504</v>
      </c>
      <c r="D495" s="2">
        <f>'Budget Detail FY 2014-21'!M788</f>
        <v>1277606</v>
      </c>
      <c r="E495" s="2">
        <f>'Budget Detail FY 2014-21'!N788</f>
        <v>1076831</v>
      </c>
      <c r="F495" s="2">
        <f>'Budget Detail FY 2014-21'!O788</f>
        <v>1076831</v>
      </c>
      <c r="G495" s="2">
        <f>'Budget Detail FY 2014-21'!P788</f>
        <v>1118638</v>
      </c>
      <c r="H495" s="2">
        <f>'Budget Detail FY 2014-21'!Q788</f>
        <v>1311784</v>
      </c>
      <c r="I495" s="2">
        <f>'Budget Detail FY 2014-21'!R788</f>
        <v>1365172</v>
      </c>
      <c r="J495" s="2">
        <f>'Budget Detail FY 2014-21'!S788</f>
        <v>1420789</v>
      </c>
      <c r="K495" s="2">
        <f>'Budget Detail FY 2014-21'!T788</f>
        <v>1479455</v>
      </c>
      <c r="M495" s="715"/>
      <c r="N495" s="718"/>
      <c r="O495" s="723"/>
      <c r="P495" s="715"/>
      <c r="Q495" s="715"/>
      <c r="R495" s="715"/>
    </row>
    <row r="496" spans="2:18" ht="20.100000000000001" customHeight="1" thickBot="1">
      <c r="B496" s="127" t="s">
        <v>774</v>
      </c>
      <c r="C496" s="124">
        <f>SUM(C491:C495)</f>
        <v>2289916</v>
      </c>
      <c r="D496" s="124">
        <f t="shared" ref="D496:K496" si="41">SUM(D491:D495)</f>
        <v>1816275</v>
      </c>
      <c r="E496" s="124">
        <f t="shared" si="41"/>
        <v>1583231</v>
      </c>
      <c r="F496" s="124">
        <f t="shared" si="41"/>
        <v>1619206</v>
      </c>
      <c r="G496" s="124">
        <f t="shared" si="41"/>
        <v>1654988</v>
      </c>
      <c r="H496" s="124">
        <f t="shared" si="41"/>
        <v>1848134</v>
      </c>
      <c r="I496" s="124">
        <f t="shared" si="41"/>
        <v>1901522</v>
      </c>
      <c r="J496" s="124">
        <f t="shared" si="41"/>
        <v>1957139</v>
      </c>
      <c r="K496" s="124">
        <f t="shared" si="41"/>
        <v>2015805</v>
      </c>
      <c r="M496" s="715"/>
      <c r="N496" s="718"/>
      <c r="O496" s="715"/>
      <c r="P496" s="715"/>
      <c r="Q496" s="715"/>
      <c r="R496" s="715"/>
    </row>
    <row r="497" spans="2:18" ht="7.5" customHeight="1">
      <c r="B497" s="1"/>
      <c r="C497" s="2"/>
      <c r="D497" s="2"/>
      <c r="E497" s="2"/>
      <c r="F497" s="2"/>
      <c r="G497" s="2"/>
      <c r="H497" s="2"/>
      <c r="I497" s="2"/>
      <c r="J497" s="2"/>
      <c r="K497" s="2"/>
      <c r="M497" s="715"/>
      <c r="N497" s="715"/>
      <c r="O497" s="715"/>
      <c r="P497" s="715"/>
      <c r="Q497" s="715"/>
      <c r="R497" s="715"/>
    </row>
    <row r="498" spans="2:18">
      <c r="B498" s="128" t="s">
        <v>548</v>
      </c>
      <c r="C498" s="2"/>
      <c r="D498" s="2"/>
      <c r="E498" s="2"/>
      <c r="F498" s="2"/>
      <c r="G498" s="2"/>
      <c r="H498" s="2"/>
      <c r="I498" s="2"/>
      <c r="J498" s="2"/>
      <c r="K498" s="2"/>
      <c r="M498" s="715"/>
      <c r="N498" s="715"/>
      <c r="O498" s="715"/>
      <c r="P498" s="715"/>
      <c r="Q498" s="715"/>
      <c r="R498" s="715"/>
    </row>
    <row r="499" spans="2:18" ht="20.100000000000001" customHeight="1">
      <c r="B499" s="439" t="s">
        <v>775</v>
      </c>
      <c r="C499" s="2">
        <f>SUM('Budget Detail FY 2014-21'!L793:L795)+SUM('Budget Detail FY 2014-21'!L820:L824)</f>
        <v>708142</v>
      </c>
      <c r="D499" s="2">
        <f>SUM('Budget Detail FY 2014-21'!M793:M795)+SUM('Budget Detail FY 2014-21'!M820:M824)</f>
        <v>775138</v>
      </c>
      <c r="E499" s="2">
        <f>SUM('Budget Detail FY 2014-21'!N793:N795)+SUM('Budget Detail FY 2014-21'!N820:N824)</f>
        <v>863462</v>
      </c>
      <c r="F499" s="2">
        <f>SUM('Budget Detail FY 2014-21'!O793:O795)+SUM('Budget Detail FY 2014-21'!O820:O824)</f>
        <v>863462</v>
      </c>
      <c r="G499" s="2">
        <f>SUM('Budget Detail FY 2014-21'!P793:P795)+SUM('Budget Detail FY 2014-21'!P820:P824)</f>
        <v>816544</v>
      </c>
      <c r="H499" s="2">
        <f>SUM('Budget Detail FY 2014-21'!Q793:Q795)+SUM('Budget Detail FY 2014-21'!Q820:Q824)</f>
        <v>839601</v>
      </c>
      <c r="I499" s="2">
        <f>SUM('Budget Detail FY 2014-21'!R793:R795)+SUM('Budget Detail FY 2014-21'!R820:R824)</f>
        <v>860416</v>
      </c>
      <c r="J499" s="2">
        <f>SUM('Budget Detail FY 2014-21'!S793:S795)+SUM('Budget Detail FY 2014-21'!S820:S824)</f>
        <v>881852</v>
      </c>
      <c r="K499" s="2">
        <f>SUM('Budget Detail FY 2014-21'!T793:T795)+SUM('Budget Detail FY 2014-21'!T820:T824)</f>
        <v>903926</v>
      </c>
      <c r="M499" s="440"/>
      <c r="N499" s="718"/>
      <c r="O499" s="723"/>
      <c r="P499" s="715"/>
      <c r="Q499" s="715"/>
      <c r="R499" s="715"/>
    </row>
    <row r="500" spans="2:18" ht="20.100000000000001" customHeight="1">
      <c r="B500" s="439" t="s">
        <v>776</v>
      </c>
      <c r="C500" s="2">
        <f>SUM('Budget Detail FY 2014-21'!L796:L801)+SUM('Budget Detail FY 2014-21'!L825:L830)</f>
        <v>312171</v>
      </c>
      <c r="D500" s="2">
        <f>SUM('Budget Detail FY 2014-21'!M796:M801)+SUM('Budget Detail FY 2014-21'!M825:M830)</f>
        <v>338380</v>
      </c>
      <c r="E500" s="2">
        <f>SUM('Budget Detail FY 2014-21'!N796:N801)+SUM('Budget Detail FY 2014-21'!N825:N830)</f>
        <v>382912</v>
      </c>
      <c r="F500" s="2">
        <f>SUM('Budget Detail FY 2014-21'!O796:O801)+SUM('Budget Detail FY 2014-21'!O825:O830)</f>
        <v>342752</v>
      </c>
      <c r="G500" s="2">
        <f>SUM('Budget Detail FY 2014-21'!P796:P801)+SUM('Budget Detail FY 2014-21'!P825:P830)</f>
        <v>385075</v>
      </c>
      <c r="H500" s="2">
        <f>SUM('Budget Detail FY 2014-21'!Q796:Q801)+SUM('Budget Detail FY 2014-21'!Q825:Q830)</f>
        <v>408580</v>
      </c>
      <c r="I500" s="2">
        <f>SUM('Budget Detail FY 2014-21'!R796:R801)+SUM('Budget Detail FY 2014-21'!R825:R830)</f>
        <v>436702</v>
      </c>
      <c r="J500" s="2">
        <f>SUM('Budget Detail FY 2014-21'!S796:S801)+SUM('Budget Detail FY 2014-21'!S825:S830)</f>
        <v>466914</v>
      </c>
      <c r="K500" s="2">
        <f>SUM('Budget Detail FY 2014-21'!T796:T801)+SUM('Budget Detail FY 2014-21'!T825:T830)</f>
        <v>499292</v>
      </c>
      <c r="M500" s="440"/>
      <c r="N500" s="718"/>
      <c r="O500" s="723"/>
      <c r="P500" s="715"/>
      <c r="Q500" s="715"/>
      <c r="R500" s="715"/>
    </row>
    <row r="501" spans="2:18" ht="20.100000000000001" customHeight="1">
      <c r="B501" s="439" t="s">
        <v>777</v>
      </c>
      <c r="C501" s="2">
        <f>SUM('Budget Detail FY 2014-21'!L802:L809)+SUM('Budget Detail FY 2014-21'!L831:L843)</f>
        <v>217004</v>
      </c>
      <c r="D501" s="2">
        <f>SUM('Budget Detail FY 2014-21'!M802:M809)+SUM('Budget Detail FY 2014-21'!M831:M843)</f>
        <v>374840</v>
      </c>
      <c r="E501" s="2">
        <f>SUM('Budget Detail FY 2014-21'!N802:N809)+SUM('Budget Detail FY 2014-21'!N831:N843)</f>
        <v>234780</v>
      </c>
      <c r="F501" s="2">
        <f>SUM('Budget Detail FY 2014-21'!O802:O809)+SUM('Budget Detail FY 2014-21'!O831:O843)</f>
        <v>239780</v>
      </c>
      <c r="G501" s="2">
        <f>SUM('Budget Detail FY 2014-21'!P802:P809)+SUM('Budget Detail FY 2014-21'!P831:P843)</f>
        <v>260710</v>
      </c>
      <c r="H501" s="2">
        <f>SUM('Budget Detail FY 2014-21'!Q802:Q809)+SUM('Budget Detail FY 2014-21'!Q831:Q843)</f>
        <v>261982</v>
      </c>
      <c r="I501" s="2">
        <f>SUM('Budget Detail FY 2014-21'!R802:R809)+SUM('Budget Detail FY 2014-21'!R831:R843)</f>
        <v>263330</v>
      </c>
      <c r="J501" s="2">
        <f>SUM('Budget Detail FY 2014-21'!S802:S809)+SUM('Budget Detail FY 2014-21'!S831:S843)</f>
        <v>264759</v>
      </c>
      <c r="K501" s="2">
        <f>SUM('Budget Detail FY 2014-21'!T802:T809)+SUM('Budget Detail FY 2014-21'!T831:T843)</f>
        <v>266274</v>
      </c>
      <c r="M501" s="440"/>
      <c r="N501" s="718"/>
      <c r="O501" s="723"/>
      <c r="P501" s="715"/>
      <c r="Q501" s="715"/>
      <c r="R501" s="715"/>
    </row>
    <row r="502" spans="2:18" ht="20.100000000000001" customHeight="1">
      <c r="B502" s="439" t="s">
        <v>778</v>
      </c>
      <c r="C502" s="2">
        <f>SUM('Budget Detail FY 2014-21'!L810:L816)+SUM('Budget Detail FY 2014-21'!L844:L852)</f>
        <v>337444</v>
      </c>
      <c r="D502" s="2">
        <f>SUM('Budget Detail FY 2014-21'!M810:M816)+SUM('Budget Detail FY 2014-21'!M844:M852)</f>
        <v>316864</v>
      </c>
      <c r="E502" s="2">
        <f>SUM('Budget Detail FY 2014-21'!N810:N816)+SUM('Budget Detail FY 2014-21'!N844:N852)</f>
        <v>314486</v>
      </c>
      <c r="F502" s="2">
        <f>SUM('Budget Detail FY 2014-21'!O810:O816)+SUM('Budget Detail FY 2014-21'!O844:O852)</f>
        <v>319486</v>
      </c>
      <c r="G502" s="2">
        <f>SUM('Budget Detail FY 2014-21'!P810:P816)+SUM('Budget Detail FY 2014-21'!P844:P852)</f>
        <v>334666</v>
      </c>
      <c r="H502" s="2">
        <f>SUM('Budget Detail FY 2014-21'!Q810:Q816)+SUM('Budget Detail FY 2014-21'!Q844:Q852)</f>
        <v>331513</v>
      </c>
      <c r="I502" s="2">
        <f>SUM('Budget Detail FY 2014-21'!R810:R816)+SUM('Budget Detail FY 2014-21'!R844:R852)</f>
        <v>333484</v>
      </c>
      <c r="J502" s="2">
        <f>SUM('Budget Detail FY 2014-21'!S810:S816)+SUM('Budget Detail FY 2014-21'!S844:S852)</f>
        <v>335588</v>
      </c>
      <c r="K502" s="2">
        <f>SUM('Budget Detail FY 2014-21'!T810:T816)+SUM('Budget Detail FY 2014-21'!T844:T852)</f>
        <v>337833</v>
      </c>
      <c r="M502" s="440"/>
      <c r="N502" s="721"/>
      <c r="O502" s="724"/>
      <c r="P502" s="715"/>
      <c r="Q502" s="715"/>
      <c r="R502" s="715"/>
    </row>
    <row r="503" spans="2:18" ht="20.100000000000001" customHeight="1">
      <c r="B503" s="440" t="s">
        <v>781</v>
      </c>
      <c r="C503" s="2">
        <f>'Budget Detail FY 2014-21'!L853</f>
        <v>489043</v>
      </c>
      <c r="D503" s="2">
        <f>'Budget Detail FY 2014-21'!M853</f>
        <v>0</v>
      </c>
      <c r="E503" s="2">
        <f>'Budget Detail FY 2014-21'!N853</f>
        <v>0</v>
      </c>
      <c r="F503" s="2">
        <f>'Budget Detail FY 2014-21'!O853</f>
        <v>0</v>
      </c>
      <c r="G503" s="2">
        <f>'Budget Detail FY 2014-21'!P853</f>
        <v>0</v>
      </c>
      <c r="H503" s="2">
        <f>'Budget Detail FY 2014-21'!Q853</f>
        <v>0</v>
      </c>
      <c r="I503" s="2">
        <f>'Budget Detail FY 2014-21'!R853</f>
        <v>0</v>
      </c>
      <c r="J503" s="2">
        <f>'Budget Detail FY 2014-21'!S853</f>
        <v>0</v>
      </c>
      <c r="K503" s="2">
        <f>'Budget Detail FY 2014-21'!T853</f>
        <v>0</v>
      </c>
      <c r="M503" s="440"/>
      <c r="N503" s="718"/>
      <c r="O503" s="723"/>
      <c r="P503" s="715"/>
      <c r="Q503" s="715"/>
      <c r="R503" s="715"/>
    </row>
    <row r="504" spans="2:18" ht="20.100000000000001" customHeight="1" thickBot="1">
      <c r="B504" s="127" t="s">
        <v>782</v>
      </c>
      <c r="C504" s="124">
        <f>SUM(C499:C503)</f>
        <v>2063804</v>
      </c>
      <c r="D504" s="124">
        <f t="shared" ref="D504:K504" si="42">SUM(D499:D503)</f>
        <v>1805222</v>
      </c>
      <c r="E504" s="124">
        <f t="shared" si="42"/>
        <v>1795640</v>
      </c>
      <c r="F504" s="124">
        <f t="shared" si="42"/>
        <v>1765480</v>
      </c>
      <c r="G504" s="124">
        <f t="shared" si="42"/>
        <v>1796995</v>
      </c>
      <c r="H504" s="124">
        <f t="shared" si="42"/>
        <v>1841676</v>
      </c>
      <c r="I504" s="124">
        <f t="shared" si="42"/>
        <v>1893932</v>
      </c>
      <c r="J504" s="124">
        <f t="shared" si="42"/>
        <v>1949113</v>
      </c>
      <c r="K504" s="124">
        <f t="shared" si="42"/>
        <v>2007325</v>
      </c>
      <c r="M504" s="715"/>
      <c r="N504" s="718"/>
      <c r="O504" s="715"/>
      <c r="P504" s="715"/>
      <c r="Q504" s="715"/>
      <c r="R504" s="715"/>
    </row>
    <row r="505" spans="2:18" ht="7.5" customHeight="1">
      <c r="B505" s="130"/>
      <c r="C505" s="3"/>
      <c r="D505" s="2"/>
      <c r="E505" s="2"/>
      <c r="F505" s="2"/>
      <c r="G505" s="2"/>
      <c r="H505" s="2"/>
      <c r="I505" s="2"/>
      <c r="J505" s="2"/>
      <c r="K505" s="2"/>
      <c r="M505" s="715"/>
      <c r="N505" s="715"/>
      <c r="O505" s="715"/>
      <c r="P505" s="715"/>
      <c r="Q505" s="715"/>
      <c r="R505" s="715"/>
    </row>
    <row r="506" spans="2:18" ht="20.100000000000001" customHeight="1">
      <c r="B506" s="441" t="s">
        <v>783</v>
      </c>
      <c r="C506" s="3">
        <f t="shared" ref="C506:K506" si="43">+C496-C504</f>
        <v>226112</v>
      </c>
      <c r="D506" s="3">
        <f t="shared" si="43"/>
        <v>11053</v>
      </c>
      <c r="E506" s="3">
        <f t="shared" si="43"/>
        <v>-212409</v>
      </c>
      <c r="F506" s="3">
        <f t="shared" si="43"/>
        <v>-146274</v>
      </c>
      <c r="G506" s="3">
        <f t="shared" si="43"/>
        <v>-142007</v>
      </c>
      <c r="H506" s="3">
        <f t="shared" si="43"/>
        <v>6458</v>
      </c>
      <c r="I506" s="3">
        <f t="shared" si="43"/>
        <v>7590</v>
      </c>
      <c r="J506" s="3">
        <f t="shared" si="43"/>
        <v>8026</v>
      </c>
      <c r="K506" s="3">
        <f t="shared" si="43"/>
        <v>8480</v>
      </c>
      <c r="M506" s="715"/>
      <c r="N506" s="715"/>
      <c r="O506" s="715"/>
      <c r="P506" s="715"/>
      <c r="Q506" s="715"/>
      <c r="R506" s="715"/>
    </row>
    <row r="507" spans="2:18" ht="7.5" customHeight="1">
      <c r="B507" s="131"/>
      <c r="C507" s="3"/>
      <c r="D507" s="2"/>
      <c r="E507" s="2"/>
      <c r="F507" s="2"/>
      <c r="G507" s="2"/>
      <c r="H507" s="2"/>
      <c r="I507" s="2"/>
      <c r="J507" s="2"/>
      <c r="K507" s="2"/>
      <c r="M507" s="715"/>
      <c r="N507" s="715"/>
      <c r="O507" s="715"/>
      <c r="P507" s="715"/>
      <c r="Q507" s="715"/>
      <c r="R507" s="715"/>
    </row>
    <row r="508" spans="2:18" ht="20.100000000000001" customHeight="1" thickBot="1">
      <c r="B508" s="126" t="s">
        <v>784</v>
      </c>
      <c r="C508" s="81">
        <v>546485</v>
      </c>
      <c r="D508" s="81">
        <v>557536</v>
      </c>
      <c r="E508" s="81">
        <v>269391</v>
      </c>
      <c r="F508" s="81">
        <f>D508+F506</f>
        <v>411262</v>
      </c>
      <c r="G508" s="81">
        <f>F508+G506</f>
        <v>269255</v>
      </c>
      <c r="H508" s="81">
        <f>G508+H506</f>
        <v>275713</v>
      </c>
      <c r="I508" s="81">
        <f>H508+I506</f>
        <v>283303</v>
      </c>
      <c r="J508" s="81">
        <f>I508+J506</f>
        <v>291329</v>
      </c>
      <c r="K508" s="81">
        <f>J508+K506</f>
        <v>299809</v>
      </c>
    </row>
    <row r="509" spans="2:18" ht="15.75" thickTop="1">
      <c r="B509" s="132"/>
      <c r="C509" s="133">
        <f t="shared" ref="C509:K509" si="44">+C508/C504</f>
        <v>0.26479500960362518</v>
      </c>
      <c r="D509" s="133">
        <f t="shared" si="44"/>
        <v>0.30884622500722902</v>
      </c>
      <c r="E509" s="133">
        <f t="shared" si="44"/>
        <v>0.15002506070259072</v>
      </c>
      <c r="F509" s="133">
        <f t="shared" si="44"/>
        <v>0.2329462808981127</v>
      </c>
      <c r="G509" s="133">
        <f t="shared" si="44"/>
        <v>0.14983625441361828</v>
      </c>
      <c r="H509" s="133">
        <f t="shared" si="44"/>
        <v>0.14970765759015159</v>
      </c>
      <c r="I509" s="133">
        <f t="shared" si="44"/>
        <v>0.14958456797815339</v>
      </c>
      <c r="J509" s="133">
        <f t="shared" si="44"/>
        <v>0.14946747571844218</v>
      </c>
      <c r="K509" s="133">
        <f t="shared" si="44"/>
        <v>0.14935747823596079</v>
      </c>
    </row>
    <row r="510" spans="2:18">
      <c r="B510" s="132"/>
      <c r="C510" s="133"/>
      <c r="D510" s="133"/>
      <c r="E510" s="133"/>
      <c r="F510" s="133"/>
      <c r="G510" s="133"/>
      <c r="H510" s="133"/>
      <c r="I510" s="133"/>
      <c r="J510" s="133"/>
      <c r="K510" s="133"/>
    </row>
    <row r="511" spans="2:18" ht="7.5" customHeight="1">
      <c r="B511" s="132"/>
      <c r="C511" s="2"/>
      <c r="D511" s="2"/>
      <c r="E511" s="2"/>
      <c r="F511" s="2"/>
      <c r="G511" s="2"/>
      <c r="H511" s="2"/>
      <c r="I511" s="2"/>
      <c r="J511" s="2"/>
      <c r="K511" s="2"/>
    </row>
    <row r="512" spans="2:18">
      <c r="B512" s="1"/>
      <c r="C512" s="2"/>
      <c r="D512" s="2"/>
      <c r="E512" s="2"/>
      <c r="F512" s="2"/>
      <c r="G512" s="2"/>
      <c r="H512" s="2"/>
      <c r="I512" s="2"/>
      <c r="J512" s="2"/>
      <c r="K512" s="2"/>
    </row>
    <row r="513" spans="2:11">
      <c r="B513" s="1"/>
      <c r="C513" s="2"/>
      <c r="D513" s="2"/>
      <c r="E513" s="2"/>
      <c r="F513" s="2"/>
      <c r="G513" s="2"/>
      <c r="H513" s="2"/>
      <c r="I513" s="2"/>
      <c r="J513" s="2"/>
      <c r="K513" s="2"/>
    </row>
    <row r="514" spans="2:11">
      <c r="B514" s="1"/>
      <c r="C514" s="2"/>
      <c r="D514" s="2"/>
      <c r="E514" s="2"/>
      <c r="F514" s="2"/>
      <c r="G514" s="2"/>
      <c r="H514" s="2"/>
      <c r="I514" s="2"/>
      <c r="J514" s="2"/>
      <c r="K514" s="2"/>
    </row>
    <row r="515" spans="2:11">
      <c r="B515" s="1"/>
      <c r="C515" s="2"/>
      <c r="D515" s="2"/>
      <c r="E515" s="2"/>
      <c r="F515" s="2"/>
      <c r="G515" s="2"/>
      <c r="H515" s="2"/>
      <c r="I515" s="2"/>
      <c r="J515" s="2"/>
      <c r="K515" s="2"/>
    </row>
    <row r="516" spans="2:11">
      <c r="B516" s="1"/>
      <c r="C516" s="2"/>
      <c r="D516" s="2"/>
      <c r="E516" s="2"/>
      <c r="F516" s="2"/>
      <c r="G516" s="2"/>
      <c r="H516" s="2"/>
      <c r="I516" s="2"/>
      <c r="J516" s="2"/>
      <c r="K516" s="2"/>
    </row>
    <row r="517" spans="2:11">
      <c r="B517" s="1"/>
      <c r="C517" s="2"/>
      <c r="D517" s="2"/>
      <c r="E517" s="2"/>
      <c r="F517" s="2"/>
      <c r="G517" s="2"/>
      <c r="H517" s="2"/>
      <c r="I517" s="2"/>
      <c r="J517" s="2"/>
      <c r="K517" s="2"/>
    </row>
    <row r="518" spans="2:11">
      <c r="B518" s="1"/>
      <c r="C518" s="2"/>
      <c r="D518" s="2"/>
      <c r="E518" s="2"/>
      <c r="F518" s="2"/>
      <c r="G518" s="2"/>
      <c r="H518" s="2"/>
      <c r="I518" s="2"/>
      <c r="J518" s="2"/>
      <c r="K518" s="2"/>
    </row>
    <row r="519" spans="2:11">
      <c r="B519" s="1"/>
      <c r="C519" s="2"/>
      <c r="D519" s="2"/>
      <c r="E519" s="2"/>
      <c r="F519" s="2"/>
      <c r="G519" s="2"/>
      <c r="H519" s="2"/>
      <c r="I519" s="2"/>
      <c r="J519" s="2"/>
      <c r="K519" s="2"/>
    </row>
    <row r="520" spans="2:11">
      <c r="B520" s="1"/>
      <c r="C520" s="2"/>
      <c r="D520" s="2"/>
      <c r="E520" s="2"/>
      <c r="F520" s="2"/>
      <c r="G520" s="2"/>
      <c r="H520" s="2"/>
      <c r="I520" s="2"/>
      <c r="J520" s="2"/>
      <c r="K520" s="2"/>
    </row>
    <row r="521" spans="2:11">
      <c r="B521" s="1"/>
      <c r="C521" s="2"/>
      <c r="D521" s="2"/>
      <c r="E521" s="2"/>
      <c r="F521" s="2"/>
      <c r="G521" s="2"/>
      <c r="H521" s="2"/>
      <c r="I521" s="2"/>
      <c r="J521" s="2"/>
      <c r="K521" s="2"/>
    </row>
    <row r="522" spans="2:11">
      <c r="B522" s="1"/>
      <c r="C522" s="2"/>
      <c r="D522" s="2"/>
      <c r="E522" s="2"/>
      <c r="F522" s="2"/>
      <c r="G522" s="2"/>
      <c r="H522" s="2"/>
      <c r="I522" s="2"/>
      <c r="J522" s="2"/>
      <c r="K522" s="2"/>
    </row>
    <row r="525" spans="2:11" ht="18.75" customHeight="1">
      <c r="B525" s="764" t="s">
        <v>805</v>
      </c>
      <c r="C525" s="764"/>
      <c r="D525" s="764"/>
      <c r="E525" s="764"/>
      <c r="F525" s="764"/>
      <c r="G525" s="764"/>
      <c r="H525" s="764"/>
      <c r="I525" s="764"/>
      <c r="J525" s="764"/>
      <c r="K525" s="764"/>
    </row>
    <row r="526" spans="2:11">
      <c r="B526" s="65"/>
      <c r="C526" s="3"/>
      <c r="D526" s="2"/>
      <c r="E526" s="2"/>
      <c r="F526" s="2"/>
      <c r="G526" s="2"/>
      <c r="H526" s="2"/>
      <c r="I526" s="2"/>
      <c r="J526" s="2"/>
      <c r="K526" s="2"/>
    </row>
    <row r="527" spans="2:11" ht="12.75" customHeight="1">
      <c r="B527" s="761" t="s">
        <v>1195</v>
      </c>
      <c r="C527" s="761"/>
      <c r="D527" s="761"/>
      <c r="E527" s="761"/>
      <c r="F527" s="761"/>
      <c r="G527" s="761"/>
      <c r="H527" s="761"/>
      <c r="I527" s="761"/>
      <c r="J527" s="761"/>
      <c r="K527" s="761"/>
    </row>
    <row r="528" spans="2:11" ht="12.75" customHeight="1">
      <c r="B528" s="761"/>
      <c r="C528" s="761"/>
      <c r="D528" s="761"/>
      <c r="E528" s="761"/>
      <c r="F528" s="761"/>
      <c r="G528" s="761"/>
      <c r="H528" s="761"/>
      <c r="I528" s="761"/>
      <c r="J528" s="761"/>
      <c r="K528" s="761"/>
    </row>
    <row r="529" spans="2:11" ht="12.75" customHeight="1">
      <c r="B529" s="761"/>
      <c r="C529" s="761"/>
      <c r="D529" s="761"/>
      <c r="E529" s="761"/>
      <c r="F529" s="761"/>
      <c r="G529" s="761"/>
      <c r="H529" s="761"/>
      <c r="I529" s="761"/>
      <c r="J529" s="761"/>
      <c r="K529" s="761"/>
    </row>
    <row r="530" spans="2:11" ht="7.5" customHeight="1">
      <c r="B530" s="481"/>
      <c r="C530" s="22"/>
      <c r="D530" s="22"/>
      <c r="E530" s="22"/>
      <c r="F530" s="22"/>
      <c r="G530" s="22"/>
      <c r="H530" s="2"/>
      <c r="I530" s="2"/>
      <c r="J530" s="2"/>
      <c r="K530" s="2"/>
    </row>
    <row r="531" spans="2:11">
      <c r="B531" s="5"/>
      <c r="C531" s="65"/>
      <c r="D531" s="66"/>
      <c r="E531" s="65" t="s">
        <v>257</v>
      </c>
      <c r="F531" s="1"/>
      <c r="G531" s="1"/>
      <c r="H531" s="1"/>
      <c r="I531" s="1"/>
      <c r="J531" s="1"/>
      <c r="K531" s="1"/>
    </row>
    <row r="532" spans="2:11">
      <c r="B532" s="66"/>
      <c r="C532" s="65" t="s">
        <v>249</v>
      </c>
      <c r="D532" s="49" t="s">
        <v>256</v>
      </c>
      <c r="E532" s="66" t="s">
        <v>763</v>
      </c>
      <c r="F532" s="66" t="s">
        <v>257</v>
      </c>
      <c r="G532" s="66" t="s">
        <v>258</v>
      </c>
      <c r="H532" s="66" t="s">
        <v>926</v>
      </c>
      <c r="I532" s="66" t="s">
        <v>1026</v>
      </c>
      <c r="J532" s="66" t="s">
        <v>1060</v>
      </c>
      <c r="K532" s="66" t="s">
        <v>1061</v>
      </c>
    </row>
    <row r="533" spans="2:11" ht="15.75" thickBot="1">
      <c r="B533" s="136"/>
      <c r="C533" s="68" t="s">
        <v>1</v>
      </c>
      <c r="D533" s="68" t="s">
        <v>1</v>
      </c>
      <c r="E533" s="68" t="s">
        <v>720</v>
      </c>
      <c r="F533" s="68" t="s">
        <v>19</v>
      </c>
      <c r="G533" s="68" t="str">
        <f>$M$1</f>
        <v>Adopted</v>
      </c>
      <c r="H533" s="68" t="s">
        <v>19</v>
      </c>
      <c r="I533" s="68" t="s">
        <v>19</v>
      </c>
      <c r="J533" s="68" t="s">
        <v>19</v>
      </c>
      <c r="K533" s="68" t="s">
        <v>19</v>
      </c>
    </row>
    <row r="534" spans="2:11">
      <c r="B534" s="64"/>
      <c r="C534" s="137"/>
      <c r="D534" s="2"/>
      <c r="E534" s="2"/>
      <c r="F534" s="2"/>
      <c r="G534" s="2"/>
      <c r="H534" s="2"/>
      <c r="I534" s="2"/>
      <c r="J534" s="2"/>
      <c r="K534" s="2"/>
    </row>
    <row r="535" spans="2:11">
      <c r="B535" s="128" t="s">
        <v>764</v>
      </c>
      <c r="C535" s="2"/>
      <c r="D535" s="2"/>
      <c r="E535" s="2"/>
      <c r="F535" s="2"/>
      <c r="G535" s="2"/>
      <c r="H535" s="2"/>
      <c r="I535" s="2"/>
      <c r="J535" s="2"/>
      <c r="K535" s="2"/>
    </row>
    <row r="536" spans="2:11" ht="20.100000000000001" customHeight="1">
      <c r="B536" s="438" t="s">
        <v>769</v>
      </c>
      <c r="C536" s="2">
        <f>SUM('Budget Detail FY 2014-21'!L866:L872)</f>
        <v>44891</v>
      </c>
      <c r="D536" s="2">
        <f>SUM('Budget Detail FY 2014-21'!M866:M872)</f>
        <v>0</v>
      </c>
      <c r="E536" s="2">
        <f>SUM('Budget Detail FY 2014-21'!N866:N872)</f>
        <v>0</v>
      </c>
      <c r="F536" s="2">
        <f>SUM('Budget Detail FY 2014-21'!O866:O872)</f>
        <v>0</v>
      </c>
      <c r="G536" s="2">
        <f>SUM('Budget Detail FY 2014-21'!P866:P872)</f>
        <v>0</v>
      </c>
      <c r="H536" s="2">
        <f>SUM('Budget Detail FY 2014-21'!Q866:Q872)</f>
        <v>0</v>
      </c>
      <c r="I536" s="2">
        <f>SUM('Budget Detail FY 2014-21'!R866:R872)</f>
        <v>0</v>
      </c>
      <c r="J536" s="2">
        <f>SUM('Budget Detail FY 2014-21'!S866:S872)</f>
        <v>0</v>
      </c>
      <c r="K536" s="2">
        <f>SUM('Budget Detail FY 2014-21'!T866:T872)</f>
        <v>0</v>
      </c>
    </row>
    <row r="537" spans="2:11" ht="20.100000000000001" customHeight="1">
      <c r="B537" s="438" t="s">
        <v>772</v>
      </c>
      <c r="C537" s="2">
        <f>SUM('Budget Detail FY 2014-21'!L873:L875)</f>
        <v>572</v>
      </c>
      <c r="D537" s="2">
        <f>SUM('Budget Detail FY 2014-21'!M873:M875)</f>
        <v>0</v>
      </c>
      <c r="E537" s="2">
        <f>SUM('Budget Detail FY 2014-21'!N873:N875)</f>
        <v>0</v>
      </c>
      <c r="F537" s="2">
        <f>SUM('Budget Detail FY 2014-21'!O873:O875)</f>
        <v>0</v>
      </c>
      <c r="G537" s="2">
        <f>SUM('Budget Detail FY 2014-21'!P873:P875)</f>
        <v>0</v>
      </c>
      <c r="H537" s="2">
        <f>SUM('Budget Detail FY 2014-21'!Q873:Q875)</f>
        <v>0</v>
      </c>
      <c r="I537" s="2">
        <f>SUM('Budget Detail FY 2014-21'!R873:R875)</f>
        <v>0</v>
      </c>
      <c r="J537" s="2">
        <f>SUM('Budget Detail FY 2014-21'!S873:S875)</f>
        <v>0</v>
      </c>
      <c r="K537" s="2">
        <f>SUM('Budget Detail FY 2014-21'!T873:T875)</f>
        <v>0</v>
      </c>
    </row>
    <row r="538" spans="2:11" ht="20.100000000000001" customHeight="1">
      <c r="B538" s="438" t="s">
        <v>773</v>
      </c>
      <c r="C538" s="2">
        <f>'Budget Detail FY 2014-21'!L876</f>
        <v>489043</v>
      </c>
      <c r="D538" s="2">
        <f>'Budget Detail FY 2014-21'!M876</f>
        <v>0</v>
      </c>
      <c r="E538" s="2">
        <f>'Budget Detail FY 2014-21'!N876</f>
        <v>0</v>
      </c>
      <c r="F538" s="2">
        <f>'Budget Detail FY 2014-21'!O876</f>
        <v>0</v>
      </c>
      <c r="G538" s="2">
        <f>'Budget Detail FY 2014-21'!P876</f>
        <v>0</v>
      </c>
      <c r="H538" s="2">
        <f>'Budget Detail FY 2014-21'!Q876</f>
        <v>0</v>
      </c>
      <c r="I538" s="2">
        <f>'Budget Detail FY 2014-21'!R876</f>
        <v>0</v>
      </c>
      <c r="J538" s="2">
        <f>'Budget Detail FY 2014-21'!S876</f>
        <v>0</v>
      </c>
      <c r="K538" s="2">
        <f>'Budget Detail FY 2014-21'!T876</f>
        <v>0</v>
      </c>
    </row>
    <row r="539" spans="2:11" ht="20.100000000000001" customHeight="1" thickBot="1">
      <c r="B539" s="127" t="s">
        <v>774</v>
      </c>
      <c r="C539" s="124">
        <f>SUM(C536:C538)</f>
        <v>534506</v>
      </c>
      <c r="D539" s="124">
        <f t="shared" ref="D539:K539" si="45">SUM(D536:D538)</f>
        <v>0</v>
      </c>
      <c r="E539" s="124">
        <f t="shared" si="45"/>
        <v>0</v>
      </c>
      <c r="F539" s="124">
        <f t="shared" si="45"/>
        <v>0</v>
      </c>
      <c r="G539" s="124">
        <f t="shared" si="45"/>
        <v>0</v>
      </c>
      <c r="H539" s="124">
        <f t="shared" si="45"/>
        <v>0</v>
      </c>
      <c r="I539" s="124">
        <f t="shared" si="45"/>
        <v>0</v>
      </c>
      <c r="J539" s="124">
        <f t="shared" si="45"/>
        <v>0</v>
      </c>
      <c r="K539" s="124">
        <f t="shared" si="45"/>
        <v>0</v>
      </c>
    </row>
    <row r="540" spans="2:11">
      <c r="B540" s="1"/>
      <c r="C540" s="2"/>
      <c r="D540" s="2"/>
      <c r="E540" s="2"/>
      <c r="F540" s="2"/>
      <c r="G540" s="2"/>
      <c r="H540" s="2"/>
      <c r="I540" s="2"/>
      <c r="J540" s="2"/>
      <c r="K540" s="2"/>
    </row>
    <row r="541" spans="2:11">
      <c r="B541" s="128" t="s">
        <v>550</v>
      </c>
      <c r="C541" s="2"/>
      <c r="D541" s="2"/>
      <c r="E541" s="2"/>
      <c r="F541" s="2"/>
      <c r="G541" s="2"/>
      <c r="H541" s="2"/>
      <c r="I541" s="2"/>
      <c r="J541" s="2"/>
      <c r="K541" s="2"/>
    </row>
    <row r="542" spans="2:11" ht="20.100000000000001" customHeight="1">
      <c r="B542" s="439" t="s">
        <v>775</v>
      </c>
      <c r="C542" s="2">
        <f>SUM('Budget Detail FY 2014-21'!L881:L882)</f>
        <v>19795</v>
      </c>
      <c r="D542" s="2">
        <f>SUM('Budget Detail FY 2014-21'!M881:M882)</f>
        <v>0</v>
      </c>
      <c r="E542" s="2">
        <f>SUM('Budget Detail FY 2014-21'!N881:N882)</f>
        <v>0</v>
      </c>
      <c r="F542" s="2">
        <f>SUM('Budget Detail FY 2014-21'!O881:O882)</f>
        <v>0</v>
      </c>
      <c r="G542" s="2">
        <f>SUM('Budget Detail FY 2014-21'!P881:P882)</f>
        <v>0</v>
      </c>
      <c r="H542" s="2">
        <f>SUM('Budget Detail FY 2014-21'!Q881:Q882)</f>
        <v>0</v>
      </c>
      <c r="I542" s="2">
        <f>SUM('Budget Detail FY 2014-21'!R881:R882)</f>
        <v>0</v>
      </c>
      <c r="J542" s="2">
        <f>SUM('Budget Detail FY 2014-21'!S881:S882)</f>
        <v>0</v>
      </c>
      <c r="K542" s="2">
        <f>SUM('Budget Detail FY 2014-21'!T881:T882)</f>
        <v>0</v>
      </c>
    </row>
    <row r="543" spans="2:11" ht="20.100000000000001" customHeight="1">
      <c r="B543" s="439" t="s">
        <v>776</v>
      </c>
      <c r="C543" s="2">
        <f>SUM('Budget Detail FY 2014-21'!L883:L884)</f>
        <v>2148</v>
      </c>
      <c r="D543" s="2">
        <f>SUM('Budget Detail FY 2014-21'!M883:M884)</f>
        <v>0</v>
      </c>
      <c r="E543" s="2">
        <f>SUM('Budget Detail FY 2014-21'!N883:N884)</f>
        <v>0</v>
      </c>
      <c r="F543" s="2">
        <f>SUM('Budget Detail FY 2014-21'!O883:O884)</f>
        <v>0</v>
      </c>
      <c r="G543" s="2">
        <f>SUM('Budget Detail FY 2014-21'!P883:P884)</f>
        <v>0</v>
      </c>
      <c r="H543" s="2">
        <f>SUM('Budget Detail FY 2014-21'!Q883:Q884)</f>
        <v>0</v>
      </c>
      <c r="I543" s="2">
        <f>SUM('Budget Detail FY 2014-21'!R883:R884)</f>
        <v>0</v>
      </c>
      <c r="J543" s="2">
        <f>SUM('Budget Detail FY 2014-21'!S883:S884)</f>
        <v>0</v>
      </c>
      <c r="K543" s="2">
        <f>SUM('Budget Detail FY 2014-21'!T883:T884)</f>
        <v>0</v>
      </c>
    </row>
    <row r="544" spans="2:11" ht="20.100000000000001" customHeight="1">
      <c r="B544" s="439" t="s">
        <v>777</v>
      </c>
      <c r="C544" s="2">
        <f>SUM('Budget Detail FY 2014-21'!L885:L891)</f>
        <v>208635</v>
      </c>
      <c r="D544" s="2">
        <f>SUM('Budget Detail FY 2014-21'!M885:M891)</f>
        <v>0</v>
      </c>
      <c r="E544" s="2">
        <f>SUM('Budget Detail FY 2014-21'!N885:N891)</f>
        <v>0</v>
      </c>
      <c r="F544" s="2">
        <f>SUM('Budget Detail FY 2014-21'!O885:O891)</f>
        <v>0</v>
      </c>
      <c r="G544" s="2">
        <f>SUM('Budget Detail FY 2014-21'!P885:P891)</f>
        <v>0</v>
      </c>
      <c r="H544" s="2">
        <f>SUM('Budget Detail FY 2014-21'!Q885:Q891)</f>
        <v>0</v>
      </c>
      <c r="I544" s="2">
        <f>SUM('Budget Detail FY 2014-21'!R885:R891)</f>
        <v>0</v>
      </c>
      <c r="J544" s="2">
        <f>SUM('Budget Detail FY 2014-21'!S885:S891)</f>
        <v>0</v>
      </c>
      <c r="K544" s="2">
        <f>SUM('Budget Detail FY 2014-21'!T885:T891)</f>
        <v>0</v>
      </c>
    </row>
    <row r="545" spans="2:11" ht="20.100000000000001" customHeight="1">
      <c r="B545" s="439" t="s">
        <v>778</v>
      </c>
      <c r="C545" s="2">
        <f>SUM('Budget Detail FY 2014-21'!L892:L894)</f>
        <v>3508</v>
      </c>
      <c r="D545" s="2">
        <f>SUM('Budget Detail FY 2014-21'!M892:M894)</f>
        <v>0</v>
      </c>
      <c r="E545" s="2">
        <f>SUM('Budget Detail FY 2014-21'!N892:N894)</f>
        <v>0</v>
      </c>
      <c r="F545" s="2">
        <f>SUM('Budget Detail FY 2014-21'!O892:O894)</f>
        <v>0</v>
      </c>
      <c r="G545" s="2">
        <f>SUM('Budget Detail FY 2014-21'!P892:P894)</f>
        <v>0</v>
      </c>
      <c r="H545" s="2">
        <f>SUM('Budget Detail FY 2014-21'!Q892:Q894)</f>
        <v>0</v>
      </c>
      <c r="I545" s="2">
        <f>SUM('Budget Detail FY 2014-21'!R892:R894)</f>
        <v>0</v>
      </c>
      <c r="J545" s="2">
        <f>SUM('Budget Detail FY 2014-21'!S892:S894)</f>
        <v>0</v>
      </c>
      <c r="K545" s="2">
        <f>SUM('Budget Detail FY 2014-21'!T892:T894)</f>
        <v>0</v>
      </c>
    </row>
    <row r="546" spans="2:11" ht="20.100000000000001" customHeight="1" thickBot="1">
      <c r="B546" s="127" t="s">
        <v>796</v>
      </c>
      <c r="C546" s="124">
        <f t="shared" ref="C546:J546" si="46">SUM(C542:C545)</f>
        <v>234086</v>
      </c>
      <c r="D546" s="124">
        <f>SUM(D542:D545)</f>
        <v>0</v>
      </c>
      <c r="E546" s="124">
        <f t="shared" si="46"/>
        <v>0</v>
      </c>
      <c r="F546" s="124">
        <f t="shared" si="46"/>
        <v>0</v>
      </c>
      <c r="G546" s="124">
        <f t="shared" si="46"/>
        <v>0</v>
      </c>
      <c r="H546" s="124">
        <f t="shared" si="46"/>
        <v>0</v>
      </c>
      <c r="I546" s="124">
        <f t="shared" si="46"/>
        <v>0</v>
      </c>
      <c r="J546" s="124">
        <f t="shared" si="46"/>
        <v>0</v>
      </c>
      <c r="K546" s="124">
        <f>SUM(K542:K545)</f>
        <v>0</v>
      </c>
    </row>
    <row r="547" spans="2:11" ht="7.5" customHeight="1">
      <c r="B547" s="130"/>
      <c r="C547" s="3"/>
      <c r="D547" s="2"/>
      <c r="E547" s="2"/>
      <c r="F547" s="2"/>
      <c r="G547" s="2"/>
      <c r="H547" s="2"/>
      <c r="I547" s="2"/>
      <c r="J547" s="2"/>
      <c r="K547" s="2"/>
    </row>
    <row r="548" spans="2:11" ht="20.100000000000001" customHeight="1">
      <c r="B548" s="441" t="s">
        <v>783</v>
      </c>
      <c r="C548" s="3">
        <f t="shared" ref="C548:K548" si="47">+C539-C546</f>
        <v>300420</v>
      </c>
      <c r="D548" s="3">
        <f t="shared" si="47"/>
        <v>0</v>
      </c>
      <c r="E548" s="3">
        <f t="shared" si="47"/>
        <v>0</v>
      </c>
      <c r="F548" s="3">
        <f t="shared" si="47"/>
        <v>0</v>
      </c>
      <c r="G548" s="3">
        <f t="shared" si="47"/>
        <v>0</v>
      </c>
      <c r="H548" s="3">
        <f t="shared" si="47"/>
        <v>0</v>
      </c>
      <c r="I548" s="3">
        <f t="shared" si="47"/>
        <v>0</v>
      </c>
      <c r="J548" s="3">
        <f t="shared" si="47"/>
        <v>0</v>
      </c>
      <c r="K548" s="3">
        <f t="shared" si="47"/>
        <v>0</v>
      </c>
    </row>
    <row r="549" spans="2:11" ht="7.5" customHeight="1">
      <c r="B549" s="131"/>
      <c r="C549" s="3"/>
      <c r="D549" s="2"/>
      <c r="E549" s="2"/>
      <c r="F549" s="2"/>
      <c r="G549" s="2"/>
      <c r="H549" s="2"/>
      <c r="I549" s="2"/>
      <c r="J549" s="2"/>
      <c r="K549" s="2"/>
    </row>
    <row r="550" spans="2:11" ht="20.100000000000001" customHeight="1" thickBot="1">
      <c r="B550" s="126" t="s">
        <v>797</v>
      </c>
      <c r="C550" s="81">
        <v>0</v>
      </c>
      <c r="D550" s="81">
        <v>0</v>
      </c>
      <c r="E550" s="81">
        <v>0</v>
      </c>
      <c r="F550" s="81">
        <v>0</v>
      </c>
      <c r="G550" s="81">
        <f>F550+G548</f>
        <v>0</v>
      </c>
      <c r="H550" s="81">
        <f>G550+H548</f>
        <v>0</v>
      </c>
      <c r="I550" s="81">
        <f>H550+I548</f>
        <v>0</v>
      </c>
      <c r="J550" s="81">
        <f>I550+J548</f>
        <v>0</v>
      </c>
      <c r="K550" s="81">
        <f>J550+K548</f>
        <v>0</v>
      </c>
    </row>
    <row r="551" spans="2:11" ht="15.75" thickTop="1">
      <c r="B551" s="132"/>
      <c r="C551" s="133"/>
      <c r="D551" s="133"/>
      <c r="E551" s="133"/>
      <c r="F551" s="133"/>
      <c r="G551" s="311"/>
      <c r="H551" s="311"/>
      <c r="I551" s="311"/>
      <c r="J551" s="311"/>
      <c r="K551" s="311"/>
    </row>
    <row r="552" spans="2:11">
      <c r="B552" s="132"/>
      <c r="C552" s="133"/>
      <c r="D552" s="133"/>
      <c r="E552" s="133"/>
      <c r="F552" s="133"/>
      <c r="G552" s="311"/>
      <c r="H552" s="311"/>
      <c r="I552" s="311"/>
      <c r="J552" s="311"/>
      <c r="K552" s="311"/>
    </row>
    <row r="553" spans="2:11" ht="7.5" customHeight="1">
      <c r="B553" s="132"/>
      <c r="C553" s="2"/>
      <c r="D553" s="2"/>
      <c r="E553" s="2"/>
      <c r="F553" s="2"/>
      <c r="G553" s="2"/>
      <c r="H553" s="2"/>
      <c r="I553" s="2"/>
      <c r="J553" s="2"/>
      <c r="K553" s="2"/>
    </row>
    <row r="554" spans="2:11">
      <c r="B554" s="1"/>
      <c r="C554" s="2"/>
      <c r="D554" s="2"/>
      <c r="E554" s="2"/>
      <c r="F554" s="2"/>
      <c r="G554" s="2"/>
      <c r="H554" s="2"/>
      <c r="I554" s="2"/>
      <c r="J554" s="2"/>
      <c r="K554" s="2"/>
    </row>
    <row r="555" spans="2:11">
      <c r="B555" s="1"/>
      <c r="C555" s="2"/>
      <c r="D555" s="2"/>
      <c r="E555" s="2"/>
      <c r="F555" s="2"/>
      <c r="G555" s="2"/>
      <c r="H555" s="2"/>
      <c r="I555" s="2"/>
      <c r="J555" s="2"/>
      <c r="K555" s="2"/>
    </row>
    <row r="556" spans="2:11">
      <c r="B556" s="1"/>
      <c r="C556" s="2"/>
      <c r="D556" s="2"/>
      <c r="E556" s="2"/>
      <c r="F556" s="2"/>
      <c r="G556" s="2"/>
      <c r="H556" s="2"/>
      <c r="I556" s="2"/>
      <c r="J556" s="2"/>
      <c r="K556" s="2"/>
    </row>
    <row r="557" spans="2:11">
      <c r="B557" s="1"/>
      <c r="C557" s="2"/>
      <c r="D557" s="2"/>
      <c r="E557" s="2"/>
      <c r="F557" s="2"/>
      <c r="G557" s="2"/>
      <c r="H557" s="2"/>
      <c r="I557" s="2"/>
      <c r="J557" s="2"/>
      <c r="K557" s="2"/>
    </row>
    <row r="558" spans="2:11">
      <c r="B558" s="1"/>
      <c r="C558" s="2"/>
      <c r="D558" s="2"/>
      <c r="E558" s="2"/>
      <c r="F558" s="2"/>
      <c r="G558" s="2"/>
      <c r="H558" s="2"/>
      <c r="I558" s="2"/>
      <c r="J558" s="2"/>
      <c r="K558" s="2"/>
    </row>
    <row r="559" spans="2:11">
      <c r="B559" s="1"/>
      <c r="C559" s="2"/>
      <c r="D559" s="2"/>
      <c r="E559" s="2"/>
      <c r="F559" s="2"/>
      <c r="G559" s="2"/>
      <c r="H559" s="2"/>
      <c r="I559" s="2"/>
      <c r="J559" s="2"/>
      <c r="K559" s="2"/>
    </row>
    <row r="560" spans="2:11">
      <c r="B560" s="1"/>
      <c r="C560" s="2"/>
      <c r="D560" s="2"/>
      <c r="E560" s="2"/>
      <c r="F560" s="2"/>
      <c r="G560" s="2"/>
      <c r="H560" s="2"/>
      <c r="I560" s="2"/>
      <c r="J560" s="2"/>
      <c r="K560" s="2"/>
    </row>
    <row r="561" spans="2:18">
      <c r="B561" s="1"/>
      <c r="C561" s="2"/>
      <c r="D561" s="2"/>
      <c r="E561" s="2"/>
      <c r="F561" s="2"/>
      <c r="G561" s="2"/>
      <c r="H561" s="2"/>
      <c r="I561" s="2"/>
      <c r="J561" s="2"/>
      <c r="K561" s="2"/>
    </row>
    <row r="562" spans="2:18">
      <c r="B562" s="1"/>
      <c r="C562" s="2"/>
      <c r="D562" s="2"/>
      <c r="E562" s="2"/>
      <c r="F562" s="2"/>
      <c r="G562" s="2"/>
      <c r="H562" s="2"/>
      <c r="I562" s="2"/>
      <c r="J562" s="2"/>
      <c r="K562" s="2"/>
    </row>
    <row r="563" spans="2:18">
      <c r="B563" s="1"/>
      <c r="C563" s="2"/>
      <c r="D563" s="2"/>
      <c r="E563" s="2"/>
      <c r="F563" s="2"/>
      <c r="G563" s="2"/>
      <c r="H563" s="2"/>
      <c r="I563" s="2"/>
      <c r="J563" s="2"/>
      <c r="K563" s="2"/>
    </row>
    <row r="568" spans="2:18" ht="18.75" customHeight="1">
      <c r="B568" s="764" t="s">
        <v>806</v>
      </c>
      <c r="C568" s="764"/>
      <c r="D568" s="764"/>
      <c r="E568" s="764"/>
      <c r="F568" s="764"/>
      <c r="G568" s="764"/>
      <c r="H568" s="764"/>
      <c r="I568" s="764"/>
      <c r="J568" s="764"/>
      <c r="K568" s="764"/>
    </row>
    <row r="569" spans="2:18" ht="7.5" customHeight="1">
      <c r="B569" s="65"/>
      <c r="C569" s="3"/>
      <c r="D569" s="2"/>
      <c r="E569" s="2"/>
      <c r="F569" s="2"/>
      <c r="G569" s="2"/>
      <c r="H569" s="2"/>
      <c r="I569" s="2"/>
      <c r="J569" s="2"/>
      <c r="K569" s="2"/>
    </row>
    <row r="570" spans="2:18" ht="12.75" customHeight="1">
      <c r="B570" s="761" t="s">
        <v>807</v>
      </c>
      <c r="C570" s="761"/>
      <c r="D570" s="761"/>
      <c r="E570" s="761"/>
      <c r="F570" s="761"/>
      <c r="G570" s="761"/>
      <c r="H570" s="761"/>
      <c r="I570" s="761"/>
      <c r="J570" s="761"/>
      <c r="K570" s="761"/>
    </row>
    <row r="571" spans="2:18" ht="12.75" customHeight="1">
      <c r="B571" s="761"/>
      <c r="C571" s="761"/>
      <c r="D571" s="761"/>
      <c r="E571" s="761"/>
      <c r="F571" s="761"/>
      <c r="G571" s="761"/>
      <c r="H571" s="761"/>
      <c r="I571" s="761"/>
      <c r="J571" s="761"/>
      <c r="K571" s="761"/>
    </row>
    <row r="572" spans="2:18" ht="12.75" customHeight="1">
      <c r="B572" s="761"/>
      <c r="C572" s="761"/>
      <c r="D572" s="761"/>
      <c r="E572" s="761"/>
      <c r="F572" s="761"/>
      <c r="G572" s="761"/>
      <c r="H572" s="761"/>
      <c r="I572" s="761"/>
      <c r="J572" s="761"/>
      <c r="K572" s="761"/>
      <c r="M572" s="715"/>
      <c r="N572" s="715"/>
      <c r="O572" s="715"/>
      <c r="P572" s="715"/>
      <c r="Q572" s="715"/>
      <c r="R572" s="715"/>
    </row>
    <row r="573" spans="2:18">
      <c r="B573" s="5"/>
      <c r="C573" s="65"/>
      <c r="D573" s="66"/>
      <c r="E573" s="65" t="s">
        <v>257</v>
      </c>
      <c r="F573" s="1"/>
      <c r="G573" s="1"/>
      <c r="H573" s="1"/>
      <c r="I573" s="1"/>
      <c r="J573" s="1"/>
      <c r="K573" s="1"/>
      <c r="M573" s="715"/>
      <c r="N573" s="715"/>
      <c r="O573" s="715"/>
      <c r="P573" s="715"/>
      <c r="Q573" s="715"/>
      <c r="R573" s="715"/>
    </row>
    <row r="574" spans="2:18">
      <c r="B574" s="66"/>
      <c r="C574" s="65" t="s">
        <v>249</v>
      </c>
      <c r="D574" s="49" t="s">
        <v>256</v>
      </c>
      <c r="E574" s="66" t="s">
        <v>763</v>
      </c>
      <c r="F574" s="66" t="s">
        <v>257</v>
      </c>
      <c r="G574" s="66" t="s">
        <v>258</v>
      </c>
      <c r="H574" s="66" t="s">
        <v>926</v>
      </c>
      <c r="I574" s="66" t="s">
        <v>1026</v>
      </c>
      <c r="J574" s="66" t="s">
        <v>1060</v>
      </c>
      <c r="K574" s="66" t="s">
        <v>1061</v>
      </c>
      <c r="M574" s="715"/>
      <c r="N574" s="70"/>
      <c r="O574" s="715"/>
      <c r="P574" s="715"/>
      <c r="Q574" s="715"/>
      <c r="R574" s="715"/>
    </row>
    <row r="575" spans="2:18" ht="15.75" thickBot="1">
      <c r="B575" s="136"/>
      <c r="C575" s="68" t="s">
        <v>1</v>
      </c>
      <c r="D575" s="68" t="s">
        <v>1</v>
      </c>
      <c r="E575" s="68" t="s">
        <v>720</v>
      </c>
      <c r="F575" s="68" t="s">
        <v>19</v>
      </c>
      <c r="G575" s="68" t="str">
        <f>$M$1</f>
        <v>Adopted</v>
      </c>
      <c r="H575" s="68" t="s">
        <v>19</v>
      </c>
      <c r="I575" s="68" t="s">
        <v>19</v>
      </c>
      <c r="J575" s="68" t="s">
        <v>19</v>
      </c>
      <c r="K575" s="68" t="s">
        <v>19</v>
      </c>
      <c r="M575" s="715"/>
      <c r="N575" s="70"/>
      <c r="O575" s="715"/>
      <c r="P575" s="715"/>
      <c r="Q575" s="715"/>
      <c r="R575" s="715"/>
    </row>
    <row r="576" spans="2:18">
      <c r="B576" s="64"/>
      <c r="C576" s="137"/>
      <c r="D576" s="2"/>
      <c r="E576" s="2"/>
      <c r="F576" s="2"/>
      <c r="G576" s="2"/>
      <c r="H576" s="2"/>
      <c r="I576" s="2"/>
      <c r="J576" s="2"/>
      <c r="K576" s="2"/>
      <c r="M576" s="715"/>
      <c r="N576" s="715"/>
      <c r="O576" s="715"/>
      <c r="P576" s="715"/>
      <c r="Q576" s="715"/>
      <c r="R576" s="715"/>
    </row>
    <row r="577" spans="2:18">
      <c r="B577" s="128" t="s">
        <v>764</v>
      </c>
      <c r="C577" s="2"/>
      <c r="D577" s="2"/>
      <c r="E577" s="2"/>
      <c r="F577" s="2"/>
      <c r="G577" s="2"/>
      <c r="H577" s="2"/>
      <c r="I577" s="2"/>
      <c r="J577" s="2"/>
      <c r="K577" s="2"/>
      <c r="M577" s="715"/>
      <c r="N577" s="715"/>
      <c r="O577" s="715"/>
      <c r="P577" s="715"/>
      <c r="Q577" s="715"/>
      <c r="R577" s="715"/>
    </row>
    <row r="578" spans="2:18" ht="20.100000000000001" customHeight="1">
      <c r="B578" s="437" t="s">
        <v>765</v>
      </c>
      <c r="C578" s="2">
        <f>SUM('Budget Detail FY 2014-21'!L905:L905)</f>
        <v>642838</v>
      </c>
      <c r="D578" s="2">
        <f>SUM('Budget Detail FY 2014-21'!M905:M905)</f>
        <v>626950</v>
      </c>
      <c r="E578" s="2">
        <f>SUM('Budget Detail FY 2014-21'!N905:N905)</f>
        <v>635000</v>
      </c>
      <c r="F578" s="2">
        <f>SUM('Budget Detail FY 2014-21'!O905:O905)</f>
        <v>622529</v>
      </c>
      <c r="G578" s="2">
        <f>SUM('Budget Detail FY 2014-21'!P905:P905)</f>
        <v>644719</v>
      </c>
      <c r="H578" s="2">
        <f>SUM('Budget Detail FY 2014-21'!Q905:Q905)</f>
        <v>657613</v>
      </c>
      <c r="I578" s="2">
        <f>SUM('Budget Detail FY 2014-21'!R905:R905)</f>
        <v>670765</v>
      </c>
      <c r="J578" s="2">
        <f>SUM('Budget Detail FY 2014-21'!S905:S905)</f>
        <v>684180</v>
      </c>
      <c r="K578" s="2">
        <f>SUM('Budget Detail FY 2014-21'!T905:T905)</f>
        <v>697864</v>
      </c>
      <c r="M578" s="441"/>
      <c r="N578" s="718"/>
      <c r="O578" s="723"/>
      <c r="P578" s="715"/>
      <c r="Q578" s="715"/>
      <c r="R578" s="715"/>
    </row>
    <row r="579" spans="2:18" ht="20.100000000000001" customHeight="1">
      <c r="B579" s="437" t="s">
        <v>766</v>
      </c>
      <c r="C579" s="2">
        <f>SUM('Budget Detail FY 2014-21'!L906:L907)</f>
        <v>22914</v>
      </c>
      <c r="D579" s="2">
        <f>SUM('Budget Detail FY 2014-21'!M906:M907)</f>
        <v>26934</v>
      </c>
      <c r="E579" s="2">
        <f>SUM('Budget Detail FY 2014-21'!N906:N907)</f>
        <v>22450</v>
      </c>
      <c r="F579" s="2">
        <f>SUM('Budget Detail FY 2014-21'!O906:O907)</f>
        <v>22450</v>
      </c>
      <c r="G579" s="2">
        <f>SUM('Budget Detail FY 2014-21'!P906:P907)</f>
        <v>22450</v>
      </c>
      <c r="H579" s="2">
        <f>SUM('Budget Detail FY 2014-21'!Q906:Q907)</f>
        <v>22450</v>
      </c>
      <c r="I579" s="2">
        <f>SUM('Budget Detail FY 2014-21'!R906:R907)</f>
        <v>22450</v>
      </c>
      <c r="J579" s="2">
        <f>SUM('Budget Detail FY 2014-21'!S906:S907)</f>
        <v>22450</v>
      </c>
      <c r="K579" s="2">
        <f>SUM('Budget Detail FY 2014-21'!T906:T907)</f>
        <v>22450</v>
      </c>
      <c r="M579" s="441"/>
      <c r="N579" s="718"/>
      <c r="O579" s="723"/>
      <c r="P579" s="715"/>
      <c r="Q579" s="715"/>
      <c r="R579" s="715"/>
    </row>
    <row r="580" spans="2:18" ht="20.100000000000001" customHeight="1">
      <c r="B580" s="438" t="s">
        <v>768</v>
      </c>
      <c r="C580" s="2">
        <f>'Budget Detail FY 2014-21'!L908</f>
        <v>9680</v>
      </c>
      <c r="D580" s="2">
        <f>'Budget Detail FY 2014-21'!M908</f>
        <v>8356</v>
      </c>
      <c r="E580" s="2">
        <f>'Budget Detail FY 2014-21'!N908</f>
        <v>9300</v>
      </c>
      <c r="F580" s="2">
        <f>'Budget Detail FY 2014-21'!O908</f>
        <v>9300</v>
      </c>
      <c r="G580" s="2">
        <f>'Budget Detail FY 2014-21'!P908</f>
        <v>9300</v>
      </c>
      <c r="H580" s="2">
        <f>'Budget Detail FY 2014-21'!Q908</f>
        <v>9300</v>
      </c>
      <c r="I580" s="2">
        <f>'Budget Detail FY 2014-21'!R908</f>
        <v>9300</v>
      </c>
      <c r="J580" s="2">
        <f>'Budget Detail FY 2014-21'!S908</f>
        <v>9300</v>
      </c>
      <c r="K580" s="2">
        <f>'Budget Detail FY 2014-21'!T908</f>
        <v>9300</v>
      </c>
      <c r="M580" s="722"/>
      <c r="N580" s="718"/>
      <c r="O580" s="723"/>
      <c r="P580" s="715"/>
      <c r="Q580" s="715"/>
      <c r="R580" s="715"/>
    </row>
    <row r="581" spans="2:18" ht="20.100000000000001" customHeight="1">
      <c r="B581" s="438" t="s">
        <v>769</v>
      </c>
      <c r="C581" s="2">
        <f>SUM('Budget Detail FY 2014-21'!L909:L911)</f>
        <v>10707</v>
      </c>
      <c r="D581" s="2">
        <f>SUM('Budget Detail FY 2014-21'!M909:M911)</f>
        <v>10841</v>
      </c>
      <c r="E581" s="2">
        <f>SUM('Budget Detail FY 2014-21'!N909:N911)</f>
        <v>11500</v>
      </c>
      <c r="F581" s="2">
        <f>SUM('Budget Detail FY 2014-21'!O909:O911)</f>
        <v>11500</v>
      </c>
      <c r="G581" s="2">
        <f>SUM('Budget Detail FY 2014-21'!P909:P911)</f>
        <v>11500</v>
      </c>
      <c r="H581" s="2">
        <f>SUM('Budget Detail FY 2014-21'!Q909:Q911)</f>
        <v>11500</v>
      </c>
      <c r="I581" s="2">
        <f>SUM('Budget Detail FY 2014-21'!R909:R911)</f>
        <v>11500</v>
      </c>
      <c r="J581" s="2">
        <f>SUM('Budget Detail FY 2014-21'!S909:S911)</f>
        <v>11500</v>
      </c>
      <c r="K581" s="2">
        <f>SUM('Budget Detail FY 2014-21'!T909:T911)</f>
        <v>11500</v>
      </c>
      <c r="M581" s="722"/>
      <c r="N581" s="718"/>
      <c r="O581" s="723"/>
      <c r="P581" s="715"/>
      <c r="Q581" s="715"/>
      <c r="R581" s="715"/>
    </row>
    <row r="582" spans="2:18" ht="20.100000000000001" customHeight="1">
      <c r="B582" s="438" t="s">
        <v>770</v>
      </c>
      <c r="C582" s="2">
        <f>'Budget Detail FY 2014-21'!L912+'Budget Detail FY 2014-21'!L913</f>
        <v>1313</v>
      </c>
      <c r="D582" s="2">
        <f>'Budget Detail FY 2014-21'!M912+'Budget Detail FY 2014-21'!M913</f>
        <v>1279</v>
      </c>
      <c r="E582" s="2">
        <f>'Budget Detail FY 2014-21'!N912+'Budget Detail FY 2014-21'!N913</f>
        <v>1500</v>
      </c>
      <c r="F582" s="2">
        <f>'Budget Detail FY 2014-21'!O912+'Budget Detail FY 2014-21'!O913</f>
        <v>350</v>
      </c>
      <c r="G582" s="2">
        <f>'Budget Detail FY 2014-21'!P912+'Budget Detail FY 2014-21'!P913</f>
        <v>350</v>
      </c>
      <c r="H582" s="2">
        <f>'Budget Detail FY 2014-21'!Q912+'Budget Detail FY 2014-21'!Q913</f>
        <v>350</v>
      </c>
      <c r="I582" s="2">
        <f>'Budget Detail FY 2014-21'!R912+'Budget Detail FY 2014-21'!R913</f>
        <v>350</v>
      </c>
      <c r="J582" s="2">
        <f>'Budget Detail FY 2014-21'!S912+'Budget Detail FY 2014-21'!S913</f>
        <v>350</v>
      </c>
      <c r="K582" s="2">
        <f>'Budget Detail FY 2014-21'!T912+'Budget Detail FY 2014-21'!T913</f>
        <v>350</v>
      </c>
      <c r="M582" s="722"/>
      <c r="N582" s="718"/>
      <c r="O582" s="723"/>
      <c r="P582" s="715"/>
      <c r="Q582" s="715"/>
      <c r="R582" s="715"/>
    </row>
    <row r="583" spans="2:18" ht="20.100000000000001" customHeight="1">
      <c r="B583" s="438" t="s">
        <v>771</v>
      </c>
      <c r="C583" s="2">
        <f>'Budget Detail FY 2014-21'!L914</f>
        <v>0</v>
      </c>
      <c r="D583" s="2">
        <f>'Budget Detail FY 2014-21'!M914</f>
        <v>13174</v>
      </c>
      <c r="E583" s="2">
        <f>'Budget Detail FY 2014-21'!N914</f>
        <v>0</v>
      </c>
      <c r="F583" s="2">
        <f>'Budget Detail FY 2014-21'!O914</f>
        <v>0</v>
      </c>
      <c r="G583" s="2">
        <f>'Budget Detail FY 2014-21'!P914</f>
        <v>0</v>
      </c>
      <c r="H583" s="2">
        <f>'Budget Detail FY 2014-21'!Q914</f>
        <v>0</v>
      </c>
      <c r="I583" s="2">
        <f>'Budget Detail FY 2014-21'!R914</f>
        <v>0</v>
      </c>
      <c r="J583" s="2">
        <f>'Budget Detail FY 2014-21'!S914</f>
        <v>0</v>
      </c>
      <c r="K583" s="2">
        <f>'Budget Detail FY 2014-21'!T914</f>
        <v>0</v>
      </c>
      <c r="M583" s="722"/>
      <c r="N583" s="718"/>
      <c r="O583" s="723"/>
      <c r="P583" s="715"/>
      <c r="Q583" s="715"/>
      <c r="R583" s="715"/>
    </row>
    <row r="584" spans="2:18" ht="20.100000000000001" customHeight="1">
      <c r="B584" s="438" t="s">
        <v>772</v>
      </c>
      <c r="C584" s="2">
        <f>SUM('Budget Detail FY 2014-21'!L915:L917)</f>
        <v>7992</v>
      </c>
      <c r="D584" s="2">
        <f>SUM('Budget Detail FY 2014-21'!M915:M917)</f>
        <v>6762</v>
      </c>
      <c r="E584" s="2">
        <f>SUM('Budget Detail FY 2014-21'!N915:N917)</f>
        <v>7500</v>
      </c>
      <c r="F584" s="2">
        <f>SUM('Budget Detail FY 2014-21'!O915:O917)</f>
        <v>7500</v>
      </c>
      <c r="G584" s="2">
        <f>SUM('Budget Detail FY 2014-21'!P915:P917)</f>
        <v>7500</v>
      </c>
      <c r="H584" s="2">
        <f>SUM('Budget Detail FY 2014-21'!Q915:Q917)</f>
        <v>7500</v>
      </c>
      <c r="I584" s="2">
        <f>SUM('Budget Detail FY 2014-21'!R915:R917)</f>
        <v>7500</v>
      </c>
      <c r="J584" s="2">
        <f>SUM('Budget Detail FY 2014-21'!S915:S917)</f>
        <v>7500</v>
      </c>
      <c r="K584" s="2">
        <f>SUM('Budget Detail FY 2014-21'!T915:T917)</f>
        <v>7500</v>
      </c>
      <c r="M584" s="440"/>
      <c r="N584" s="721"/>
      <c r="O584" s="724"/>
      <c r="P584" s="715"/>
      <c r="Q584" s="715"/>
      <c r="R584" s="715"/>
    </row>
    <row r="585" spans="2:18" ht="20.100000000000001" customHeight="1">
      <c r="B585" s="440" t="s">
        <v>773</v>
      </c>
      <c r="C585" s="2">
        <f>SUM('Budget Detail FY 2014-21'!L918:L918)</f>
        <v>45948</v>
      </c>
      <c r="D585" s="2">
        <f>SUM('Budget Detail FY 2014-21'!M918:M918)</f>
        <v>25189</v>
      </c>
      <c r="E585" s="2">
        <f>SUM('Budget Detail FY 2014-21'!N918:N918)</f>
        <v>34168</v>
      </c>
      <c r="F585" s="2">
        <f>SUM('Budget Detail FY 2014-21'!O918:O918)</f>
        <v>31668</v>
      </c>
      <c r="G585" s="2">
        <f>SUM('Budget Detail FY 2014-21'!P918:P918)</f>
        <v>36068</v>
      </c>
      <c r="H585" s="2">
        <f>SUM('Budget Detail FY 2014-21'!Q918:Q918)</f>
        <v>37582</v>
      </c>
      <c r="I585" s="2">
        <f>SUM('Budget Detail FY 2014-21'!R918:R918)</f>
        <v>39717</v>
      </c>
      <c r="J585" s="2">
        <f>SUM('Budget Detail FY 2014-21'!S918:S918)</f>
        <v>41980</v>
      </c>
      <c r="K585" s="2">
        <f>SUM('Budget Detail FY 2014-21'!T918:T918)</f>
        <v>44379</v>
      </c>
      <c r="M585" s="715"/>
      <c r="N585" s="718"/>
      <c r="O585" s="723"/>
      <c r="P585" s="715"/>
      <c r="Q585" s="715"/>
      <c r="R585" s="715"/>
    </row>
    <row r="586" spans="2:18" ht="20.100000000000001" customHeight="1" thickBot="1">
      <c r="B586" s="127" t="s">
        <v>774</v>
      </c>
      <c r="C586" s="124">
        <f t="shared" ref="C586:J586" si="48">SUM(C578:C585)</f>
        <v>741392</v>
      </c>
      <c r="D586" s="124">
        <f>SUM(D578:D585)</f>
        <v>719485</v>
      </c>
      <c r="E586" s="124">
        <f t="shared" si="48"/>
        <v>721418</v>
      </c>
      <c r="F586" s="124">
        <f t="shared" si="48"/>
        <v>705297</v>
      </c>
      <c r="G586" s="124">
        <f t="shared" si="48"/>
        <v>731887</v>
      </c>
      <c r="H586" s="124">
        <f t="shared" si="48"/>
        <v>746295</v>
      </c>
      <c r="I586" s="124">
        <f>SUM(I578:I585)</f>
        <v>761582</v>
      </c>
      <c r="J586" s="124">
        <f t="shared" si="48"/>
        <v>777260</v>
      </c>
      <c r="K586" s="124">
        <f>SUM(K578:K585)</f>
        <v>793343</v>
      </c>
      <c r="M586" s="715"/>
      <c r="N586" s="718"/>
      <c r="O586" s="715"/>
      <c r="P586" s="715"/>
      <c r="Q586" s="715"/>
      <c r="R586" s="715"/>
    </row>
    <row r="587" spans="2:18" ht="7.5" customHeight="1">
      <c r="B587" s="1"/>
      <c r="C587" s="2"/>
      <c r="D587" s="2"/>
      <c r="E587" s="2"/>
      <c r="F587" s="2"/>
      <c r="G587" s="2"/>
      <c r="H587" s="2"/>
      <c r="I587" s="2"/>
      <c r="J587" s="2"/>
      <c r="K587" s="2"/>
      <c r="M587" s="715"/>
      <c r="N587" s="715"/>
      <c r="O587" s="715"/>
      <c r="P587" s="715"/>
      <c r="Q587" s="715"/>
      <c r="R587" s="715"/>
    </row>
    <row r="588" spans="2:18">
      <c r="B588" s="128" t="s">
        <v>548</v>
      </c>
      <c r="C588" s="2"/>
      <c r="D588" s="2"/>
      <c r="E588" s="2"/>
      <c r="F588" s="2"/>
      <c r="G588" s="2"/>
      <c r="H588" s="2"/>
      <c r="I588" s="2"/>
      <c r="J588" s="2"/>
      <c r="K588" s="2"/>
      <c r="M588" s="715"/>
      <c r="N588" s="715"/>
      <c r="O588" s="715"/>
      <c r="P588" s="715"/>
      <c r="Q588" s="715"/>
      <c r="R588" s="715"/>
    </row>
    <row r="589" spans="2:18" ht="20.100000000000001" customHeight="1">
      <c r="B589" s="439" t="s">
        <v>775</v>
      </c>
      <c r="C589" s="2">
        <f>SUM('Budget Detail FY 2014-21'!L922:L923)</f>
        <v>414525</v>
      </c>
      <c r="D589" s="2">
        <f>SUM('Budget Detail FY 2014-21'!M922:M923)</f>
        <v>400069</v>
      </c>
      <c r="E589" s="2">
        <f>SUM('Budget Detail FY 2014-21'!N922:N923)</f>
        <v>397860</v>
      </c>
      <c r="F589" s="2">
        <f>SUM('Budget Detail FY 2014-21'!O922:O923)</f>
        <v>397860</v>
      </c>
      <c r="G589" s="2">
        <f>SUM('Budget Detail FY 2014-21'!P922:P923)</f>
        <v>419134</v>
      </c>
      <c r="H589" s="2">
        <f>SUM('Budget Detail FY 2014-21'!Q922:Q923)</f>
        <v>433532</v>
      </c>
      <c r="I589" s="2">
        <f>SUM('Budget Detail FY 2014-21'!R922:R923)</f>
        <v>446538</v>
      </c>
      <c r="J589" s="2">
        <f>SUM('Budget Detail FY 2014-21'!S922:S923)</f>
        <v>459935</v>
      </c>
      <c r="K589" s="2">
        <f>SUM('Budget Detail FY 2014-21'!T922:T923)</f>
        <v>473733</v>
      </c>
      <c r="M589" s="440"/>
      <c r="N589" s="718"/>
      <c r="O589" s="723"/>
      <c r="P589" s="715"/>
      <c r="Q589" s="715"/>
      <c r="R589" s="715"/>
    </row>
    <row r="590" spans="2:18" ht="20.100000000000001" customHeight="1">
      <c r="B590" s="439" t="s">
        <v>776</v>
      </c>
      <c r="C590" s="2">
        <f>SUM('Budget Detail FY 2014-21'!L924:L931)</f>
        <v>170118</v>
      </c>
      <c r="D590" s="2">
        <f>SUM('Budget Detail FY 2014-21'!M924:M931)</f>
        <v>157525</v>
      </c>
      <c r="E590" s="2">
        <f>SUM('Budget Detail FY 2014-21'!N924:N931)</f>
        <v>171013</v>
      </c>
      <c r="F590" s="2">
        <f>SUM('Budget Detail FY 2014-21'!O924:O931)</f>
        <v>162874</v>
      </c>
      <c r="G590" s="2">
        <f>SUM('Budget Detail FY 2014-21'!P924:P931)</f>
        <v>181638</v>
      </c>
      <c r="H590" s="2">
        <f>SUM('Budget Detail FY 2014-21'!Q924:Q931)</f>
        <v>192956</v>
      </c>
      <c r="I590" s="2">
        <f>SUM('Budget Detail FY 2014-21'!R924:R931)</f>
        <v>204396</v>
      </c>
      <c r="J590" s="2">
        <f>SUM('Budget Detail FY 2014-21'!S924:S931)</f>
        <v>216612</v>
      </c>
      <c r="K590" s="2">
        <f>SUM('Budget Detail FY 2014-21'!T924:T931)</f>
        <v>229659</v>
      </c>
      <c r="M590" s="440"/>
      <c r="N590" s="718"/>
      <c r="O590" s="723"/>
      <c r="P590" s="715"/>
      <c r="Q590" s="715"/>
      <c r="R590" s="715"/>
    </row>
    <row r="591" spans="2:18" ht="20.100000000000001" customHeight="1">
      <c r="B591" s="439" t="s">
        <v>777</v>
      </c>
      <c r="C591" s="2">
        <f>SUM('Budget Detail FY 2014-21'!L932:L944)</f>
        <v>94739</v>
      </c>
      <c r="D591" s="2">
        <f>SUM('Budget Detail FY 2014-21'!M932:M944)</f>
        <v>145651</v>
      </c>
      <c r="E591" s="2">
        <f>SUM('Budget Detail FY 2014-21'!N932:N944)</f>
        <v>128249</v>
      </c>
      <c r="F591" s="2">
        <f>SUM('Budget Detail FY 2014-21'!O932:O944)</f>
        <v>128249</v>
      </c>
      <c r="G591" s="2">
        <f>SUM('Budget Detail FY 2014-21'!P932:P944)</f>
        <v>129171</v>
      </c>
      <c r="H591" s="2">
        <f>SUM('Budget Detail FY 2014-21'!Q932:Q944)</f>
        <v>130148</v>
      </c>
      <c r="I591" s="2">
        <f>SUM('Budget Detail FY 2014-21'!R932:R944)</f>
        <v>131183</v>
      </c>
      <c r="J591" s="2">
        <f>SUM('Budget Detail FY 2014-21'!S932:S944)</f>
        <v>132281</v>
      </c>
      <c r="K591" s="2">
        <f>SUM('Budget Detail FY 2014-21'!T932:T944)</f>
        <v>133444</v>
      </c>
      <c r="M591" s="440"/>
      <c r="N591" s="718"/>
      <c r="O591" s="723"/>
      <c r="P591" s="715"/>
      <c r="Q591" s="715"/>
      <c r="R591" s="715"/>
    </row>
    <row r="592" spans="2:18" ht="20.100000000000001" customHeight="1">
      <c r="B592" s="439" t="s">
        <v>778</v>
      </c>
      <c r="C592" s="2">
        <f>SUM('Budget Detail FY 2014-21'!L945:L952)</f>
        <v>15885</v>
      </c>
      <c r="D592" s="2">
        <f>SUM('Budget Detail FY 2014-21'!M945:M952)</f>
        <v>17144</v>
      </c>
      <c r="E592" s="2">
        <f>SUM('Budget Detail FY 2014-21'!N945:N952)</f>
        <v>19000</v>
      </c>
      <c r="F592" s="2">
        <f>SUM('Budget Detail FY 2014-21'!O945:O952)</f>
        <v>19000</v>
      </c>
      <c r="G592" s="2">
        <f>SUM('Budget Detail FY 2014-21'!P945:P952)</f>
        <v>24000</v>
      </c>
      <c r="H592" s="2">
        <f>SUM('Budget Detail FY 2014-21'!Q945:Q952)</f>
        <v>24000</v>
      </c>
      <c r="I592" s="2">
        <f>SUM('Budget Detail FY 2014-21'!R945:R952)</f>
        <v>24000</v>
      </c>
      <c r="J592" s="2">
        <f>SUM('Budget Detail FY 2014-21'!S945:S952)</f>
        <v>24000</v>
      </c>
      <c r="K592" s="2">
        <f>SUM('Budget Detail FY 2014-21'!T945:T952)</f>
        <v>24000</v>
      </c>
      <c r="M592" s="440"/>
      <c r="N592" s="718"/>
      <c r="O592" s="723"/>
      <c r="P592" s="715"/>
      <c r="Q592" s="715"/>
      <c r="R592" s="715"/>
    </row>
    <row r="593" spans="2:18" ht="20.100000000000001" customHeight="1">
      <c r="B593" s="440" t="s">
        <v>781</v>
      </c>
      <c r="C593" s="2">
        <f>SUM('Budget Detail FY 2014-21'!L953:L953)</f>
        <v>21185</v>
      </c>
      <c r="D593" s="2">
        <f>SUM('Budget Detail FY 2014-21'!M953:M953)</f>
        <v>3487</v>
      </c>
      <c r="E593" s="2">
        <f>SUM('Budget Detail FY 2014-21'!N953:N953)</f>
        <v>0</v>
      </c>
      <c r="F593" s="2">
        <f>SUM('Budget Detail FY 2014-21'!O953:O953)</f>
        <v>3215</v>
      </c>
      <c r="G593" s="2">
        <f>SUM('Budget Detail FY 2014-21'!P953:P953)</f>
        <v>3000</v>
      </c>
      <c r="H593" s="2">
        <f>SUM('Budget Detail FY 2014-21'!Q953:Q953)</f>
        <v>3000</v>
      </c>
      <c r="I593" s="2">
        <f>SUM('Budget Detail FY 2014-21'!R953:R953)</f>
        <v>3000</v>
      </c>
      <c r="J593" s="2">
        <f>SUM('Budget Detail FY 2014-21'!S953:S953)</f>
        <v>3000</v>
      </c>
      <c r="K593" s="2">
        <f>SUM('Budget Detail FY 2014-21'!T953:T953)</f>
        <v>3000</v>
      </c>
      <c r="M593" s="440"/>
      <c r="N593" s="721"/>
      <c r="O593" s="724"/>
      <c r="P593" s="715"/>
      <c r="Q593" s="715"/>
      <c r="R593" s="715"/>
    </row>
    <row r="594" spans="2:18" ht="20.100000000000001" customHeight="1" thickBot="1">
      <c r="B594" s="127" t="s">
        <v>782</v>
      </c>
      <c r="C594" s="124">
        <f t="shared" ref="C594:K594" si="49">SUM(C589:C593)</f>
        <v>716452</v>
      </c>
      <c r="D594" s="124">
        <f t="shared" si="49"/>
        <v>723876</v>
      </c>
      <c r="E594" s="124">
        <f t="shared" si="49"/>
        <v>716122</v>
      </c>
      <c r="F594" s="124">
        <f t="shared" si="49"/>
        <v>711198</v>
      </c>
      <c r="G594" s="124">
        <f t="shared" si="49"/>
        <v>756943</v>
      </c>
      <c r="H594" s="124">
        <f t="shared" si="49"/>
        <v>783636</v>
      </c>
      <c r="I594" s="124">
        <f t="shared" si="49"/>
        <v>809117</v>
      </c>
      <c r="J594" s="124">
        <f t="shared" si="49"/>
        <v>835828</v>
      </c>
      <c r="K594" s="124">
        <f t="shared" si="49"/>
        <v>863836</v>
      </c>
      <c r="M594" s="715"/>
      <c r="N594" s="718"/>
      <c r="O594" s="723"/>
      <c r="P594" s="718"/>
      <c r="Q594" s="715"/>
      <c r="R594" s="715"/>
    </row>
    <row r="595" spans="2:18" ht="7.5" customHeight="1">
      <c r="B595" s="130"/>
      <c r="C595" s="3"/>
      <c r="D595" s="2"/>
      <c r="E595" s="2"/>
      <c r="F595" s="2"/>
      <c r="G595" s="2"/>
      <c r="H595" s="2"/>
      <c r="I595" s="2"/>
      <c r="J595" s="2"/>
      <c r="K595" s="2"/>
      <c r="M595" s="715"/>
      <c r="N595" s="715"/>
      <c r="O595" s="715"/>
      <c r="P595" s="715"/>
      <c r="Q595" s="715"/>
      <c r="R595" s="715"/>
    </row>
    <row r="596" spans="2:18" ht="20.100000000000001" customHeight="1">
      <c r="B596" s="441" t="s">
        <v>783</v>
      </c>
      <c r="C596" s="3">
        <f t="shared" ref="C596:K596" si="50">+C586-C594</f>
        <v>24940</v>
      </c>
      <c r="D596" s="3">
        <f t="shared" si="50"/>
        <v>-4391</v>
      </c>
      <c r="E596" s="3">
        <f t="shared" si="50"/>
        <v>5296</v>
      </c>
      <c r="F596" s="3">
        <f t="shared" si="50"/>
        <v>-5901</v>
      </c>
      <c r="G596" s="3">
        <f t="shared" si="50"/>
        <v>-25056</v>
      </c>
      <c r="H596" s="3">
        <f t="shared" si="50"/>
        <v>-37341</v>
      </c>
      <c r="I596" s="3">
        <f t="shared" si="50"/>
        <v>-47535</v>
      </c>
      <c r="J596" s="3">
        <f t="shared" si="50"/>
        <v>-58568</v>
      </c>
      <c r="K596" s="3">
        <f t="shared" si="50"/>
        <v>-70493</v>
      </c>
      <c r="M596" s="715"/>
      <c r="N596" s="715"/>
      <c r="O596" s="715"/>
      <c r="P596" s="715"/>
      <c r="Q596" s="715"/>
      <c r="R596" s="715"/>
    </row>
    <row r="597" spans="2:18" ht="7.5" customHeight="1">
      <c r="B597" s="131"/>
      <c r="C597" s="3"/>
      <c r="D597" s="2"/>
      <c r="E597" s="2"/>
      <c r="F597" s="2"/>
      <c r="G597" s="2"/>
      <c r="H597" s="2"/>
      <c r="I597" s="2"/>
      <c r="J597" s="2"/>
      <c r="K597" s="2"/>
    </row>
    <row r="598" spans="2:18" ht="20.100000000000001" customHeight="1" thickBot="1">
      <c r="B598" s="126" t="s">
        <v>784</v>
      </c>
      <c r="C598" s="81">
        <v>471076</v>
      </c>
      <c r="D598" s="81">
        <v>466683</v>
      </c>
      <c r="E598" s="81">
        <v>392989</v>
      </c>
      <c r="F598" s="81">
        <f>D598+F596</f>
        <v>460782</v>
      </c>
      <c r="G598" s="81">
        <f>F598+G596</f>
        <v>435726</v>
      </c>
      <c r="H598" s="81">
        <f>G598+H596</f>
        <v>398385</v>
      </c>
      <c r="I598" s="81">
        <f>H598+I596</f>
        <v>350850</v>
      </c>
      <c r="J598" s="81">
        <f>I598+J596</f>
        <v>292282</v>
      </c>
      <c r="K598" s="81">
        <f>J598+K596</f>
        <v>221789</v>
      </c>
    </row>
    <row r="599" spans="2:18" ht="15.75" thickTop="1">
      <c r="B599" s="132"/>
      <c r="C599" s="133">
        <f t="shared" ref="C599:K599" si="51">+C598/C594</f>
        <v>0.65751229670654843</v>
      </c>
      <c r="D599" s="133">
        <f t="shared" si="51"/>
        <v>0.64470019727135586</v>
      </c>
      <c r="E599" s="133">
        <f t="shared" si="51"/>
        <v>0.54877381228338185</v>
      </c>
      <c r="F599" s="133">
        <f t="shared" si="51"/>
        <v>0.64789552276581208</v>
      </c>
      <c r="G599" s="133">
        <f t="shared" si="51"/>
        <v>0.57563911681592939</v>
      </c>
      <c r="H599" s="133">
        <f t="shared" si="51"/>
        <v>0.50838016630170135</v>
      </c>
      <c r="I599" s="133">
        <f t="shared" si="51"/>
        <v>0.43362084840634912</v>
      </c>
      <c r="J599" s="133">
        <f t="shared" si="51"/>
        <v>0.34969156333599738</v>
      </c>
      <c r="K599" s="133">
        <f t="shared" si="51"/>
        <v>0.25674896623896204</v>
      </c>
    </row>
    <row r="600" spans="2:18">
      <c r="B600" s="132"/>
      <c r="C600" s="133"/>
      <c r="D600" s="133"/>
      <c r="E600" s="133"/>
      <c r="F600" s="133"/>
      <c r="G600" s="133"/>
      <c r="H600" s="133"/>
      <c r="I600" s="133"/>
      <c r="J600" s="133"/>
      <c r="K600" s="133"/>
    </row>
    <row r="601" spans="2:18" ht="7.5" customHeight="1">
      <c r="B601" s="132"/>
      <c r="C601" s="142"/>
      <c r="D601" s="142"/>
      <c r="E601" s="142"/>
      <c r="F601" s="142"/>
      <c r="G601" s="142"/>
      <c r="H601" s="142"/>
      <c r="I601" s="142"/>
      <c r="J601" s="142"/>
      <c r="K601" s="142"/>
    </row>
    <row r="602" spans="2:18">
      <c r="B602" s="132"/>
      <c r="C602" s="2"/>
      <c r="D602" s="2"/>
      <c r="E602" s="2"/>
      <c r="F602" s="2"/>
      <c r="G602" s="2"/>
      <c r="H602" s="2"/>
      <c r="I602" s="2"/>
      <c r="J602" s="2"/>
      <c r="K602" s="2"/>
    </row>
    <row r="603" spans="2:18">
      <c r="B603" s="1"/>
      <c r="C603" s="2"/>
      <c r="D603" s="2"/>
      <c r="E603" s="2"/>
      <c r="F603" s="2"/>
      <c r="G603" s="2"/>
      <c r="H603" s="2"/>
      <c r="I603" s="2"/>
      <c r="J603" s="2"/>
      <c r="K603" s="2"/>
    </row>
    <row r="604" spans="2:18">
      <c r="B604" s="1"/>
      <c r="C604" s="2"/>
      <c r="D604" s="2"/>
      <c r="E604" s="2"/>
      <c r="F604" s="2"/>
      <c r="G604" s="2"/>
      <c r="H604" s="2"/>
      <c r="I604" s="2"/>
      <c r="J604" s="2"/>
      <c r="K604" s="2"/>
    </row>
    <row r="605" spans="2:18">
      <c r="B605" s="1"/>
      <c r="C605" s="2"/>
      <c r="D605" s="2"/>
      <c r="E605" s="2"/>
      <c r="F605" s="2"/>
      <c r="G605" s="2"/>
      <c r="H605" s="2"/>
      <c r="I605" s="2"/>
      <c r="J605" s="2"/>
      <c r="K605" s="2"/>
    </row>
    <row r="606" spans="2:18">
      <c r="B606" s="1"/>
      <c r="C606" s="2"/>
      <c r="D606" s="2"/>
      <c r="E606" s="2"/>
      <c r="F606" s="2"/>
      <c r="G606" s="2"/>
      <c r="H606" s="2"/>
      <c r="I606" s="2"/>
      <c r="J606" s="2"/>
      <c r="K606" s="2"/>
    </row>
    <row r="607" spans="2:18">
      <c r="B607" s="1"/>
      <c r="C607" s="2"/>
      <c r="D607" s="2"/>
      <c r="E607" s="2"/>
      <c r="F607" s="2"/>
      <c r="G607" s="2"/>
      <c r="H607" s="2"/>
      <c r="I607" s="2"/>
      <c r="J607" s="2"/>
      <c r="K607" s="2"/>
    </row>
    <row r="608" spans="2:18">
      <c r="B608" s="1"/>
      <c r="C608" s="2"/>
      <c r="D608" s="2"/>
      <c r="E608" s="2"/>
      <c r="F608" s="2"/>
      <c r="G608" s="2"/>
      <c r="H608" s="2"/>
      <c r="I608" s="2"/>
      <c r="J608" s="2"/>
      <c r="K608" s="2"/>
    </row>
    <row r="609" spans="2:11">
      <c r="B609" s="1"/>
      <c r="C609" s="2"/>
      <c r="D609" s="2"/>
      <c r="E609" s="2"/>
      <c r="F609" s="2"/>
      <c r="G609" s="2"/>
      <c r="H609" s="2"/>
      <c r="I609" s="2"/>
      <c r="J609" s="2"/>
      <c r="K609" s="2"/>
    </row>
    <row r="610" spans="2:11">
      <c r="B610" s="1"/>
      <c r="C610" s="2"/>
      <c r="D610" s="2"/>
      <c r="E610" s="2"/>
      <c r="F610" s="2"/>
      <c r="G610" s="2"/>
      <c r="H610" s="2"/>
      <c r="I610" s="2"/>
      <c r="J610" s="2"/>
      <c r="K610" s="2"/>
    </row>
    <row r="611" spans="2:11">
      <c r="B611" s="1"/>
      <c r="C611" s="2"/>
      <c r="D611" s="2"/>
      <c r="E611" s="2"/>
      <c r="F611" s="2"/>
      <c r="G611" s="2"/>
      <c r="H611" s="2"/>
      <c r="I611" s="2"/>
      <c r="J611" s="2"/>
      <c r="K611" s="2"/>
    </row>
    <row r="612" spans="2:11">
      <c r="B612" s="1"/>
      <c r="C612" s="2"/>
      <c r="D612" s="2"/>
      <c r="E612" s="2"/>
      <c r="F612" s="2"/>
      <c r="G612" s="2"/>
      <c r="H612" s="2"/>
      <c r="I612" s="2"/>
      <c r="J612" s="2"/>
      <c r="K612" s="2"/>
    </row>
    <row r="613" spans="2:11">
      <c r="B613" s="1"/>
      <c r="C613" s="2"/>
      <c r="D613" s="2"/>
      <c r="E613" s="2"/>
      <c r="F613" s="2"/>
      <c r="G613" s="2"/>
      <c r="H613" s="2"/>
      <c r="I613" s="2"/>
      <c r="J613" s="2"/>
      <c r="K613" s="2"/>
    </row>
    <row r="614" spans="2:11">
      <c r="B614" s="1"/>
      <c r="C614" s="2"/>
      <c r="D614" s="2"/>
      <c r="E614" s="2"/>
      <c r="F614" s="2"/>
      <c r="G614" s="2"/>
      <c r="H614" s="2"/>
      <c r="I614" s="2"/>
      <c r="J614" s="2"/>
      <c r="K614" s="2"/>
    </row>
    <row r="615" spans="2:11">
      <c r="B615" s="1"/>
      <c r="C615" s="2"/>
      <c r="D615" s="2"/>
      <c r="E615" s="2"/>
      <c r="F615" s="2"/>
      <c r="G615" s="2"/>
      <c r="H615" s="2"/>
      <c r="I615" s="2"/>
      <c r="J615" s="2"/>
      <c r="K615" s="2"/>
    </row>
    <row r="616" spans="2:11" ht="18.75" customHeight="1">
      <c r="B616" s="764" t="s">
        <v>808</v>
      </c>
      <c r="C616" s="764"/>
      <c r="D616" s="764"/>
      <c r="E616" s="764"/>
      <c r="F616" s="764"/>
      <c r="G616" s="764"/>
      <c r="H616" s="764"/>
      <c r="I616" s="764"/>
      <c r="J616" s="764"/>
      <c r="K616" s="764"/>
    </row>
    <row r="617" spans="2:11">
      <c r="B617" s="65"/>
      <c r="C617" s="3"/>
      <c r="D617" s="2"/>
      <c r="E617" s="2"/>
      <c r="F617" s="2"/>
      <c r="G617" s="2"/>
      <c r="H617" s="2"/>
      <c r="I617" s="2"/>
      <c r="J617" s="2"/>
      <c r="K617" s="2"/>
    </row>
    <row r="618" spans="2:11" ht="12.75" customHeight="1">
      <c r="B618" s="761" t="s">
        <v>1196</v>
      </c>
      <c r="C618" s="761"/>
      <c r="D618" s="761"/>
      <c r="E618" s="761"/>
      <c r="F618" s="761"/>
      <c r="G618" s="761"/>
      <c r="H618" s="761"/>
      <c r="I618" s="761"/>
      <c r="J618" s="761"/>
      <c r="K618" s="761"/>
    </row>
    <row r="619" spans="2:11" ht="12.75" customHeight="1">
      <c r="B619" s="761"/>
      <c r="C619" s="761"/>
      <c r="D619" s="761"/>
      <c r="E619" s="761"/>
      <c r="F619" s="761"/>
      <c r="G619" s="761"/>
      <c r="H619" s="761"/>
      <c r="I619" s="761"/>
      <c r="J619" s="761"/>
      <c r="K619" s="761"/>
    </row>
    <row r="620" spans="2:11">
      <c r="B620" s="481"/>
      <c r="C620" s="22"/>
      <c r="D620" s="22"/>
      <c r="E620" s="22"/>
      <c r="F620" s="22"/>
      <c r="G620" s="22"/>
      <c r="H620" s="2"/>
      <c r="I620" s="2"/>
      <c r="J620" s="2"/>
      <c r="K620" s="2"/>
    </row>
    <row r="621" spans="2:11">
      <c r="B621" s="5"/>
      <c r="C621" s="65"/>
      <c r="D621" s="66"/>
      <c r="E621" s="65" t="s">
        <v>257</v>
      </c>
      <c r="F621" s="1"/>
      <c r="G621" s="1"/>
      <c r="H621" s="1"/>
      <c r="I621" s="1"/>
      <c r="J621" s="1"/>
      <c r="K621" s="1"/>
    </row>
    <row r="622" spans="2:11">
      <c r="B622" s="66"/>
      <c r="C622" s="65" t="s">
        <v>249</v>
      </c>
      <c r="D622" s="49" t="s">
        <v>256</v>
      </c>
      <c r="E622" s="66" t="s">
        <v>763</v>
      </c>
      <c r="F622" s="66" t="s">
        <v>257</v>
      </c>
      <c r="G622" s="66" t="s">
        <v>258</v>
      </c>
      <c r="H622" s="66" t="s">
        <v>926</v>
      </c>
      <c r="I622" s="66" t="s">
        <v>1026</v>
      </c>
      <c r="J622" s="66" t="s">
        <v>1060</v>
      </c>
      <c r="K622" s="66" t="s">
        <v>1061</v>
      </c>
    </row>
    <row r="623" spans="2:11" ht="15.75" thickBot="1">
      <c r="B623" s="136"/>
      <c r="C623" s="68" t="s">
        <v>1</v>
      </c>
      <c r="D623" s="68" t="s">
        <v>1</v>
      </c>
      <c r="E623" s="68" t="s">
        <v>720</v>
      </c>
      <c r="F623" s="68" t="s">
        <v>19</v>
      </c>
      <c r="G623" s="68" t="str">
        <f>$M$1</f>
        <v>Adopted</v>
      </c>
      <c r="H623" s="68" t="s">
        <v>19</v>
      </c>
      <c r="I623" s="68" t="s">
        <v>19</v>
      </c>
      <c r="J623" s="68" t="s">
        <v>19</v>
      </c>
      <c r="K623" s="68" t="s">
        <v>19</v>
      </c>
    </row>
    <row r="624" spans="2:11">
      <c r="B624" s="64"/>
      <c r="C624" s="137"/>
      <c r="D624" s="2"/>
      <c r="E624" s="2"/>
      <c r="F624" s="2"/>
      <c r="G624" s="2"/>
      <c r="H624" s="2"/>
      <c r="I624" s="2"/>
      <c r="J624" s="2"/>
      <c r="K624" s="2"/>
    </row>
    <row r="625" spans="2:11">
      <c r="B625" s="128" t="s">
        <v>764</v>
      </c>
      <c r="C625" s="2"/>
      <c r="D625" s="2"/>
      <c r="E625" s="2"/>
      <c r="F625" s="2"/>
      <c r="G625" s="2"/>
      <c r="H625" s="2"/>
      <c r="I625" s="2"/>
      <c r="J625" s="2"/>
      <c r="K625" s="2"/>
    </row>
    <row r="626" spans="2:11" ht="20.100000000000001" customHeight="1">
      <c r="B626" s="437" t="s">
        <v>765</v>
      </c>
      <c r="C626" s="2">
        <f>'Budget Detail FY 2014-21'!L964</f>
        <v>746464</v>
      </c>
      <c r="D626" s="2">
        <f>'Budget Detail FY 2014-21'!M964</f>
        <v>727762</v>
      </c>
      <c r="E626" s="2">
        <f>'Budget Detail FY 2014-21'!N964</f>
        <v>749846</v>
      </c>
      <c r="F626" s="2">
        <f>'Budget Detail FY 2014-21'!O964</f>
        <v>746621</v>
      </c>
      <c r="G626" s="2">
        <f>'Budget Detail FY 2014-21'!P964</f>
        <v>749771</v>
      </c>
      <c r="H626" s="2">
        <f>'Budget Detail FY 2014-21'!Q964</f>
        <v>757396</v>
      </c>
      <c r="I626" s="2">
        <f>'Budget Detail FY 2014-21'!R964</f>
        <v>789101</v>
      </c>
      <c r="J626" s="2">
        <f>'Budget Detail FY 2014-21'!S964</f>
        <v>794013</v>
      </c>
      <c r="K626" s="2">
        <f>'Budget Detail FY 2014-21'!T964</f>
        <v>824088</v>
      </c>
    </row>
    <row r="627" spans="2:11" ht="20.100000000000001" customHeight="1">
      <c r="B627" s="438" t="s">
        <v>770</v>
      </c>
      <c r="C627" s="2">
        <f>'Budget Detail FY 2014-21'!L965</f>
        <v>71</v>
      </c>
      <c r="D627" s="2">
        <f>'Budget Detail FY 2014-21'!M965</f>
        <v>72</v>
      </c>
      <c r="E627" s="2">
        <f>'Budget Detail FY 2014-21'!N965</f>
        <v>30</v>
      </c>
      <c r="F627" s="2">
        <f>'Budget Detail FY 2014-21'!O965</f>
        <v>10</v>
      </c>
      <c r="G627" s="2">
        <f>'Budget Detail FY 2014-21'!P965</f>
        <v>0</v>
      </c>
      <c r="H627" s="2">
        <f>'Budget Detail FY 2014-21'!Q965</f>
        <v>0</v>
      </c>
      <c r="I627" s="2">
        <f>'Budget Detail FY 2014-21'!R965</f>
        <v>0</v>
      </c>
      <c r="J627" s="2">
        <f>'Budget Detail FY 2014-21'!S965</f>
        <v>0</v>
      </c>
      <c r="K627" s="2">
        <f>'Budget Detail FY 2014-21'!T965</f>
        <v>0</v>
      </c>
    </row>
    <row r="628" spans="2:11" ht="20.100000000000001" customHeight="1">
      <c r="B628" s="440" t="s">
        <v>773</v>
      </c>
      <c r="C628" s="2">
        <f>'Budget Detail FY 2014-21'!L966</f>
        <v>21185</v>
      </c>
      <c r="D628" s="2">
        <f>'Budget Detail FY 2014-21'!M966</f>
        <v>3487</v>
      </c>
      <c r="E628" s="2">
        <f>'Budget Detail FY 2014-21'!N966</f>
        <v>0</v>
      </c>
      <c r="F628" s="2">
        <f>'Budget Detail FY 2014-21'!O966</f>
        <v>3215</v>
      </c>
      <c r="G628" s="2">
        <f>'Budget Detail FY 2014-21'!P966</f>
        <v>3000</v>
      </c>
      <c r="H628" s="2">
        <f>'Budget Detail FY 2014-21'!Q966</f>
        <v>3000</v>
      </c>
      <c r="I628" s="2">
        <f>'Budget Detail FY 2014-21'!R966</f>
        <v>3000</v>
      </c>
      <c r="J628" s="2">
        <f>'Budget Detail FY 2014-21'!S966</f>
        <v>3000</v>
      </c>
      <c r="K628" s="2">
        <f>'Budget Detail FY 2014-21'!T966</f>
        <v>3000</v>
      </c>
    </row>
    <row r="629" spans="2:11" ht="20.100000000000001" customHeight="1" thickBot="1">
      <c r="B629" s="127" t="s">
        <v>774</v>
      </c>
      <c r="C629" s="124">
        <f t="shared" ref="C629:J629" si="52">SUM(C626:C628)</f>
        <v>767720</v>
      </c>
      <c r="D629" s="124">
        <f t="shared" si="52"/>
        <v>731321</v>
      </c>
      <c r="E629" s="124">
        <f>SUM(E626:E628)</f>
        <v>749876</v>
      </c>
      <c r="F629" s="124">
        <f t="shared" si="52"/>
        <v>749846</v>
      </c>
      <c r="G629" s="124">
        <f t="shared" si="52"/>
        <v>752771</v>
      </c>
      <c r="H629" s="124">
        <f t="shared" si="52"/>
        <v>760396</v>
      </c>
      <c r="I629" s="124">
        <f t="shared" si="52"/>
        <v>792101</v>
      </c>
      <c r="J629" s="124">
        <f t="shared" si="52"/>
        <v>797013</v>
      </c>
      <c r="K629" s="124">
        <f>SUM(K626:K628)</f>
        <v>827088</v>
      </c>
    </row>
    <row r="630" spans="2:11">
      <c r="B630" s="1"/>
      <c r="C630" s="2"/>
      <c r="D630" s="2"/>
      <c r="E630" s="2"/>
      <c r="F630" s="2"/>
      <c r="G630" s="2"/>
      <c r="H630" s="2"/>
      <c r="I630" s="2"/>
      <c r="J630" s="2"/>
      <c r="K630" s="2"/>
    </row>
    <row r="631" spans="2:11">
      <c r="B631" s="128" t="s">
        <v>548</v>
      </c>
      <c r="C631" s="2"/>
      <c r="D631" s="2"/>
      <c r="E631" s="2"/>
      <c r="F631" s="2"/>
      <c r="G631" s="2"/>
      <c r="H631" s="2"/>
      <c r="I631" s="2"/>
      <c r="J631" s="2"/>
      <c r="K631" s="2"/>
    </row>
    <row r="632" spans="2:11" ht="20.100000000000001" customHeight="1">
      <c r="B632" s="440" t="s">
        <v>705</v>
      </c>
      <c r="C632" s="2">
        <f>SUM('Budget Detail FY 2014-21'!L971:L978)</f>
        <v>767720</v>
      </c>
      <c r="D632" s="2">
        <f>SUM('Budget Detail FY 2014-21'!M971:M978)</f>
        <v>731321</v>
      </c>
      <c r="E632" s="2">
        <f>SUM('Budget Detail FY 2014-21'!N971:N978)</f>
        <v>749846</v>
      </c>
      <c r="F632" s="2">
        <f>SUM('Budget Detail FY 2014-21'!O971:O978)</f>
        <v>749846</v>
      </c>
      <c r="G632" s="2">
        <f>SUM('Budget Detail FY 2014-21'!P971:P978)</f>
        <v>752771</v>
      </c>
      <c r="H632" s="2">
        <f>SUM('Budget Detail FY 2014-21'!Q971:Q978)</f>
        <v>760396</v>
      </c>
      <c r="I632" s="2">
        <f>SUM('Budget Detail FY 2014-21'!R971:R978)</f>
        <v>792101</v>
      </c>
      <c r="J632" s="2">
        <f>SUM('Budget Detail FY 2014-21'!S971:S978)</f>
        <v>797013</v>
      </c>
      <c r="K632" s="2">
        <f>SUM('Budget Detail FY 2014-21'!T971:T978)</f>
        <v>827088</v>
      </c>
    </row>
    <row r="633" spans="2:11" ht="20.100000000000001" customHeight="1" thickBot="1">
      <c r="B633" s="127" t="s">
        <v>782</v>
      </c>
      <c r="C633" s="124">
        <f t="shared" ref="C633:J633" si="53">SUM(C632:C632)</f>
        <v>767720</v>
      </c>
      <c r="D633" s="124">
        <f t="shared" si="53"/>
        <v>731321</v>
      </c>
      <c r="E633" s="124">
        <f>SUM(E632:E632)</f>
        <v>749846</v>
      </c>
      <c r="F633" s="124">
        <f t="shared" si="53"/>
        <v>749846</v>
      </c>
      <c r="G633" s="124">
        <f t="shared" si="53"/>
        <v>752771</v>
      </c>
      <c r="H633" s="124">
        <f t="shared" si="53"/>
        <v>760396</v>
      </c>
      <c r="I633" s="124">
        <f t="shared" si="53"/>
        <v>792101</v>
      </c>
      <c r="J633" s="124">
        <f t="shared" si="53"/>
        <v>797013</v>
      </c>
      <c r="K633" s="124">
        <f>SUM(K632:K632)</f>
        <v>827088</v>
      </c>
    </row>
    <row r="634" spans="2:11">
      <c r="B634" s="130"/>
      <c r="C634" s="3"/>
      <c r="D634" s="2"/>
      <c r="E634" s="2"/>
      <c r="F634" s="2"/>
      <c r="G634" s="2"/>
      <c r="H634" s="2"/>
      <c r="I634" s="2"/>
      <c r="J634" s="2"/>
      <c r="K634" s="2"/>
    </row>
    <row r="635" spans="2:11" ht="20.100000000000001" customHeight="1">
      <c r="B635" s="441" t="s">
        <v>783</v>
      </c>
      <c r="C635" s="3">
        <f t="shared" ref="C635:K635" si="54">+C629-C633</f>
        <v>0</v>
      </c>
      <c r="D635" s="3">
        <f t="shared" si="54"/>
        <v>0</v>
      </c>
      <c r="E635" s="3">
        <f t="shared" si="54"/>
        <v>30</v>
      </c>
      <c r="F635" s="3">
        <f t="shared" si="54"/>
        <v>0</v>
      </c>
      <c r="G635" s="3">
        <f t="shared" si="54"/>
        <v>0</v>
      </c>
      <c r="H635" s="3">
        <f t="shared" si="54"/>
        <v>0</v>
      </c>
      <c r="I635" s="3">
        <f t="shared" si="54"/>
        <v>0</v>
      </c>
      <c r="J635" s="3">
        <f t="shared" si="54"/>
        <v>0</v>
      </c>
      <c r="K635" s="3">
        <f t="shared" si="54"/>
        <v>0</v>
      </c>
    </row>
    <row r="636" spans="2:11">
      <c r="B636" s="131"/>
      <c r="C636" s="3"/>
      <c r="D636" s="2"/>
      <c r="E636" s="2"/>
      <c r="F636" s="2"/>
      <c r="G636" s="2"/>
      <c r="H636" s="2"/>
      <c r="I636" s="2"/>
      <c r="J636" s="2"/>
      <c r="K636" s="2"/>
    </row>
    <row r="637" spans="2:11" ht="20.100000000000001" customHeight="1" thickBot="1">
      <c r="B637" s="126" t="s">
        <v>784</v>
      </c>
      <c r="C637" s="81">
        <v>0</v>
      </c>
      <c r="D637" s="81">
        <v>0</v>
      </c>
      <c r="E637" s="81">
        <v>30</v>
      </c>
      <c r="F637" s="81">
        <f>D637+F635</f>
        <v>0</v>
      </c>
      <c r="G637" s="81">
        <f>F637+G635</f>
        <v>0</v>
      </c>
      <c r="H637" s="81">
        <f>G637+H635</f>
        <v>0</v>
      </c>
      <c r="I637" s="81">
        <f>H637+I635</f>
        <v>0</v>
      </c>
      <c r="J637" s="81">
        <f>I637+J635</f>
        <v>0</v>
      </c>
      <c r="K637" s="81">
        <f>J637+K635</f>
        <v>0</v>
      </c>
    </row>
    <row r="638" spans="2:11" ht="15.75" thickTop="1">
      <c r="B638" s="132"/>
      <c r="C638" s="3"/>
      <c r="D638" s="3"/>
      <c r="E638" s="3"/>
      <c r="F638" s="3"/>
      <c r="G638" s="3"/>
      <c r="H638" s="2"/>
      <c r="I638" s="2"/>
      <c r="J638" s="2"/>
      <c r="K638" s="2"/>
    </row>
    <row r="639" spans="2:11">
      <c r="B639" s="132"/>
      <c r="C639" s="2"/>
      <c r="D639" s="2"/>
      <c r="E639" s="2"/>
      <c r="F639" s="2"/>
      <c r="G639" s="2"/>
      <c r="H639" s="2"/>
      <c r="I639" s="2"/>
      <c r="J639" s="2"/>
      <c r="K639" s="2"/>
    </row>
    <row r="640" spans="2:11">
      <c r="B640" s="1"/>
      <c r="C640" s="2"/>
      <c r="D640" s="2"/>
      <c r="E640" s="2"/>
      <c r="F640" s="2"/>
      <c r="G640" s="2"/>
      <c r="H640" s="2"/>
      <c r="I640" s="2"/>
      <c r="J640" s="2"/>
      <c r="K640" s="2"/>
    </row>
    <row r="641" spans="2:11">
      <c r="B641" s="1"/>
      <c r="C641" s="2"/>
      <c r="D641" s="2"/>
      <c r="E641" s="2"/>
      <c r="F641" s="2"/>
      <c r="G641" s="2"/>
      <c r="H641" s="2"/>
      <c r="I641" s="2"/>
      <c r="J641" s="2"/>
      <c r="K641" s="2"/>
    </row>
    <row r="642" spans="2:11">
      <c r="B642" s="1"/>
      <c r="C642" s="2"/>
      <c r="D642" s="2"/>
      <c r="E642" s="2"/>
      <c r="F642" s="2"/>
      <c r="G642" s="2"/>
      <c r="H642" s="2"/>
      <c r="I642" s="2"/>
      <c r="J642" s="2"/>
      <c r="K642" s="2"/>
    </row>
    <row r="643" spans="2:11">
      <c r="B643" s="1"/>
      <c r="C643" s="2"/>
      <c r="D643" s="2"/>
      <c r="E643" s="2"/>
      <c r="F643" s="2"/>
      <c r="G643" s="2"/>
      <c r="H643" s="2"/>
      <c r="I643" s="2"/>
      <c r="J643" s="2"/>
      <c r="K643" s="2"/>
    </row>
    <row r="644" spans="2:11">
      <c r="B644" s="1"/>
      <c r="C644" s="2"/>
      <c r="D644" s="2"/>
      <c r="E644" s="2"/>
      <c r="F644" s="2"/>
      <c r="G644" s="2"/>
      <c r="H644" s="2"/>
      <c r="I644" s="2"/>
      <c r="J644" s="2"/>
      <c r="K644" s="2"/>
    </row>
    <row r="645" spans="2:11">
      <c r="B645" s="1"/>
      <c r="C645" s="2"/>
      <c r="D645" s="2"/>
      <c r="E645" s="2"/>
      <c r="F645" s="2"/>
      <c r="G645" s="2"/>
      <c r="H645" s="2"/>
      <c r="I645" s="2"/>
      <c r="J645" s="2"/>
      <c r="K645" s="2"/>
    </row>
    <row r="646" spans="2:11">
      <c r="B646" s="1"/>
      <c r="C646" s="2"/>
      <c r="D646" s="2"/>
      <c r="E646" s="2"/>
      <c r="F646" s="2"/>
      <c r="G646" s="2"/>
      <c r="H646" s="2"/>
      <c r="I646" s="2"/>
      <c r="J646" s="2"/>
      <c r="K646" s="2"/>
    </row>
    <row r="647" spans="2:11">
      <c r="B647" s="1"/>
      <c r="C647" s="2"/>
      <c r="D647" s="2"/>
      <c r="E647" s="2"/>
      <c r="F647" s="2"/>
      <c r="G647" s="2"/>
      <c r="H647" s="2"/>
      <c r="I647" s="2"/>
      <c r="J647" s="2"/>
      <c r="K647" s="2"/>
    </row>
    <row r="648" spans="2:11">
      <c r="B648" s="1"/>
      <c r="C648" s="2"/>
      <c r="D648" s="2"/>
      <c r="E648" s="2"/>
      <c r="F648" s="2"/>
      <c r="G648" s="2"/>
      <c r="H648" s="2"/>
      <c r="I648" s="2"/>
      <c r="J648" s="2"/>
      <c r="K648" s="2"/>
    </row>
    <row r="649" spans="2:11">
      <c r="B649" s="1"/>
      <c r="C649" s="2"/>
      <c r="D649" s="2"/>
      <c r="E649" s="2"/>
      <c r="F649" s="2"/>
      <c r="G649" s="2"/>
      <c r="H649" s="2"/>
      <c r="I649" s="2"/>
      <c r="J649" s="2"/>
      <c r="K649" s="2"/>
    </row>
    <row r="650" spans="2:11">
      <c r="B650" s="1"/>
      <c r="C650" s="2"/>
      <c r="D650" s="2"/>
      <c r="E650" s="2"/>
      <c r="F650" s="2"/>
      <c r="G650" s="2"/>
      <c r="H650" s="2"/>
      <c r="I650" s="2"/>
      <c r="J650" s="2"/>
      <c r="K650" s="2"/>
    </row>
    <row r="651" spans="2:11">
      <c r="B651" s="1"/>
      <c r="C651" s="2"/>
      <c r="D651" s="2"/>
      <c r="E651" s="2"/>
      <c r="F651" s="2"/>
      <c r="G651" s="2"/>
      <c r="H651" s="2"/>
      <c r="I651" s="2"/>
      <c r="J651" s="2"/>
      <c r="K651" s="2"/>
    </row>
    <row r="654" spans="2:11">
      <c r="B654" s="764" t="s">
        <v>809</v>
      </c>
      <c r="C654" s="764"/>
      <c r="D654" s="764"/>
      <c r="E654" s="764"/>
      <c r="F654" s="764"/>
      <c r="G654" s="764"/>
      <c r="H654" s="764"/>
      <c r="I654" s="764"/>
      <c r="J654" s="764"/>
      <c r="K654" s="764"/>
    </row>
    <row r="655" spans="2:11">
      <c r="B655" s="65" t="s">
        <v>739</v>
      </c>
      <c r="C655" s="3"/>
      <c r="D655" s="2"/>
      <c r="E655" s="2"/>
      <c r="F655" s="2"/>
      <c r="G655" s="2"/>
      <c r="H655" s="2"/>
      <c r="I655" s="2"/>
      <c r="J655" s="2"/>
      <c r="K655" s="2"/>
    </row>
    <row r="656" spans="2:11" ht="12.75" customHeight="1">
      <c r="B656" s="761" t="s">
        <v>1065</v>
      </c>
      <c r="C656" s="761"/>
      <c r="D656" s="761"/>
      <c r="E656" s="761"/>
      <c r="F656" s="761"/>
      <c r="G656" s="761"/>
      <c r="H656" s="761"/>
      <c r="I656" s="761"/>
      <c r="J656" s="761"/>
      <c r="K656" s="761"/>
    </row>
    <row r="657" spans="2:11" ht="18" customHeight="1">
      <c r="B657" s="761"/>
      <c r="C657" s="761"/>
      <c r="D657" s="761"/>
      <c r="E657" s="761"/>
      <c r="F657" s="761"/>
      <c r="G657" s="761"/>
      <c r="H657" s="761"/>
      <c r="I657" s="761"/>
      <c r="J657" s="761"/>
      <c r="K657" s="761"/>
    </row>
    <row r="658" spans="2:11">
      <c r="B658" s="481"/>
      <c r="C658" s="22"/>
      <c r="D658" s="22"/>
      <c r="E658" s="22"/>
      <c r="F658" s="22"/>
      <c r="G658" s="22"/>
      <c r="H658" s="2"/>
      <c r="I658" s="2"/>
      <c r="J658" s="2"/>
      <c r="K658" s="2"/>
    </row>
    <row r="659" spans="2:11">
      <c r="B659" s="5"/>
      <c r="C659" s="65"/>
      <c r="D659" s="66"/>
      <c r="E659" s="65" t="s">
        <v>257</v>
      </c>
      <c r="F659" s="1"/>
      <c r="G659" s="1"/>
      <c r="H659" s="1"/>
      <c r="I659" s="1"/>
      <c r="J659" s="1"/>
      <c r="K659" s="1"/>
    </row>
    <row r="660" spans="2:11">
      <c r="B660" s="66"/>
      <c r="C660" s="65" t="s">
        <v>249</v>
      </c>
      <c r="D660" s="49" t="s">
        <v>256</v>
      </c>
      <c r="E660" s="66" t="s">
        <v>763</v>
      </c>
      <c r="F660" s="66" t="s">
        <v>257</v>
      </c>
      <c r="G660" s="66" t="s">
        <v>258</v>
      </c>
      <c r="H660" s="66" t="s">
        <v>926</v>
      </c>
      <c r="I660" s="66" t="s">
        <v>1026</v>
      </c>
      <c r="J660" s="66" t="s">
        <v>1060</v>
      </c>
      <c r="K660" s="66" t="s">
        <v>1061</v>
      </c>
    </row>
    <row r="661" spans="2:11" ht="15.75" thickBot="1">
      <c r="B661" s="136"/>
      <c r="C661" s="68" t="s">
        <v>1</v>
      </c>
      <c r="D661" s="68" t="s">
        <v>1</v>
      </c>
      <c r="E661" s="68" t="s">
        <v>720</v>
      </c>
      <c r="F661" s="68" t="s">
        <v>19</v>
      </c>
      <c r="G661" s="68" t="str">
        <f>$M$1</f>
        <v>Adopted</v>
      </c>
      <c r="H661" s="68" t="s">
        <v>19</v>
      </c>
      <c r="I661" s="68" t="s">
        <v>19</v>
      </c>
      <c r="J661" s="68" t="s">
        <v>19</v>
      </c>
      <c r="K661" s="68" t="s">
        <v>19</v>
      </c>
    </row>
    <row r="662" spans="2:11">
      <c r="B662" s="64"/>
      <c r="C662" s="137"/>
      <c r="D662" s="2"/>
      <c r="E662" s="2"/>
      <c r="F662" s="2"/>
      <c r="G662" s="2"/>
      <c r="H662" s="2"/>
      <c r="I662" s="2"/>
      <c r="J662" s="2"/>
      <c r="K662" s="2"/>
    </row>
    <row r="663" spans="2:11">
      <c r="B663" s="128" t="s">
        <v>764</v>
      </c>
      <c r="C663" s="2"/>
      <c r="D663" s="2"/>
      <c r="E663" s="2"/>
      <c r="F663" s="2"/>
      <c r="G663" s="2"/>
      <c r="H663" s="2"/>
      <c r="I663" s="2"/>
      <c r="J663" s="2"/>
      <c r="K663" s="2"/>
    </row>
    <row r="664" spans="2:11" ht="20.100000000000001" customHeight="1">
      <c r="B664" s="438" t="s">
        <v>767</v>
      </c>
      <c r="C664" s="2">
        <f>'Budget Detail FY 2014-21'!L988</f>
        <v>53650</v>
      </c>
      <c r="D664" s="2">
        <f>'Budget Detail FY 2014-21'!M988</f>
        <v>25325</v>
      </c>
      <c r="E664" s="2">
        <f>'Budget Detail FY 2014-21'!N988</f>
        <v>20000</v>
      </c>
      <c r="F664" s="2">
        <f>'Budget Detail FY 2014-21'!O988</f>
        <v>20000</v>
      </c>
      <c r="G664" s="2">
        <f>'Budget Detail FY 2014-21'!P988</f>
        <v>20000</v>
      </c>
      <c r="H664" s="2">
        <f>'Budget Detail FY 2014-21'!Q988</f>
        <v>20000</v>
      </c>
      <c r="I664" s="2">
        <f>'Budget Detail FY 2014-21'!R988</f>
        <v>20000</v>
      </c>
      <c r="J664" s="2">
        <f>'Budget Detail FY 2014-21'!S988</f>
        <v>20000</v>
      </c>
      <c r="K664" s="2">
        <f>'Budget Detail FY 2014-21'!T988</f>
        <v>20000</v>
      </c>
    </row>
    <row r="665" spans="2:11" ht="20.100000000000001" customHeight="1">
      <c r="B665" s="438" t="s">
        <v>770</v>
      </c>
      <c r="C665" s="2">
        <f>'Budget Detail FY 2014-21'!L989</f>
        <v>16</v>
      </c>
      <c r="D665" s="2">
        <f>'Budget Detail FY 2014-21'!M989</f>
        <v>11</v>
      </c>
      <c r="E665" s="2">
        <f>'Budget Detail FY 2014-21'!N989</f>
        <v>20</v>
      </c>
      <c r="F665" s="2">
        <f>'Budget Detail FY 2014-21'!O989</f>
        <v>10</v>
      </c>
      <c r="G665" s="2">
        <f>'Budget Detail FY 2014-21'!P989</f>
        <v>10</v>
      </c>
      <c r="H665" s="2">
        <f>'Budget Detail FY 2014-21'!Q989</f>
        <v>10</v>
      </c>
      <c r="I665" s="2">
        <f>'Budget Detail FY 2014-21'!R989</f>
        <v>10</v>
      </c>
      <c r="J665" s="2">
        <f>'Budget Detail FY 2014-21'!S989</f>
        <v>10</v>
      </c>
      <c r="K665" s="2">
        <f>'Budget Detail FY 2014-21'!T989</f>
        <v>10</v>
      </c>
    </row>
    <row r="666" spans="2:11" ht="20.100000000000001" customHeight="1">
      <c r="B666" s="438" t="s">
        <v>772</v>
      </c>
      <c r="C666" s="2">
        <f>'Budget Detail FY 2014-21'!L990</f>
        <v>0</v>
      </c>
      <c r="D666" s="2">
        <f>'Budget Detail FY 2014-21'!M990</f>
        <v>13</v>
      </c>
      <c r="E666" s="2">
        <f>'Budget Detail FY 2014-21'!N990</f>
        <v>0</v>
      </c>
      <c r="F666" s="2">
        <f>'Budget Detail FY 2014-21'!O990</f>
        <v>0</v>
      </c>
      <c r="G666" s="2">
        <f>'Budget Detail FY 2014-21'!P990</f>
        <v>0</v>
      </c>
      <c r="H666" s="2">
        <f>'Budget Detail FY 2014-21'!Q990</f>
        <v>0</v>
      </c>
      <c r="I666" s="2">
        <f>'Budget Detail FY 2014-21'!R990</f>
        <v>0</v>
      </c>
      <c r="J666" s="2">
        <f>'Budget Detail FY 2014-21'!S990</f>
        <v>0</v>
      </c>
      <c r="K666" s="2">
        <f>'Budget Detail FY 2014-21'!T990</f>
        <v>0</v>
      </c>
    </row>
    <row r="667" spans="2:11" ht="20.100000000000001" customHeight="1" thickBot="1">
      <c r="B667" s="127" t="s">
        <v>774</v>
      </c>
      <c r="C667" s="124">
        <f>SUM(C664:C666)</f>
        <v>53666</v>
      </c>
      <c r="D667" s="124">
        <f t="shared" ref="D667:K667" si="55">SUM(D664:D666)</f>
        <v>25349</v>
      </c>
      <c r="E667" s="124">
        <f t="shared" si="55"/>
        <v>20020</v>
      </c>
      <c r="F667" s="124">
        <f t="shared" si="55"/>
        <v>20010</v>
      </c>
      <c r="G667" s="124">
        <f t="shared" si="55"/>
        <v>20010</v>
      </c>
      <c r="H667" s="124">
        <f t="shared" si="55"/>
        <v>20010</v>
      </c>
      <c r="I667" s="124">
        <f t="shared" si="55"/>
        <v>20010</v>
      </c>
      <c r="J667" s="124">
        <f t="shared" si="55"/>
        <v>20010</v>
      </c>
      <c r="K667" s="124">
        <f t="shared" si="55"/>
        <v>20010</v>
      </c>
    </row>
    <row r="668" spans="2:11">
      <c r="B668" s="1"/>
      <c r="C668" s="2"/>
      <c r="D668" s="2"/>
      <c r="E668" s="2"/>
      <c r="F668" s="2"/>
      <c r="G668" s="2"/>
      <c r="H668" s="2"/>
      <c r="I668" s="2"/>
      <c r="J668" s="2"/>
      <c r="K668" s="2"/>
    </row>
    <row r="669" spans="2:11">
      <c r="B669" s="128" t="s">
        <v>548</v>
      </c>
      <c r="C669" s="2"/>
      <c r="D669" s="2"/>
      <c r="E669" s="2"/>
      <c r="F669" s="2"/>
      <c r="G669" s="2"/>
      <c r="H669" s="2"/>
      <c r="I669" s="2"/>
      <c r="J669" s="2"/>
      <c r="K669" s="2"/>
    </row>
    <row r="670" spans="2:11" ht="20.100000000000001" customHeight="1">
      <c r="B670" s="439" t="s">
        <v>777</v>
      </c>
      <c r="C670" s="2">
        <f>'Budget Detail FY 2014-21'!L994</f>
        <v>3000</v>
      </c>
      <c r="D670" s="2">
        <f>'Budget Detail FY 2014-21'!M994</f>
        <v>3093</v>
      </c>
      <c r="E670" s="2">
        <f>'Budget Detail FY 2014-21'!N994</f>
        <v>3500</v>
      </c>
      <c r="F670" s="2">
        <f>'Budget Detail FY 2014-21'!O994</f>
        <v>3500</v>
      </c>
      <c r="G670" s="2">
        <f>'Budget Detail FY 2014-21'!P994</f>
        <v>3500</v>
      </c>
      <c r="H670" s="2">
        <f>'Budget Detail FY 2014-21'!Q994</f>
        <v>3500</v>
      </c>
      <c r="I670" s="2">
        <f>'Budget Detail FY 2014-21'!R994</f>
        <v>3500</v>
      </c>
      <c r="J670" s="2">
        <f>'Budget Detail FY 2014-21'!S994</f>
        <v>3500</v>
      </c>
      <c r="K670" s="2">
        <f>'Budget Detail FY 2014-21'!T994</f>
        <v>3500</v>
      </c>
    </row>
    <row r="671" spans="2:11" ht="20.100000000000001" customHeight="1">
      <c r="B671" s="439" t="s">
        <v>778</v>
      </c>
      <c r="C671" s="2">
        <f>SUM('Budget Detail FY 2014-21'!L995:L999)</f>
        <v>39484</v>
      </c>
      <c r="D671" s="2">
        <f>SUM('Budget Detail FY 2014-21'!M995:M999)</f>
        <v>36412</v>
      </c>
      <c r="E671" s="2">
        <f>SUM('Budget Detail FY 2014-21'!N995:N999)</f>
        <v>8395</v>
      </c>
      <c r="F671" s="2">
        <f>SUM('Budget Detail FY 2014-21'!O995:O999)</f>
        <v>8395</v>
      </c>
      <c r="G671" s="2">
        <f>SUM('Budget Detail FY 2014-21'!P995:P999)</f>
        <v>8395</v>
      </c>
      <c r="H671" s="2">
        <f>SUM('Budget Detail FY 2014-21'!Q995:Q999)</f>
        <v>16500</v>
      </c>
      <c r="I671" s="2">
        <f>SUM('Budget Detail FY 2014-21'!R995:R999)</f>
        <v>16510</v>
      </c>
      <c r="J671" s="2">
        <f>SUM('Budget Detail FY 2014-21'!S995:S999)</f>
        <v>16510</v>
      </c>
      <c r="K671" s="2">
        <f>SUM('Budget Detail FY 2014-21'!T995:T999)</f>
        <v>16510</v>
      </c>
    </row>
    <row r="672" spans="2:11" ht="20.100000000000001" customHeight="1" thickBot="1">
      <c r="B672" s="127" t="s">
        <v>782</v>
      </c>
      <c r="C672" s="124">
        <f t="shared" ref="C672:K672" si="56">SUM(C670:C671)</f>
        <v>42484</v>
      </c>
      <c r="D672" s="124">
        <f t="shared" si="56"/>
        <v>39505</v>
      </c>
      <c r="E672" s="124">
        <f t="shared" si="56"/>
        <v>11895</v>
      </c>
      <c r="F672" s="124">
        <f t="shared" si="56"/>
        <v>11895</v>
      </c>
      <c r="G672" s="124">
        <f t="shared" si="56"/>
        <v>11895</v>
      </c>
      <c r="H672" s="124">
        <f t="shared" si="56"/>
        <v>20000</v>
      </c>
      <c r="I672" s="124">
        <f t="shared" si="56"/>
        <v>20010</v>
      </c>
      <c r="J672" s="124">
        <f t="shared" si="56"/>
        <v>20010</v>
      </c>
      <c r="K672" s="124">
        <f t="shared" si="56"/>
        <v>20010</v>
      </c>
    </row>
    <row r="673" spans="2:11">
      <c r="B673" s="130"/>
      <c r="C673" s="3"/>
      <c r="D673" s="2"/>
      <c r="E673" s="2"/>
      <c r="F673" s="2"/>
      <c r="G673" s="2"/>
      <c r="H673" s="2"/>
      <c r="I673" s="2"/>
      <c r="J673" s="2"/>
      <c r="K673" s="2"/>
    </row>
    <row r="674" spans="2:11" ht="20.100000000000001" customHeight="1">
      <c r="B674" s="441" t="s">
        <v>783</v>
      </c>
      <c r="C674" s="3">
        <f t="shared" ref="C674:K674" si="57">C667-C672</f>
        <v>11182</v>
      </c>
      <c r="D674" s="3">
        <f t="shared" si="57"/>
        <v>-14156</v>
      </c>
      <c r="E674" s="3">
        <f t="shared" si="57"/>
        <v>8125</v>
      </c>
      <c r="F674" s="3">
        <f t="shared" si="57"/>
        <v>8115</v>
      </c>
      <c r="G674" s="3">
        <f t="shared" si="57"/>
        <v>8115</v>
      </c>
      <c r="H674" s="3">
        <f t="shared" si="57"/>
        <v>10</v>
      </c>
      <c r="I674" s="3">
        <f t="shared" si="57"/>
        <v>0</v>
      </c>
      <c r="J674" s="3">
        <f t="shared" si="57"/>
        <v>0</v>
      </c>
      <c r="K674" s="3">
        <f t="shared" si="57"/>
        <v>0</v>
      </c>
    </row>
    <row r="675" spans="2:11">
      <c r="B675" s="131"/>
      <c r="C675" s="3"/>
      <c r="D675" s="2"/>
      <c r="E675" s="2"/>
      <c r="F675" s="2"/>
      <c r="G675" s="2"/>
      <c r="H675" s="2"/>
      <c r="I675" s="2"/>
      <c r="J675" s="2"/>
      <c r="K675" s="2"/>
    </row>
    <row r="676" spans="2:11" ht="20.100000000000001" customHeight="1" thickBot="1">
      <c r="B676" s="126" t="s">
        <v>784</v>
      </c>
      <c r="C676" s="81">
        <v>26870</v>
      </c>
      <c r="D676" s="81">
        <v>12714</v>
      </c>
      <c r="E676" s="81">
        <v>-10</v>
      </c>
      <c r="F676" s="81">
        <f>D676+F674</f>
        <v>20829</v>
      </c>
      <c r="G676" s="81">
        <f>F676+G674</f>
        <v>28944</v>
      </c>
      <c r="H676" s="81">
        <f>G676+H674</f>
        <v>28954</v>
      </c>
      <c r="I676" s="81">
        <f>H676+I674</f>
        <v>28954</v>
      </c>
      <c r="J676" s="81">
        <f>I676+J674</f>
        <v>28954</v>
      </c>
      <c r="K676" s="81">
        <f>J676+K674</f>
        <v>28954</v>
      </c>
    </row>
    <row r="677" spans="2:11" ht="15.75" thickTop="1">
      <c r="B677" s="132"/>
      <c r="C677" s="3"/>
      <c r="D677" s="3"/>
      <c r="E677" s="3"/>
      <c r="F677" s="3"/>
      <c r="G677" s="3"/>
      <c r="H677" s="2"/>
      <c r="I677" s="2"/>
      <c r="J677" s="2"/>
      <c r="K677" s="2"/>
    </row>
    <row r="678" spans="2:11">
      <c r="B678" s="132"/>
      <c r="C678" s="2"/>
      <c r="D678" s="2"/>
      <c r="E678" s="2"/>
      <c r="F678" s="2"/>
      <c r="G678" s="2"/>
      <c r="H678" s="2"/>
      <c r="I678" s="2"/>
      <c r="J678" s="2"/>
      <c r="K678" s="2"/>
    </row>
    <row r="679" spans="2:11">
      <c r="B679" s="1"/>
      <c r="C679" s="2"/>
      <c r="D679" s="2"/>
      <c r="E679" s="2"/>
      <c r="F679" s="2"/>
      <c r="G679" s="2"/>
      <c r="H679" s="2"/>
      <c r="I679" s="2"/>
      <c r="J679" s="2"/>
      <c r="K679" s="2"/>
    </row>
    <row r="680" spans="2:11">
      <c r="B680" s="1"/>
      <c r="C680" s="2"/>
      <c r="D680" s="2"/>
      <c r="E680" s="2"/>
      <c r="F680" s="2"/>
      <c r="G680" s="2"/>
      <c r="H680" s="2"/>
      <c r="I680" s="2"/>
      <c r="J680" s="2"/>
      <c r="K680" s="2"/>
    </row>
    <row r="681" spans="2:11">
      <c r="B681" s="1"/>
      <c r="C681" s="2"/>
      <c r="D681" s="2"/>
      <c r="E681" s="2"/>
      <c r="F681" s="2"/>
      <c r="G681" s="2"/>
      <c r="H681" s="2"/>
      <c r="I681" s="2"/>
      <c r="J681" s="2"/>
      <c r="K681" s="2"/>
    </row>
    <row r="682" spans="2:11">
      <c r="B682" s="1"/>
      <c r="C682" s="2"/>
      <c r="D682" s="2"/>
      <c r="E682" s="2"/>
      <c r="F682" s="2"/>
      <c r="G682" s="2"/>
      <c r="H682" s="2"/>
      <c r="I682" s="2"/>
      <c r="J682" s="2"/>
      <c r="K682" s="2"/>
    </row>
    <row r="683" spans="2:11">
      <c r="B683" s="1"/>
      <c r="C683" s="2"/>
      <c r="D683" s="2"/>
      <c r="E683" s="2"/>
      <c r="F683" s="2"/>
      <c r="G683" s="2"/>
      <c r="H683" s="2"/>
      <c r="I683" s="2"/>
      <c r="J683" s="2"/>
      <c r="K683" s="2"/>
    </row>
    <row r="684" spans="2:11">
      <c r="B684" s="1"/>
      <c r="C684" s="2"/>
      <c r="D684" s="2"/>
      <c r="E684" s="2"/>
      <c r="F684" s="2"/>
      <c r="G684" s="2"/>
      <c r="H684" s="2"/>
      <c r="I684" s="2"/>
      <c r="J684" s="2"/>
      <c r="K684" s="2"/>
    </row>
    <row r="685" spans="2:11">
      <c r="B685" s="1"/>
      <c r="C685" s="2"/>
      <c r="D685" s="2"/>
      <c r="E685" s="2"/>
      <c r="F685" s="2"/>
      <c r="G685" s="2"/>
      <c r="H685" s="2"/>
      <c r="I685" s="2"/>
      <c r="J685" s="2"/>
      <c r="K685" s="2"/>
    </row>
    <row r="686" spans="2:11">
      <c r="B686" s="1"/>
      <c r="C686" s="2"/>
      <c r="D686" s="2"/>
      <c r="E686" s="2"/>
      <c r="F686" s="2"/>
      <c r="G686" s="2"/>
      <c r="H686" s="2"/>
      <c r="I686" s="2"/>
      <c r="J686" s="2"/>
      <c r="K686" s="2"/>
    </row>
    <row r="687" spans="2:11">
      <c r="B687" s="1"/>
      <c r="C687" s="2"/>
      <c r="D687" s="2"/>
      <c r="E687" s="2"/>
      <c r="F687" s="2"/>
      <c r="G687" s="2"/>
      <c r="H687" s="2"/>
      <c r="I687" s="2"/>
      <c r="J687" s="2"/>
      <c r="K687" s="2"/>
    </row>
    <row r="688" spans="2:11">
      <c r="B688" s="1"/>
      <c r="C688" s="2"/>
      <c r="D688" s="2"/>
      <c r="E688" s="2"/>
      <c r="F688" s="2"/>
      <c r="G688" s="2"/>
      <c r="H688" s="2"/>
      <c r="I688" s="2"/>
      <c r="J688" s="2"/>
      <c r="K688" s="2"/>
    </row>
    <row r="689" spans="2:11">
      <c r="B689" s="1"/>
      <c r="C689" s="2"/>
      <c r="D689" s="2"/>
      <c r="E689" s="2"/>
      <c r="F689" s="2"/>
      <c r="G689" s="2"/>
      <c r="H689" s="2"/>
      <c r="I689" s="2"/>
      <c r="J689" s="2"/>
      <c r="K689" s="2"/>
    </row>
    <row r="690" spans="2:11">
      <c r="B690" s="1"/>
      <c r="C690" s="2"/>
      <c r="D690" s="2"/>
      <c r="E690" s="2"/>
      <c r="F690" s="2"/>
      <c r="G690" s="2"/>
      <c r="H690" s="2"/>
      <c r="I690" s="2"/>
      <c r="J690" s="2"/>
      <c r="K690" s="2"/>
    </row>
    <row r="691" spans="2:11">
      <c r="B691" s="1"/>
      <c r="C691" s="2"/>
      <c r="D691" s="2"/>
      <c r="E691" s="2"/>
      <c r="F691" s="2"/>
      <c r="G691" s="2"/>
      <c r="H691" s="2"/>
      <c r="I691" s="2"/>
      <c r="J691" s="2"/>
      <c r="K691" s="2"/>
    </row>
    <row r="693" spans="2:11" ht="18.75" customHeight="1">
      <c r="B693" s="764" t="s">
        <v>810</v>
      </c>
      <c r="C693" s="764"/>
      <c r="D693" s="764"/>
      <c r="E693" s="764"/>
      <c r="F693" s="764"/>
      <c r="G693" s="764"/>
      <c r="H693" s="764"/>
      <c r="I693" s="764"/>
      <c r="J693" s="764"/>
      <c r="K693" s="764"/>
    </row>
    <row r="694" spans="2:11">
      <c r="B694" s="65"/>
      <c r="C694" s="3"/>
      <c r="D694" s="2"/>
      <c r="E694" s="2"/>
      <c r="F694" s="2"/>
      <c r="G694" s="2"/>
      <c r="H694" s="2"/>
      <c r="I694" s="2"/>
      <c r="J694" s="2"/>
      <c r="K694" s="2"/>
    </row>
    <row r="695" spans="2:11" ht="12.75" customHeight="1">
      <c r="B695" s="761" t="s">
        <v>811</v>
      </c>
      <c r="C695" s="761"/>
      <c r="D695" s="761"/>
      <c r="E695" s="761"/>
      <c r="F695" s="761"/>
      <c r="G695" s="761"/>
      <c r="H695" s="761"/>
      <c r="I695" s="761"/>
      <c r="J695" s="761"/>
      <c r="K695" s="761"/>
    </row>
    <row r="696" spans="2:11" ht="18.75" customHeight="1">
      <c r="B696" s="761"/>
      <c r="C696" s="761"/>
      <c r="D696" s="761"/>
      <c r="E696" s="761"/>
      <c r="F696" s="761"/>
      <c r="G696" s="761"/>
      <c r="H696" s="761"/>
      <c r="I696" s="761"/>
      <c r="J696" s="761"/>
      <c r="K696" s="761"/>
    </row>
    <row r="697" spans="2:11">
      <c r="B697" s="481"/>
      <c r="C697" s="22"/>
      <c r="D697" s="22"/>
      <c r="E697" s="22"/>
      <c r="F697" s="22"/>
      <c r="G697" s="22"/>
      <c r="H697" s="22"/>
      <c r="I697" s="2"/>
      <c r="J697" s="2"/>
      <c r="K697" s="2"/>
    </row>
    <row r="698" spans="2:11">
      <c r="B698" s="5"/>
      <c r="C698" s="65"/>
      <c r="D698" s="66"/>
      <c r="E698" s="65" t="s">
        <v>257</v>
      </c>
      <c r="F698" s="1"/>
      <c r="G698" s="1"/>
      <c r="H698" s="1"/>
      <c r="I698" s="1"/>
      <c r="J698" s="1"/>
      <c r="K698" s="1"/>
    </row>
    <row r="699" spans="2:11">
      <c r="B699" s="66"/>
      <c r="C699" s="65" t="s">
        <v>249</v>
      </c>
      <c r="D699" s="49" t="s">
        <v>256</v>
      </c>
      <c r="E699" s="66" t="s">
        <v>763</v>
      </c>
      <c r="F699" s="66" t="s">
        <v>257</v>
      </c>
      <c r="G699" s="66" t="s">
        <v>258</v>
      </c>
      <c r="H699" s="66" t="s">
        <v>926</v>
      </c>
      <c r="I699" s="66" t="s">
        <v>1026</v>
      </c>
      <c r="J699" s="66" t="s">
        <v>1060</v>
      </c>
      <c r="K699" s="66" t="s">
        <v>1061</v>
      </c>
    </row>
    <row r="700" spans="2:11" ht="15.75" thickBot="1">
      <c r="B700" s="136"/>
      <c r="C700" s="68" t="s">
        <v>1</v>
      </c>
      <c r="D700" s="68" t="s">
        <v>1</v>
      </c>
      <c r="E700" s="68" t="s">
        <v>720</v>
      </c>
      <c r="F700" s="68" t="s">
        <v>19</v>
      </c>
      <c r="G700" s="68" t="str">
        <f>$M$1</f>
        <v>Adopted</v>
      </c>
      <c r="H700" s="68" t="s">
        <v>19</v>
      </c>
      <c r="I700" s="68" t="s">
        <v>19</v>
      </c>
      <c r="J700" s="68" t="s">
        <v>19</v>
      </c>
      <c r="K700" s="68" t="s">
        <v>19</v>
      </c>
    </row>
    <row r="701" spans="2:11">
      <c r="B701" s="64"/>
      <c r="C701" s="137"/>
      <c r="D701" s="2"/>
      <c r="E701" s="2"/>
      <c r="F701" s="2"/>
      <c r="G701" s="2"/>
      <c r="H701" s="2"/>
      <c r="I701" s="2"/>
      <c r="J701" s="2"/>
      <c r="K701" s="2"/>
    </row>
    <row r="702" spans="2:11">
      <c r="B702" s="128" t="s">
        <v>764</v>
      </c>
      <c r="C702" s="2"/>
      <c r="D702" s="2"/>
      <c r="E702" s="2"/>
      <c r="F702" s="2"/>
      <c r="G702" s="2"/>
      <c r="H702" s="2"/>
      <c r="I702" s="2"/>
      <c r="J702" s="2"/>
      <c r="K702" s="2"/>
    </row>
    <row r="703" spans="2:11" ht="20.100000000000001" customHeight="1">
      <c r="B703" s="437" t="s">
        <v>765</v>
      </c>
      <c r="C703" s="2">
        <f>'Budget Detail FY 2014-21'!L1009+'Budget Detail FY 2014-21'!L1010</f>
        <v>2043</v>
      </c>
      <c r="D703" s="2">
        <f>'Budget Detail FY 2014-21'!M1009+'Budget Detail FY 2014-21'!M1010</f>
        <v>9295</v>
      </c>
      <c r="E703" s="2">
        <f>'Budget Detail FY 2014-21'!N1009+'Budget Detail FY 2014-21'!N1010</f>
        <v>100000</v>
      </c>
      <c r="F703" s="2">
        <f>'Budget Detail FY 2014-21'!O1009+'Budget Detail FY 2014-21'!O1010</f>
        <v>143784</v>
      </c>
      <c r="G703" s="2">
        <f>'Budget Detail FY 2014-21'!P1009+'Budget Detail FY 2014-21'!P1010</f>
        <v>200000</v>
      </c>
      <c r="H703" s="2">
        <f>'Budget Detail FY 2014-21'!Q1009+'Budget Detail FY 2014-21'!Q1010</f>
        <v>200000</v>
      </c>
      <c r="I703" s="2">
        <f>'Budget Detail FY 2014-21'!R1009+'Budget Detail FY 2014-21'!R1010</f>
        <v>200000</v>
      </c>
      <c r="J703" s="2">
        <f>'Budget Detail FY 2014-21'!S1009+'Budget Detail FY 2014-21'!S1010</f>
        <v>200000</v>
      </c>
      <c r="K703" s="2">
        <f>'Budget Detail FY 2014-21'!T1009+'Budget Detail FY 2014-21'!T1010</f>
        <v>200000</v>
      </c>
    </row>
    <row r="704" spans="2:11" ht="20.100000000000001" customHeight="1">
      <c r="B704" s="438" t="s">
        <v>770</v>
      </c>
      <c r="C704" s="2">
        <f>'Budget Detail FY 2014-21'!L1011</f>
        <v>106</v>
      </c>
      <c r="D704" s="2">
        <f>'Budget Detail FY 2014-21'!M1011</f>
        <v>0</v>
      </c>
      <c r="E704" s="2">
        <f>'Budget Detail FY 2014-21'!N1011</f>
        <v>0</v>
      </c>
      <c r="F704" s="2">
        <f>'Budget Detail FY 2014-21'!O1011</f>
        <v>0</v>
      </c>
      <c r="G704" s="2">
        <f>'Budget Detail FY 2014-21'!P1011</f>
        <v>0</v>
      </c>
      <c r="H704" s="2">
        <f>'Budget Detail FY 2014-21'!Q1011</f>
        <v>0</v>
      </c>
      <c r="I704" s="2">
        <f>'Budget Detail FY 2014-21'!R1011</f>
        <v>0</v>
      </c>
      <c r="J704" s="2">
        <f>'Budget Detail FY 2014-21'!S1011</f>
        <v>0</v>
      </c>
      <c r="K704" s="2">
        <f>'Budget Detail FY 2014-21'!T1011</f>
        <v>0</v>
      </c>
    </row>
    <row r="705" spans="2:11" ht="20.100000000000001" customHeight="1">
      <c r="B705" s="440" t="s">
        <v>773</v>
      </c>
      <c r="C705" s="2">
        <f>'Budget Detail FY 2014-21'!L1012+'Budget Detail FY 2014-21'!L1013</f>
        <v>1235000</v>
      </c>
      <c r="D705" s="2">
        <f>'Budget Detail FY 2014-21'!M1012+'Budget Detail FY 2014-21'!M1013</f>
        <v>0</v>
      </c>
      <c r="E705" s="2">
        <f>'Budget Detail FY 2014-21'!N1012+'Budget Detail FY 2014-21'!N1013</f>
        <v>0</v>
      </c>
      <c r="F705" s="2">
        <f>'Budget Detail FY 2014-21'!O1012+'Budget Detail FY 2014-21'!O1013</f>
        <v>1597288</v>
      </c>
      <c r="G705" s="2">
        <f>'Budget Detail FY 2014-21'!P1012+'Budget Detail FY 2014-21'!P1013</f>
        <v>0</v>
      </c>
      <c r="H705" s="2">
        <f>'Budget Detail FY 2014-21'!Q1012+'Budget Detail FY 2014-21'!Q1013</f>
        <v>0</v>
      </c>
      <c r="I705" s="2">
        <f>'Budget Detail FY 2014-21'!R1012+'Budget Detail FY 2014-21'!R1013</f>
        <v>0</v>
      </c>
      <c r="J705" s="2">
        <f>'Budget Detail FY 2014-21'!S1012+'Budget Detail FY 2014-21'!S1013</f>
        <v>0</v>
      </c>
      <c r="K705" s="2">
        <f>'Budget Detail FY 2014-21'!T1012+'Budget Detail FY 2014-21'!T1013</f>
        <v>0</v>
      </c>
    </row>
    <row r="706" spans="2:11" ht="20.100000000000001" customHeight="1" thickBot="1">
      <c r="B706" s="127" t="s">
        <v>774</v>
      </c>
      <c r="C706" s="124">
        <f>SUM(C703:C705)</f>
        <v>1237149</v>
      </c>
      <c r="D706" s="124">
        <f t="shared" ref="D706:K706" si="58">SUM(D703:D705)</f>
        <v>9295</v>
      </c>
      <c r="E706" s="124">
        <f t="shared" si="58"/>
        <v>100000</v>
      </c>
      <c r="F706" s="124">
        <f t="shared" si="58"/>
        <v>1741072</v>
      </c>
      <c r="G706" s="124">
        <f t="shared" si="58"/>
        <v>200000</v>
      </c>
      <c r="H706" s="124">
        <f t="shared" si="58"/>
        <v>200000</v>
      </c>
      <c r="I706" s="124">
        <f t="shared" si="58"/>
        <v>200000</v>
      </c>
      <c r="J706" s="124">
        <f t="shared" si="58"/>
        <v>200000</v>
      </c>
      <c r="K706" s="124">
        <f t="shared" si="58"/>
        <v>200000</v>
      </c>
    </row>
    <row r="707" spans="2:11">
      <c r="B707" s="1"/>
      <c r="C707" s="2"/>
      <c r="D707" s="2"/>
      <c r="E707" s="2"/>
      <c r="F707" s="2"/>
      <c r="G707" s="2"/>
      <c r="H707" s="2"/>
      <c r="I707" s="2"/>
      <c r="J707" s="2"/>
      <c r="K707" s="2"/>
    </row>
    <row r="708" spans="2:11">
      <c r="B708" s="128" t="s">
        <v>548</v>
      </c>
      <c r="C708" s="2"/>
      <c r="D708" s="2"/>
      <c r="E708" s="2"/>
      <c r="F708" s="2"/>
      <c r="G708" s="2"/>
      <c r="H708" s="2"/>
      <c r="I708" s="2"/>
      <c r="J708" s="2"/>
      <c r="K708" s="2"/>
    </row>
    <row r="709" spans="2:11" ht="20.100000000000001" customHeight="1">
      <c r="B709" s="439" t="s">
        <v>777</v>
      </c>
      <c r="C709" s="2">
        <f>SUM('Budget Detail FY 2014-21'!L1017:L1021)</f>
        <v>1843149</v>
      </c>
      <c r="D709" s="2">
        <f>SUM('Budget Detail FY 2014-21'!M1017:M1021)</f>
        <v>4953</v>
      </c>
      <c r="E709" s="2">
        <f>SUM('Budget Detail FY 2014-21'!N1017:N1021)</f>
        <v>3140</v>
      </c>
      <c r="F709" s="2">
        <f>SUM('Budget Detail FY 2014-21'!O1017:O1021)</f>
        <v>18629</v>
      </c>
      <c r="G709" s="2">
        <f>SUM('Budget Detail FY 2014-21'!P1017:P1021)</f>
        <v>3140</v>
      </c>
      <c r="H709" s="2">
        <f>SUM('Budget Detail FY 2014-21'!Q1017:Q1021)</f>
        <v>3140</v>
      </c>
      <c r="I709" s="2">
        <f>SUM('Budget Detail FY 2014-21'!R1017:R1021)</f>
        <v>3140</v>
      </c>
      <c r="J709" s="2">
        <f>SUM('Budget Detail FY 2014-21'!S1017:S1021)</f>
        <v>3140</v>
      </c>
      <c r="K709" s="2">
        <f>SUM('Budget Detail FY 2014-21'!T1017:T1021)</f>
        <v>3140</v>
      </c>
    </row>
    <row r="710" spans="2:11" ht="20.100000000000001" customHeight="1">
      <c r="B710" s="439" t="s">
        <v>705</v>
      </c>
      <c r="C710" s="2">
        <f>SUM('Budget Detail FY 2014-21'!L1024:L1031)</f>
        <v>302738</v>
      </c>
      <c r="D710" s="2">
        <f>SUM('Budget Detail FY 2014-21'!M1024:M1031)</f>
        <v>68073</v>
      </c>
      <c r="E710" s="2">
        <f>SUM('Budget Detail FY 2014-21'!N1024:N1031)</f>
        <v>176447</v>
      </c>
      <c r="F710" s="2">
        <f>SUM('Budget Detail FY 2014-21'!O1024:O1031)</f>
        <v>93431</v>
      </c>
      <c r="G710" s="2">
        <f>SUM('Budget Detail FY 2014-21'!P1024:P1031)</f>
        <v>159619</v>
      </c>
      <c r="H710" s="2">
        <f>SUM('Budget Detail FY 2014-21'!Q1024:Q1031)</f>
        <v>149675</v>
      </c>
      <c r="I710" s="2">
        <f>SUM('Budget Detail FY 2014-21'!R1024:R1031)</f>
        <v>149358</v>
      </c>
      <c r="J710" s="2">
        <f>SUM('Budget Detail FY 2014-21'!S1024:S1031)</f>
        <v>209845</v>
      </c>
      <c r="K710" s="2">
        <f>SUM('Budget Detail FY 2014-21'!T1024:T1031)</f>
        <v>208311</v>
      </c>
    </row>
    <row r="711" spans="2:11" ht="20.100000000000001" customHeight="1">
      <c r="B711" s="439" t="s">
        <v>779</v>
      </c>
      <c r="C711" s="2">
        <f>'Budget Detail FY 2014-21'!L1022</f>
        <v>0</v>
      </c>
      <c r="D711" s="2">
        <f>'Budget Detail FY 2014-21'!M1022</f>
        <v>7004</v>
      </c>
      <c r="E711" s="2">
        <f>'Budget Detail FY 2014-21'!N1022</f>
        <v>0</v>
      </c>
      <c r="F711" s="2">
        <f>'Budget Detail FY 2014-21'!O1022</f>
        <v>0</v>
      </c>
      <c r="G711" s="2">
        <f>'Budget Detail FY 2014-21'!P1022</f>
        <v>0</v>
      </c>
      <c r="H711" s="2">
        <f>'Budget Detail FY 2014-21'!Q1022</f>
        <v>0</v>
      </c>
      <c r="I711" s="2">
        <f>'Budget Detail FY 2014-21'!R1022</f>
        <v>0</v>
      </c>
      <c r="J711" s="2">
        <f>'Budget Detail FY 2014-21'!S1022</f>
        <v>0</v>
      </c>
      <c r="K711" s="2">
        <f>'Budget Detail FY 2014-21'!T1022</f>
        <v>0</v>
      </c>
    </row>
    <row r="712" spans="2:11" ht="20.100000000000001" customHeight="1">
      <c r="B712" s="440" t="s">
        <v>781</v>
      </c>
      <c r="C712" s="2">
        <f>'Budget Detail FY 2014-21'!L1033+'Budget Detail FY 2014-21'!L1034</f>
        <v>1197685</v>
      </c>
      <c r="D712" s="2">
        <f>'Budget Detail FY 2014-21'!M1033+'Budget Detail FY 2014-21'!M1034</f>
        <v>0</v>
      </c>
      <c r="E712" s="2">
        <f>'Budget Detail FY 2014-21'!N1033+'Budget Detail FY 2014-21'!N1034</f>
        <v>0</v>
      </c>
      <c r="F712" s="2">
        <f>'Budget Detail FY 2014-21'!O1033+'Budget Detail FY 2014-21'!O1034</f>
        <v>1581984</v>
      </c>
      <c r="G712" s="2">
        <f>'Budget Detail FY 2014-21'!P1033+'Budget Detail FY 2014-21'!P1034</f>
        <v>0</v>
      </c>
      <c r="H712" s="2">
        <f>'Budget Detail FY 2014-21'!Q1033+'Budget Detail FY 2014-21'!Q1034</f>
        <v>0</v>
      </c>
      <c r="I712" s="2">
        <f>'Budget Detail FY 2014-21'!R1033+'Budget Detail FY 2014-21'!R1034</f>
        <v>0</v>
      </c>
      <c r="J712" s="2">
        <f>'Budget Detail FY 2014-21'!S1033+'Budget Detail FY 2014-21'!S1034</f>
        <v>0</v>
      </c>
      <c r="K712" s="2">
        <f>'Budget Detail FY 2014-21'!T1033+'Budget Detail FY 2014-21'!T1034</f>
        <v>0</v>
      </c>
    </row>
    <row r="713" spans="2:11" ht="20.100000000000001" customHeight="1" thickBot="1">
      <c r="B713" s="127" t="s">
        <v>782</v>
      </c>
      <c r="C713" s="124">
        <f>SUM(C709:C712)</f>
        <v>3343572</v>
      </c>
      <c r="D713" s="124">
        <f t="shared" ref="D713:K713" si="59">SUM(D709:D712)</f>
        <v>80030</v>
      </c>
      <c r="E713" s="124">
        <f t="shared" si="59"/>
        <v>179587</v>
      </c>
      <c r="F713" s="124">
        <f t="shared" si="59"/>
        <v>1694044</v>
      </c>
      <c r="G713" s="124">
        <f t="shared" si="59"/>
        <v>162759</v>
      </c>
      <c r="H713" s="124">
        <f t="shared" si="59"/>
        <v>152815</v>
      </c>
      <c r="I713" s="124">
        <f t="shared" si="59"/>
        <v>152498</v>
      </c>
      <c r="J713" s="124">
        <f t="shared" si="59"/>
        <v>212985</v>
      </c>
      <c r="K713" s="124">
        <f t="shared" si="59"/>
        <v>211451</v>
      </c>
    </row>
    <row r="714" spans="2:11">
      <c r="B714" s="130"/>
      <c r="C714" s="3"/>
      <c r="D714" s="2"/>
      <c r="E714" s="2"/>
      <c r="F714" s="2"/>
      <c r="G714" s="2"/>
      <c r="H714" s="2"/>
      <c r="I714" s="2"/>
      <c r="J714" s="2"/>
      <c r="K714" s="2"/>
    </row>
    <row r="715" spans="2:11" ht="20.100000000000001" customHeight="1">
      <c r="B715" s="441" t="s">
        <v>783</v>
      </c>
      <c r="C715" s="3">
        <f t="shared" ref="C715:K715" si="60">+C706-C713</f>
        <v>-2106423</v>
      </c>
      <c r="D715" s="3">
        <f t="shared" si="60"/>
        <v>-70735</v>
      </c>
      <c r="E715" s="3">
        <f t="shared" si="60"/>
        <v>-79587</v>
      </c>
      <c r="F715" s="3">
        <f t="shared" si="60"/>
        <v>47028</v>
      </c>
      <c r="G715" s="3">
        <f t="shared" si="60"/>
        <v>37241</v>
      </c>
      <c r="H715" s="3">
        <f t="shared" si="60"/>
        <v>47185</v>
      </c>
      <c r="I715" s="3">
        <f t="shared" si="60"/>
        <v>47502</v>
      </c>
      <c r="J715" s="3">
        <f t="shared" si="60"/>
        <v>-12985</v>
      </c>
      <c r="K715" s="3">
        <f t="shared" si="60"/>
        <v>-11451</v>
      </c>
    </row>
    <row r="716" spans="2:11">
      <c r="B716" s="131"/>
      <c r="C716" s="3"/>
      <c r="D716" s="2"/>
      <c r="E716" s="2"/>
      <c r="F716" s="2"/>
      <c r="G716" s="2"/>
      <c r="H716" s="2"/>
      <c r="I716" s="2"/>
      <c r="J716" s="2"/>
      <c r="K716" s="2"/>
    </row>
    <row r="717" spans="2:11" ht="20.100000000000001" customHeight="1" thickBot="1">
      <c r="B717" s="126" t="s">
        <v>784</v>
      </c>
      <c r="C717" s="81">
        <v>-534087</v>
      </c>
      <c r="D717" s="81">
        <v>-604820</v>
      </c>
      <c r="E717" s="81">
        <v>-594959</v>
      </c>
      <c r="F717" s="81">
        <f>D717+F715</f>
        <v>-557792</v>
      </c>
      <c r="G717" s="81">
        <f>F717+G715</f>
        <v>-520551</v>
      </c>
      <c r="H717" s="81">
        <f>G717+H715</f>
        <v>-473366</v>
      </c>
      <c r="I717" s="81">
        <f>H717+I715</f>
        <v>-425864</v>
      </c>
      <c r="J717" s="81">
        <f>I717+J715</f>
        <v>-438849</v>
      </c>
      <c r="K717" s="81">
        <f>J717+K715</f>
        <v>-450300</v>
      </c>
    </row>
    <row r="718" spans="2:11" ht="15.75" thickTop="1">
      <c r="B718" s="132"/>
      <c r="C718" s="3"/>
      <c r="D718" s="3"/>
      <c r="E718" s="3"/>
      <c r="F718" s="2"/>
      <c r="G718" s="2"/>
      <c r="H718" s="2"/>
      <c r="I718" s="2"/>
      <c r="J718" s="2"/>
      <c r="K718" s="2"/>
    </row>
    <row r="719" spans="2:11">
      <c r="B719" s="132"/>
      <c r="C719" s="3"/>
      <c r="D719" s="3"/>
      <c r="E719" s="3"/>
      <c r="F719" s="2"/>
      <c r="G719" s="2"/>
      <c r="H719" s="2"/>
      <c r="I719" s="2"/>
      <c r="J719" s="2"/>
      <c r="K719" s="2"/>
    </row>
    <row r="720" spans="2:11">
      <c r="B720" s="132"/>
      <c r="C720" s="2"/>
      <c r="D720" s="2"/>
      <c r="E720" s="2"/>
      <c r="F720" s="2"/>
      <c r="G720" s="2"/>
      <c r="H720" s="2"/>
      <c r="I720" s="2"/>
      <c r="J720" s="2"/>
      <c r="K720" s="2"/>
    </row>
    <row r="721" spans="2:11">
      <c r="B721" s="1"/>
      <c r="C721" s="2"/>
      <c r="D721" s="2"/>
      <c r="E721" s="2"/>
      <c r="F721" s="2"/>
      <c r="G721" s="2"/>
      <c r="H721" s="2"/>
      <c r="I721" s="2"/>
      <c r="J721" s="2"/>
      <c r="K721" s="2"/>
    </row>
    <row r="722" spans="2:11">
      <c r="B722" s="1"/>
      <c r="C722" s="2"/>
      <c r="D722" s="2"/>
      <c r="E722" s="2"/>
      <c r="F722" s="2"/>
      <c r="G722" s="2"/>
      <c r="H722" s="2"/>
      <c r="I722" s="2"/>
      <c r="J722" s="2"/>
      <c r="K722" s="2"/>
    </row>
    <row r="723" spans="2:11">
      <c r="B723" s="1"/>
      <c r="C723" s="2"/>
      <c r="D723" s="2"/>
      <c r="E723" s="2"/>
      <c r="F723" s="2"/>
      <c r="G723" s="2"/>
      <c r="H723" s="2"/>
      <c r="I723" s="2"/>
      <c r="J723" s="2"/>
      <c r="K723" s="2"/>
    </row>
    <row r="724" spans="2:11">
      <c r="B724" s="1"/>
      <c r="C724" s="2"/>
      <c r="D724" s="2"/>
      <c r="E724" s="2"/>
      <c r="F724" s="2"/>
      <c r="G724" s="2"/>
      <c r="H724" s="2"/>
      <c r="I724" s="2"/>
      <c r="J724" s="2"/>
      <c r="K724" s="2"/>
    </row>
    <row r="725" spans="2:11">
      <c r="B725" s="1"/>
      <c r="C725" s="2"/>
      <c r="D725" s="2"/>
      <c r="E725" s="2"/>
      <c r="F725" s="2"/>
      <c r="G725" s="2"/>
      <c r="H725" s="2"/>
      <c r="I725" s="2"/>
      <c r="J725" s="2"/>
      <c r="K725" s="2"/>
    </row>
    <row r="726" spans="2:11">
      <c r="B726" s="1"/>
      <c r="C726" s="2"/>
      <c r="D726" s="2"/>
      <c r="E726" s="2"/>
      <c r="F726" s="2"/>
      <c r="G726" s="2"/>
      <c r="H726" s="2"/>
      <c r="I726" s="2"/>
      <c r="J726" s="2"/>
      <c r="K726" s="2"/>
    </row>
    <row r="727" spans="2:11">
      <c r="B727" s="1"/>
      <c r="C727" s="2"/>
      <c r="D727" s="2"/>
      <c r="E727" s="2"/>
      <c r="F727" s="2"/>
      <c r="G727" s="2"/>
      <c r="H727" s="2"/>
      <c r="I727" s="2"/>
      <c r="J727" s="2"/>
      <c r="K727" s="2"/>
    </row>
    <row r="728" spans="2:11">
      <c r="B728" s="1"/>
      <c r="C728" s="2"/>
      <c r="D728" s="2"/>
      <c r="E728" s="2"/>
      <c r="F728" s="2"/>
      <c r="G728" s="2"/>
      <c r="H728" s="2"/>
      <c r="I728" s="2"/>
      <c r="J728" s="2"/>
      <c r="K728" s="2"/>
    </row>
    <row r="729" spans="2:11">
      <c r="B729" s="1"/>
      <c r="C729" s="2"/>
      <c r="D729" s="2"/>
      <c r="E729" s="2"/>
      <c r="F729" s="2"/>
      <c r="G729" s="2"/>
      <c r="H729" s="2"/>
      <c r="I729" s="2"/>
      <c r="J729" s="2"/>
      <c r="K729" s="2"/>
    </row>
    <row r="730" spans="2:11">
      <c r="B730" s="1"/>
      <c r="C730" s="2"/>
      <c r="D730" s="2"/>
      <c r="E730" s="2"/>
      <c r="F730" s="2"/>
      <c r="G730" s="2"/>
      <c r="H730" s="2"/>
      <c r="I730" s="2"/>
      <c r="J730" s="2"/>
      <c r="K730" s="2"/>
    </row>
    <row r="731" spans="2:11">
      <c r="B731" s="1"/>
      <c r="C731" s="2"/>
      <c r="D731" s="2"/>
      <c r="E731" s="2"/>
      <c r="F731" s="2"/>
      <c r="G731" s="2"/>
      <c r="H731" s="2"/>
      <c r="I731" s="2"/>
      <c r="J731" s="2"/>
      <c r="K731" s="2"/>
    </row>
    <row r="732" spans="2:11">
      <c r="B732" s="1"/>
      <c r="C732" s="2"/>
      <c r="D732" s="2"/>
      <c r="E732" s="2"/>
      <c r="F732" s="2"/>
      <c r="G732" s="2"/>
      <c r="H732" s="2"/>
      <c r="I732" s="2"/>
      <c r="J732" s="2"/>
      <c r="K732" s="2"/>
    </row>
    <row r="733" spans="2:11">
      <c r="B733" s="764" t="s">
        <v>812</v>
      </c>
      <c r="C733" s="764"/>
      <c r="D733" s="764"/>
      <c r="E733" s="764"/>
      <c r="F733" s="764"/>
      <c r="G733" s="764"/>
      <c r="H733" s="764"/>
      <c r="I733" s="764"/>
      <c r="J733" s="764"/>
      <c r="K733" s="764"/>
    </row>
    <row r="734" spans="2:11">
      <c r="B734" s="65"/>
      <c r="C734" s="3"/>
      <c r="D734" s="2"/>
      <c r="E734" s="2"/>
      <c r="F734" s="2"/>
      <c r="G734" s="2"/>
      <c r="H734" s="2"/>
      <c r="I734" s="2"/>
      <c r="J734" s="2"/>
      <c r="K734" s="2"/>
    </row>
    <row r="735" spans="2:11" ht="15" customHeight="1">
      <c r="B735" s="761" t="s">
        <v>813</v>
      </c>
      <c r="C735" s="761"/>
      <c r="D735" s="761"/>
      <c r="E735" s="761"/>
      <c r="F735" s="761"/>
      <c r="G735" s="761"/>
      <c r="H735" s="761"/>
      <c r="I735" s="761"/>
      <c r="J735" s="761"/>
      <c r="K735" s="761"/>
    </row>
    <row r="736" spans="2:11">
      <c r="B736" s="481"/>
      <c r="C736" s="22"/>
      <c r="D736" s="22"/>
      <c r="E736" s="22"/>
      <c r="F736" s="22"/>
      <c r="G736" s="22"/>
      <c r="H736" s="22"/>
      <c r="I736" s="2"/>
      <c r="J736" s="2"/>
      <c r="K736" s="2"/>
    </row>
    <row r="737" spans="2:11">
      <c r="B737" s="5"/>
      <c r="C737" s="65"/>
      <c r="D737" s="66"/>
      <c r="E737" s="65" t="s">
        <v>257</v>
      </c>
      <c r="F737" s="1"/>
      <c r="G737" s="1"/>
      <c r="H737" s="1"/>
      <c r="I737" s="1"/>
      <c r="J737" s="1"/>
      <c r="K737" s="1"/>
    </row>
    <row r="738" spans="2:11">
      <c r="B738" s="66"/>
      <c r="C738" s="65" t="s">
        <v>249</v>
      </c>
      <c r="D738" s="49" t="s">
        <v>256</v>
      </c>
      <c r="E738" s="66" t="s">
        <v>763</v>
      </c>
      <c r="F738" s="66" t="s">
        <v>257</v>
      </c>
      <c r="G738" s="66" t="s">
        <v>258</v>
      </c>
      <c r="H738" s="66" t="s">
        <v>926</v>
      </c>
      <c r="I738" s="66" t="s">
        <v>1026</v>
      </c>
      <c r="J738" s="66" t="s">
        <v>1060</v>
      </c>
      <c r="K738" s="66" t="s">
        <v>1061</v>
      </c>
    </row>
    <row r="739" spans="2:11" ht="15.75" thickBot="1">
      <c r="B739" s="136"/>
      <c r="C739" s="68" t="s">
        <v>1</v>
      </c>
      <c r="D739" s="68" t="s">
        <v>1</v>
      </c>
      <c r="E739" s="68" t="s">
        <v>720</v>
      </c>
      <c r="F739" s="68" t="s">
        <v>19</v>
      </c>
      <c r="G739" s="68" t="str">
        <f>$M$1</f>
        <v>Adopted</v>
      </c>
      <c r="H739" s="68" t="s">
        <v>19</v>
      </c>
      <c r="I739" s="68" t="s">
        <v>19</v>
      </c>
      <c r="J739" s="68" t="s">
        <v>19</v>
      </c>
      <c r="K739" s="68" t="s">
        <v>19</v>
      </c>
    </row>
    <row r="740" spans="2:11">
      <c r="B740" s="64"/>
      <c r="C740" s="137"/>
      <c r="D740" s="2"/>
      <c r="E740" s="2"/>
      <c r="F740" s="2"/>
      <c r="G740" s="2"/>
      <c r="H740" s="2"/>
      <c r="I740" s="2"/>
      <c r="J740" s="2"/>
      <c r="K740" s="2"/>
    </row>
    <row r="741" spans="2:11">
      <c r="B741" s="128" t="s">
        <v>764</v>
      </c>
      <c r="C741" s="2"/>
      <c r="D741" s="2"/>
      <c r="E741" s="2"/>
      <c r="F741" s="2"/>
      <c r="G741" s="2"/>
      <c r="H741" s="2"/>
      <c r="I741" s="2"/>
      <c r="J741" s="2"/>
      <c r="K741" s="2"/>
    </row>
    <row r="742" spans="2:11" ht="20.100000000000001" customHeight="1">
      <c r="B742" s="437" t="s">
        <v>765</v>
      </c>
      <c r="C742" s="2">
        <f>SUM('Budget Detail FY 2014-21'!L1044:L1045)</f>
        <v>62269</v>
      </c>
      <c r="D742" s="2">
        <f>SUM('Budget Detail FY 2014-21'!M1044:M1045)</f>
        <v>60027</v>
      </c>
      <c r="E742" s="2">
        <f>SUM('Budget Detail FY 2014-21'!N1044:N1045)</f>
        <v>65000</v>
      </c>
      <c r="F742" s="2">
        <f>SUM('Budget Detail FY 2014-21'!O1044:O1045)</f>
        <v>68868</v>
      </c>
      <c r="G742" s="2">
        <f>SUM('Budget Detail FY 2014-21'!P1044:P1045)</f>
        <v>70000</v>
      </c>
      <c r="H742" s="2">
        <f>SUM('Budget Detail FY 2014-21'!Q1044:Q1045)</f>
        <v>70000</v>
      </c>
      <c r="I742" s="2">
        <f>SUM('Budget Detail FY 2014-21'!R1044:R1045)</f>
        <v>75000</v>
      </c>
      <c r="J742" s="2">
        <f>SUM('Budget Detail FY 2014-21'!S1044:S1045)</f>
        <v>75000</v>
      </c>
      <c r="K742" s="2">
        <f>SUM('Budget Detail FY 2014-21'!T1044:T1045)</f>
        <v>80000</v>
      </c>
    </row>
    <row r="743" spans="2:11" ht="20.100000000000001" customHeight="1">
      <c r="B743" s="438" t="s">
        <v>770</v>
      </c>
      <c r="C743" s="2">
        <f>'Budget Detail FY 2014-21'!L1046</f>
        <v>53</v>
      </c>
      <c r="D743" s="2">
        <f>'Budget Detail FY 2014-21'!M1046</f>
        <v>1</v>
      </c>
      <c r="E743" s="2">
        <f>'Budget Detail FY 2014-21'!N1046</f>
        <v>50</v>
      </c>
      <c r="F743" s="2">
        <f>'Budget Detail FY 2014-21'!O1046</f>
        <v>50</v>
      </c>
      <c r="G743" s="2">
        <f>'Budget Detail FY 2014-21'!P1046</f>
        <v>50</v>
      </c>
      <c r="H743" s="2">
        <f>'Budget Detail FY 2014-21'!Q1046</f>
        <v>50</v>
      </c>
      <c r="I743" s="2">
        <f>'Budget Detail FY 2014-21'!R1046</f>
        <v>50</v>
      </c>
      <c r="J743" s="2">
        <f>'Budget Detail FY 2014-21'!S1046</f>
        <v>50</v>
      </c>
      <c r="K743" s="2">
        <f>'Budget Detail FY 2014-21'!T1046</f>
        <v>50</v>
      </c>
    </row>
    <row r="744" spans="2:11" ht="20.100000000000001" customHeight="1">
      <c r="B744" s="438" t="s">
        <v>772</v>
      </c>
      <c r="C744" s="2">
        <f>'Budget Detail FY 2014-21'!L1047</f>
        <v>184</v>
      </c>
      <c r="D744" s="2">
        <f>'Budget Detail FY 2014-21'!M1047</f>
        <v>187</v>
      </c>
      <c r="E744" s="2">
        <f>'Budget Detail FY 2014-21'!N1047</f>
        <v>0</v>
      </c>
      <c r="F744" s="2">
        <f>'Budget Detail FY 2014-21'!O1047</f>
        <v>0</v>
      </c>
      <c r="G744" s="2">
        <f>'Budget Detail FY 2014-21'!P1047</f>
        <v>0</v>
      </c>
      <c r="H744" s="2">
        <f>'Budget Detail FY 2014-21'!Q1047</f>
        <v>0</v>
      </c>
      <c r="I744" s="2">
        <f>'Budget Detail FY 2014-21'!R1047</f>
        <v>0</v>
      </c>
      <c r="J744" s="2">
        <f>'Budget Detail FY 2014-21'!S1047</f>
        <v>0</v>
      </c>
      <c r="K744" s="2">
        <f>'Budget Detail FY 2014-21'!T1047</f>
        <v>0</v>
      </c>
    </row>
    <row r="745" spans="2:11" ht="20.100000000000001" customHeight="1">
      <c r="B745" s="438" t="s">
        <v>773</v>
      </c>
      <c r="C745" s="2">
        <f>'Budget Detail FY 2014-21'!L1048</f>
        <v>8500</v>
      </c>
      <c r="D745" s="2">
        <f>'Budget Detail FY 2014-21'!M1048</f>
        <v>0</v>
      </c>
      <c r="E745" s="2">
        <f>'Budget Detail FY 2014-21'!N1048</f>
        <v>0</v>
      </c>
      <c r="F745" s="2">
        <f>'Budget Detail FY 2014-21'!O1048</f>
        <v>0</v>
      </c>
      <c r="G745" s="2">
        <f>'Budget Detail FY 2014-21'!P1048</f>
        <v>0</v>
      </c>
      <c r="H745" s="2">
        <f>'Budget Detail FY 2014-21'!Q1048</f>
        <v>0</v>
      </c>
      <c r="I745" s="2">
        <f>'Budget Detail FY 2014-21'!R1048</f>
        <v>0</v>
      </c>
      <c r="J745" s="2">
        <f>'Budget Detail FY 2014-21'!S1048</f>
        <v>0</v>
      </c>
      <c r="K745" s="2">
        <f>'Budget Detail FY 2014-21'!T1048</f>
        <v>0</v>
      </c>
    </row>
    <row r="746" spans="2:11" ht="20.100000000000001" customHeight="1" thickBot="1">
      <c r="B746" s="127" t="s">
        <v>774</v>
      </c>
      <c r="C746" s="124">
        <f>SUM(C742:C745)</f>
        <v>71006</v>
      </c>
      <c r="D746" s="124">
        <f t="shared" ref="D746:K746" si="61">SUM(D742:D745)</f>
        <v>60215</v>
      </c>
      <c r="E746" s="124">
        <f t="shared" si="61"/>
        <v>65050</v>
      </c>
      <c r="F746" s="124">
        <f t="shared" si="61"/>
        <v>68918</v>
      </c>
      <c r="G746" s="124">
        <f t="shared" si="61"/>
        <v>70050</v>
      </c>
      <c r="H746" s="124">
        <f t="shared" si="61"/>
        <v>70050</v>
      </c>
      <c r="I746" s="124">
        <f t="shared" si="61"/>
        <v>75050</v>
      </c>
      <c r="J746" s="124">
        <f t="shared" si="61"/>
        <v>75050</v>
      </c>
      <c r="K746" s="124">
        <f t="shared" si="61"/>
        <v>80050</v>
      </c>
    </row>
    <row r="747" spans="2:11">
      <c r="B747" s="1"/>
      <c r="C747" s="2"/>
      <c r="D747" s="2"/>
      <c r="E747" s="2"/>
      <c r="F747" s="2"/>
      <c r="G747" s="2"/>
      <c r="H747" s="2"/>
      <c r="I747" s="2"/>
      <c r="J747" s="2"/>
      <c r="K747" s="2"/>
    </row>
    <row r="748" spans="2:11">
      <c r="B748" s="128" t="s">
        <v>548</v>
      </c>
      <c r="C748" s="2"/>
      <c r="D748" s="2"/>
      <c r="E748" s="2"/>
      <c r="F748" s="2"/>
      <c r="G748" s="2"/>
      <c r="H748" s="2"/>
      <c r="I748" s="2"/>
      <c r="J748" s="2"/>
      <c r="K748" s="2"/>
    </row>
    <row r="749" spans="2:11" ht="20.100000000000001" customHeight="1">
      <c r="B749" s="439" t="s">
        <v>777</v>
      </c>
      <c r="C749" s="2">
        <f>SUM('Budget Detail FY 2014-21'!L1052:L1055)</f>
        <v>26843</v>
      </c>
      <c r="D749" s="2">
        <f>SUM('Budget Detail FY 2014-21'!M1052:M1055)</f>
        <v>20045</v>
      </c>
      <c r="E749" s="2">
        <f>SUM('Budget Detail FY 2014-21'!N1052:N1055)</f>
        <v>27860</v>
      </c>
      <c r="F749" s="2">
        <f>SUM('Budget Detail FY 2014-21'!O1052:O1055)</f>
        <v>35360</v>
      </c>
      <c r="G749" s="2">
        <f>SUM('Budget Detail FY 2014-21'!P1052:P1055)</f>
        <v>35360</v>
      </c>
      <c r="H749" s="2">
        <f>SUM('Budget Detail FY 2014-21'!Q1052:Q1055)</f>
        <v>35365</v>
      </c>
      <c r="I749" s="2">
        <f>SUM('Budget Detail FY 2014-21'!R1052:R1055)</f>
        <v>35375</v>
      </c>
      <c r="J749" s="2">
        <f>SUM('Budget Detail FY 2014-21'!S1052:S1055)</f>
        <v>35375</v>
      </c>
      <c r="K749" s="2">
        <f>SUM('Budget Detail FY 2014-21'!T1052:T1055)</f>
        <v>35375</v>
      </c>
    </row>
    <row r="750" spans="2:11" ht="20.100000000000001" customHeight="1">
      <c r="B750" s="439" t="s">
        <v>779</v>
      </c>
      <c r="C750" s="2">
        <f>SUM('Budget Detail FY 2014-21'!L1056:L1058)</f>
        <v>29568</v>
      </c>
      <c r="D750" s="2">
        <f>SUM('Budget Detail FY 2014-21'!M1056:M1058)</f>
        <v>19106</v>
      </c>
      <c r="E750" s="2">
        <f>SUM('Budget Detail FY 2014-21'!N1056:N1058)</f>
        <v>378170</v>
      </c>
      <c r="F750" s="2">
        <f>SUM('Budget Detail FY 2014-21'!O1056:O1058)</f>
        <v>378170</v>
      </c>
      <c r="G750" s="2">
        <f>SUM('Budget Detail FY 2014-21'!P1056:P1058)</f>
        <v>17420</v>
      </c>
      <c r="H750" s="2">
        <f>SUM('Budget Detail FY 2014-21'!Q1056:Q1058)</f>
        <v>17420</v>
      </c>
      <c r="I750" s="2">
        <f>SUM('Budget Detail FY 2014-21'!R1056:R1058)</f>
        <v>17420</v>
      </c>
      <c r="J750" s="2">
        <f>SUM('Budget Detail FY 2014-21'!S1056:S1058)</f>
        <v>17420</v>
      </c>
      <c r="K750" s="2">
        <f>SUM('Budget Detail FY 2014-21'!T1056:T1058)</f>
        <v>17420</v>
      </c>
    </row>
    <row r="751" spans="2:11" ht="20.100000000000001" customHeight="1">
      <c r="B751" s="440" t="s">
        <v>781</v>
      </c>
      <c r="C751" s="2">
        <f>'Budget Detail FY 2014-21'!L1059</f>
        <v>0</v>
      </c>
      <c r="D751" s="2">
        <f>'Budget Detail FY 2014-21'!M1059</f>
        <v>13500</v>
      </c>
      <c r="E751" s="2">
        <f>'Budget Detail FY 2014-21'!N1059</f>
        <v>0</v>
      </c>
      <c r="F751" s="2">
        <f>'Budget Detail FY 2014-21'!O1059</f>
        <v>0</v>
      </c>
      <c r="G751" s="2">
        <f>'Budget Detail FY 2014-21'!P1059</f>
        <v>0</v>
      </c>
      <c r="H751" s="2">
        <f>'Budget Detail FY 2014-21'!Q1059</f>
        <v>0</v>
      </c>
      <c r="I751" s="2">
        <f>'Budget Detail FY 2014-21'!R1059</f>
        <v>0</v>
      </c>
      <c r="J751" s="2">
        <f>'Budget Detail FY 2014-21'!S1059</f>
        <v>0</v>
      </c>
      <c r="K751" s="2">
        <f>'Budget Detail FY 2014-21'!T1059</f>
        <v>0</v>
      </c>
    </row>
    <row r="752" spans="2:11" ht="20.100000000000001" customHeight="1" thickBot="1">
      <c r="B752" s="127" t="s">
        <v>782</v>
      </c>
      <c r="C752" s="124">
        <f>SUM(C749:C751)</f>
        <v>56411</v>
      </c>
      <c r="D752" s="124">
        <f t="shared" ref="D752:K752" si="62">SUM(D749:D751)</f>
        <v>52651</v>
      </c>
      <c r="E752" s="124">
        <f t="shared" si="62"/>
        <v>406030</v>
      </c>
      <c r="F752" s="124">
        <f t="shared" si="62"/>
        <v>413530</v>
      </c>
      <c r="G752" s="124">
        <f t="shared" si="62"/>
        <v>52780</v>
      </c>
      <c r="H752" s="124">
        <f t="shared" si="62"/>
        <v>52785</v>
      </c>
      <c r="I752" s="124">
        <f t="shared" si="62"/>
        <v>52795</v>
      </c>
      <c r="J752" s="124">
        <f t="shared" si="62"/>
        <v>52795</v>
      </c>
      <c r="K752" s="124">
        <f t="shared" si="62"/>
        <v>52795</v>
      </c>
    </row>
    <row r="753" spans="2:11">
      <c r="B753" s="130"/>
      <c r="C753" s="3"/>
      <c r="D753" s="2"/>
      <c r="E753" s="2"/>
      <c r="F753" s="2"/>
      <c r="G753" s="2"/>
      <c r="H753" s="2"/>
      <c r="I753" s="2"/>
      <c r="J753" s="2"/>
      <c r="K753" s="2"/>
    </row>
    <row r="754" spans="2:11" ht="20.100000000000001" customHeight="1">
      <c r="B754" s="441" t="s">
        <v>783</v>
      </c>
      <c r="C754" s="3">
        <f t="shared" ref="C754:K754" si="63">+C746-C752</f>
        <v>14595</v>
      </c>
      <c r="D754" s="3">
        <f t="shared" si="63"/>
        <v>7564</v>
      </c>
      <c r="E754" s="3">
        <f t="shared" si="63"/>
        <v>-340980</v>
      </c>
      <c r="F754" s="3">
        <f t="shared" si="63"/>
        <v>-344612</v>
      </c>
      <c r="G754" s="3">
        <f t="shared" si="63"/>
        <v>17270</v>
      </c>
      <c r="H754" s="3">
        <f t="shared" si="63"/>
        <v>17265</v>
      </c>
      <c r="I754" s="3">
        <f t="shared" si="63"/>
        <v>22255</v>
      </c>
      <c r="J754" s="3">
        <f t="shared" si="63"/>
        <v>22255</v>
      </c>
      <c r="K754" s="3">
        <f t="shared" si="63"/>
        <v>27255</v>
      </c>
    </row>
    <row r="755" spans="2:11">
      <c r="B755" s="131"/>
      <c r="C755" s="3"/>
      <c r="D755" s="2"/>
      <c r="E755" s="2"/>
      <c r="F755" s="2"/>
      <c r="G755" s="2"/>
      <c r="H755" s="2"/>
      <c r="I755" s="2"/>
      <c r="J755" s="2"/>
      <c r="K755" s="2"/>
    </row>
    <row r="756" spans="2:11" ht="20.100000000000001" customHeight="1" thickBot="1">
      <c r="B756" s="126" t="s">
        <v>784</v>
      </c>
      <c r="C756" s="81">
        <v>231529</v>
      </c>
      <c r="D756" s="81">
        <v>239096</v>
      </c>
      <c r="E756" s="81">
        <v>-58049</v>
      </c>
      <c r="F756" s="81">
        <f>D756+F754</f>
        <v>-105516</v>
      </c>
      <c r="G756" s="81">
        <f>F756+G754</f>
        <v>-88246</v>
      </c>
      <c r="H756" s="81">
        <f>G756+H754</f>
        <v>-70981</v>
      </c>
      <c r="I756" s="81">
        <f>H756+I754</f>
        <v>-48726</v>
      </c>
      <c r="J756" s="81">
        <f>I756+J754</f>
        <v>-26471</v>
      </c>
      <c r="K756" s="81">
        <f>J756+K754</f>
        <v>784</v>
      </c>
    </row>
    <row r="757" spans="2:11" ht="15.75" thickTop="1">
      <c r="B757" s="132"/>
      <c r="C757" s="3"/>
      <c r="D757" s="3"/>
      <c r="E757" s="3"/>
      <c r="F757" s="2"/>
      <c r="G757" s="2"/>
      <c r="H757" s="2"/>
      <c r="I757" s="2"/>
      <c r="J757" s="2"/>
      <c r="K757" s="2"/>
    </row>
    <row r="758" spans="2:11">
      <c r="B758" s="132"/>
      <c r="C758" s="3"/>
      <c r="D758" s="3"/>
      <c r="E758" s="3"/>
      <c r="F758" s="2"/>
      <c r="G758" s="2"/>
      <c r="H758" s="2"/>
      <c r="I758" s="2"/>
      <c r="J758" s="2"/>
      <c r="K758" s="2"/>
    </row>
    <row r="759" spans="2:11">
      <c r="B759" s="132"/>
      <c r="C759" s="2"/>
      <c r="D759" s="2"/>
      <c r="E759" s="2"/>
      <c r="F759" s="2"/>
      <c r="G759" s="2"/>
      <c r="H759" s="2"/>
      <c r="I759" s="2"/>
      <c r="J759" s="2"/>
      <c r="K759" s="2"/>
    </row>
    <row r="760" spans="2:11">
      <c r="B760" s="1"/>
      <c r="C760" s="2"/>
      <c r="D760" s="2"/>
      <c r="E760" s="2"/>
      <c r="F760" s="2"/>
      <c r="G760" s="2"/>
      <c r="H760" s="2"/>
      <c r="I760" s="2"/>
      <c r="J760" s="2"/>
      <c r="K760" s="2"/>
    </row>
    <row r="761" spans="2:11">
      <c r="B761" s="1"/>
      <c r="C761" s="2"/>
      <c r="D761" s="2"/>
      <c r="E761" s="2"/>
      <c r="F761" s="2"/>
      <c r="G761" s="2"/>
      <c r="H761" s="2"/>
      <c r="I761" s="2"/>
      <c r="J761" s="2"/>
      <c r="K761" s="2"/>
    </row>
    <row r="762" spans="2:11">
      <c r="B762" s="1"/>
      <c r="C762" s="2"/>
      <c r="D762" s="2"/>
      <c r="E762" s="2"/>
      <c r="F762" s="2"/>
      <c r="G762" s="2"/>
      <c r="H762" s="2"/>
      <c r="I762" s="2"/>
      <c r="J762" s="2"/>
      <c r="K762" s="2"/>
    </row>
    <row r="763" spans="2:11">
      <c r="B763" s="1"/>
      <c r="C763" s="2"/>
      <c r="D763" s="2"/>
      <c r="E763" s="2"/>
      <c r="F763" s="2"/>
      <c r="G763" s="2"/>
      <c r="H763" s="2"/>
      <c r="I763" s="2"/>
      <c r="J763" s="2"/>
      <c r="K763" s="2"/>
    </row>
    <row r="764" spans="2:11">
      <c r="B764" s="1"/>
      <c r="C764" s="2"/>
      <c r="D764" s="2"/>
      <c r="E764" s="2"/>
      <c r="F764" s="2"/>
      <c r="G764" s="2"/>
      <c r="H764" s="2"/>
      <c r="I764" s="2"/>
      <c r="J764" s="2"/>
      <c r="K764" s="2"/>
    </row>
    <row r="765" spans="2:11">
      <c r="B765" s="1"/>
      <c r="C765" s="2"/>
      <c r="D765" s="2"/>
      <c r="E765" s="2"/>
      <c r="F765" s="2"/>
      <c r="G765" s="2"/>
      <c r="H765" s="2"/>
      <c r="I765" s="2"/>
      <c r="J765" s="2"/>
      <c r="K765" s="2"/>
    </row>
    <row r="766" spans="2:11">
      <c r="B766" s="1"/>
      <c r="C766" s="2"/>
      <c r="D766" s="2"/>
      <c r="E766" s="2"/>
      <c r="F766" s="2"/>
      <c r="G766" s="2"/>
      <c r="H766" s="2"/>
      <c r="I766" s="2"/>
      <c r="J766" s="2"/>
      <c r="K766" s="2"/>
    </row>
    <row r="767" spans="2:11">
      <c r="B767" s="1"/>
      <c r="C767" s="2"/>
      <c r="D767" s="2"/>
      <c r="E767" s="2"/>
      <c r="F767" s="2"/>
      <c r="G767" s="2"/>
      <c r="H767" s="2"/>
      <c r="I767" s="2"/>
      <c r="J767" s="2"/>
      <c r="K767" s="2"/>
    </row>
    <row r="768" spans="2:11">
      <c r="B768" s="1"/>
      <c r="C768" s="2"/>
      <c r="D768" s="2"/>
      <c r="E768" s="2"/>
      <c r="F768" s="2"/>
      <c r="G768" s="2"/>
      <c r="H768" s="2"/>
      <c r="I768" s="2"/>
      <c r="J768" s="2"/>
      <c r="K768" s="2"/>
    </row>
    <row r="769" spans="1:16">
      <c r="B769" s="1"/>
      <c r="C769" s="2"/>
      <c r="D769" s="2"/>
      <c r="E769" s="2"/>
      <c r="F769" s="2"/>
      <c r="G769" s="2"/>
      <c r="H769" s="2"/>
      <c r="I769" s="2"/>
      <c r="J769" s="2"/>
      <c r="K769" s="2"/>
    </row>
    <row r="770" spans="1:16" ht="15.75" customHeight="1">
      <c r="B770" s="1"/>
      <c r="C770" s="2"/>
      <c r="D770" s="2"/>
      <c r="E770" s="2"/>
      <c r="F770" s="2"/>
      <c r="G770" s="2"/>
      <c r="H770" s="2"/>
      <c r="I770" s="2"/>
      <c r="J770" s="2"/>
      <c r="K770" s="2"/>
    </row>
    <row r="771" spans="1:16">
      <c r="A771" s="1"/>
      <c r="B771" s="764" t="s">
        <v>1053</v>
      </c>
      <c r="C771" s="764"/>
      <c r="D771" s="764"/>
      <c r="E771" s="764"/>
      <c r="F771" s="764"/>
      <c r="G771" s="764"/>
      <c r="H771" s="764"/>
      <c r="I771" s="764"/>
      <c r="J771" s="764"/>
      <c r="K771" s="764"/>
    </row>
    <row r="772" spans="1:16" ht="7.5" customHeight="1">
      <c r="A772" s="1"/>
      <c r="B772" s="65"/>
      <c r="C772" s="3"/>
      <c r="D772" s="2"/>
      <c r="E772" s="2"/>
      <c r="F772" s="2"/>
      <c r="G772" s="2"/>
      <c r="H772" s="2"/>
      <c r="I772" s="2"/>
      <c r="J772" s="2"/>
      <c r="K772" s="2"/>
    </row>
    <row r="773" spans="1:16" ht="15" customHeight="1">
      <c r="A773" s="1"/>
      <c r="B773" s="761" t="s">
        <v>1197</v>
      </c>
      <c r="C773" s="761"/>
      <c r="D773" s="761"/>
      <c r="E773" s="761"/>
      <c r="F773" s="761"/>
      <c r="G773" s="761"/>
      <c r="H773" s="761"/>
      <c r="I773" s="761"/>
      <c r="J773" s="761"/>
      <c r="K773" s="761"/>
    </row>
    <row r="774" spans="1:16">
      <c r="A774" s="1"/>
      <c r="B774" s="761"/>
      <c r="C774" s="761"/>
      <c r="D774" s="761"/>
      <c r="E774" s="761"/>
      <c r="F774" s="761"/>
      <c r="G774" s="761"/>
      <c r="H774" s="761"/>
      <c r="I774" s="761"/>
      <c r="J774" s="761"/>
      <c r="K774" s="761"/>
    </row>
    <row r="775" spans="1:16">
      <c r="A775" s="1"/>
      <c r="B775" s="761"/>
      <c r="C775" s="761"/>
      <c r="D775" s="761"/>
      <c r="E775" s="761"/>
      <c r="F775" s="761"/>
      <c r="G775" s="761"/>
      <c r="H775" s="761"/>
      <c r="I775" s="761"/>
      <c r="J775" s="761"/>
      <c r="K775" s="761"/>
    </row>
    <row r="776" spans="1:16">
      <c r="A776" s="1"/>
      <c r="B776" s="761"/>
      <c r="C776" s="761"/>
      <c r="D776" s="761"/>
      <c r="E776" s="761"/>
      <c r="F776" s="761"/>
      <c r="G776" s="761"/>
      <c r="H776" s="761"/>
      <c r="I776" s="761"/>
      <c r="J776" s="761"/>
      <c r="K776" s="761"/>
    </row>
    <row r="777" spans="1:16">
      <c r="A777" s="1"/>
      <c r="B777" s="5"/>
      <c r="C777" s="65"/>
      <c r="D777" s="66"/>
      <c r="E777" s="65" t="s">
        <v>257</v>
      </c>
      <c r="F777" s="1"/>
      <c r="G777" s="1"/>
      <c r="H777" s="1"/>
      <c r="I777" s="1"/>
      <c r="J777" s="1"/>
      <c r="K777" s="1"/>
      <c r="M777" s="715"/>
      <c r="N777" s="715"/>
      <c r="O777" s="715"/>
      <c r="P777" s="715"/>
    </row>
    <row r="778" spans="1:16">
      <c r="A778" s="1"/>
      <c r="B778" s="66"/>
      <c r="C778" s="65" t="s">
        <v>249</v>
      </c>
      <c r="D778" s="49" t="s">
        <v>256</v>
      </c>
      <c r="E778" s="66" t="s">
        <v>763</v>
      </c>
      <c r="F778" s="66" t="s">
        <v>257</v>
      </c>
      <c r="G778" s="66" t="s">
        <v>258</v>
      </c>
      <c r="H778" s="66" t="s">
        <v>926</v>
      </c>
      <c r="I778" s="66" t="s">
        <v>1026</v>
      </c>
      <c r="J778" s="66" t="s">
        <v>1060</v>
      </c>
      <c r="K778" s="66" t="s">
        <v>1061</v>
      </c>
      <c r="M778" s="715"/>
      <c r="N778" s="70"/>
      <c r="O778" s="715"/>
      <c r="P778" s="715"/>
    </row>
    <row r="779" spans="1:16" ht="15.75" thickBot="1">
      <c r="A779" s="1"/>
      <c r="B779" s="136"/>
      <c r="C779" s="68" t="s">
        <v>1</v>
      </c>
      <c r="D779" s="68" t="s">
        <v>1</v>
      </c>
      <c r="E779" s="68" t="s">
        <v>720</v>
      </c>
      <c r="F779" s="68" t="s">
        <v>19</v>
      </c>
      <c r="G779" s="68" t="str">
        <f>$M$1</f>
        <v>Adopted</v>
      </c>
      <c r="H779" s="68" t="s">
        <v>19</v>
      </c>
      <c r="I779" s="68" t="s">
        <v>19</v>
      </c>
      <c r="J779" s="68" t="s">
        <v>19</v>
      </c>
      <c r="K779" s="68" t="s">
        <v>19</v>
      </c>
      <c r="M779" s="715"/>
      <c r="N779" s="70"/>
      <c r="O779" s="715"/>
      <c r="P779" s="715"/>
    </row>
    <row r="780" spans="1:16">
      <c r="A780" s="1"/>
      <c r="B780" s="64"/>
      <c r="C780" s="137"/>
      <c r="D780" s="2"/>
      <c r="E780" s="2"/>
      <c r="F780" s="2"/>
      <c r="G780" s="2"/>
      <c r="H780" s="2"/>
      <c r="I780" s="2"/>
      <c r="J780" s="2"/>
      <c r="K780" s="2"/>
      <c r="M780" s="715"/>
      <c r="N780" s="715"/>
      <c r="O780" s="715"/>
      <c r="P780" s="715"/>
    </row>
    <row r="781" spans="1:16">
      <c r="A781" s="1"/>
      <c r="B781" s="128" t="s">
        <v>764</v>
      </c>
      <c r="C781" s="2"/>
      <c r="D781" s="2"/>
      <c r="E781" s="2"/>
      <c r="F781" s="2"/>
      <c r="G781" s="2"/>
      <c r="H781" s="2"/>
      <c r="I781" s="2"/>
      <c r="J781" s="2"/>
      <c r="K781" s="2"/>
      <c r="M781" s="715"/>
      <c r="N781" s="715"/>
      <c r="O781" s="715"/>
      <c r="P781" s="715"/>
    </row>
    <row r="782" spans="1:16" ht="20.100000000000001" customHeight="1">
      <c r="A782" s="1"/>
      <c r="B782" s="437" t="s">
        <v>765</v>
      </c>
      <c r="C782" s="2">
        <f t="shared" ref="C782:K782" si="64">C11+C57+C93+C314+C352+C399+C703+C742</f>
        <v>10151358</v>
      </c>
      <c r="D782" s="2">
        <f t="shared" si="64"/>
        <v>10481261</v>
      </c>
      <c r="E782" s="2">
        <f t="shared" si="64"/>
        <v>10586145</v>
      </c>
      <c r="F782" s="2">
        <f t="shared" si="64"/>
        <v>10632659</v>
      </c>
      <c r="G782" s="2">
        <f t="shared" si="64"/>
        <v>10729798</v>
      </c>
      <c r="H782" s="2">
        <f t="shared" si="64"/>
        <v>10882989</v>
      </c>
      <c r="I782" s="2">
        <f t="shared" si="64"/>
        <v>11091692</v>
      </c>
      <c r="J782" s="2">
        <f t="shared" si="64"/>
        <v>11298468</v>
      </c>
      <c r="K782" s="2">
        <f t="shared" si="64"/>
        <v>11513380</v>
      </c>
      <c r="M782" s="441"/>
      <c r="N782" s="718"/>
      <c r="O782" s="723"/>
      <c r="P782" s="715"/>
    </row>
    <row r="783" spans="1:16" ht="20.100000000000001" customHeight="1">
      <c r="A783" s="1"/>
      <c r="B783" s="437" t="s">
        <v>766</v>
      </c>
      <c r="C783" s="2">
        <f t="shared" ref="C783:K783" si="65">C12+C128+C202+C448</f>
        <v>3194624</v>
      </c>
      <c r="D783" s="2">
        <f t="shared" si="65"/>
        <v>3235575</v>
      </c>
      <c r="E783" s="2">
        <f t="shared" si="65"/>
        <v>3838538</v>
      </c>
      <c r="F783" s="2">
        <f t="shared" si="65"/>
        <v>2962954</v>
      </c>
      <c r="G783" s="2">
        <f t="shared" si="65"/>
        <v>3974062</v>
      </c>
      <c r="H783" s="2">
        <f t="shared" si="65"/>
        <v>2847778</v>
      </c>
      <c r="I783" s="2">
        <f t="shared" si="65"/>
        <v>3283379</v>
      </c>
      <c r="J783" s="2">
        <f t="shared" si="65"/>
        <v>2932566</v>
      </c>
      <c r="K783" s="2">
        <f t="shared" si="65"/>
        <v>2982638</v>
      </c>
      <c r="M783" s="441"/>
      <c r="N783" s="718"/>
      <c r="O783" s="723"/>
      <c r="P783" s="715"/>
    </row>
    <row r="784" spans="1:16" ht="20.100000000000001" customHeight="1">
      <c r="A784" s="1"/>
      <c r="B784" s="438" t="s">
        <v>767</v>
      </c>
      <c r="C784" s="2">
        <f>C13+C167+C203+C315+C353+C400+'Budget Detail FY 2014-21'!L448+'Budget Detail FY 2014-21'!L449+'Budget Detail FY 2014-21'!L450+'Budget Detail FY 2014-21'!L451+'Budget Detail FY 2014-21'!L452+C449</f>
        <v>439790</v>
      </c>
      <c r="D784" s="2">
        <f>D13+D167+D203+D315+D353+D400+'Budget Detail FY 2014-21'!M448+'Budget Detail FY 2014-21'!M449+'Budget Detail FY 2014-21'!M450+'Budget Detail FY 2014-21'!M451+'Budget Detail FY 2014-21'!M452+D449</f>
        <v>500590</v>
      </c>
      <c r="E784" s="2">
        <f>E13+E167+E203+E315+E353+E400+'Budget Detail FY 2014-21'!N448+'Budget Detail FY 2014-21'!N449+'Budget Detail FY 2014-21'!N450+'Budget Detail FY 2014-21'!N451+'Budget Detail FY 2014-21'!N452+E449</f>
        <v>267000</v>
      </c>
      <c r="F784" s="2">
        <f>F13+F167+F203+F315+F353+F400+'Budget Detail FY 2014-21'!O448+'Budget Detail FY 2014-21'!O449+'Budget Detail FY 2014-21'!O450+'Budget Detail FY 2014-21'!O451+'Budget Detail FY 2014-21'!O452+F449</f>
        <v>241640</v>
      </c>
      <c r="G784" s="2">
        <f>G13+G167+G203+G315+G353+G400+'Budget Detail FY 2014-21'!P448+'Budget Detail FY 2014-21'!P449+'Budget Detail FY 2014-21'!P450+'Budget Detail FY 2014-21'!P451+'Budget Detail FY 2014-21'!P452+G449</f>
        <v>232000</v>
      </c>
      <c r="H784" s="2">
        <f>H13+H167+H203+H315+H353+H400+'Budget Detail FY 2014-21'!Q448+'Budget Detail FY 2014-21'!Q449+'Budget Detail FY 2014-21'!Q450+'Budget Detail FY 2014-21'!Q451+'Budget Detail FY 2014-21'!Q452+H449</f>
        <v>300500</v>
      </c>
      <c r="I784" s="2">
        <f>I13+I167+I203+I315+I353+I400+'Budget Detail FY 2014-21'!R448+'Budget Detail FY 2014-21'!R449+'Budget Detail FY 2014-21'!R450+'Budget Detail FY 2014-21'!R451+'Budget Detail FY 2014-21'!R452+I449</f>
        <v>300500</v>
      </c>
      <c r="J784" s="2">
        <f>J13+J167+J203+J315+J353+J400+'Budget Detail FY 2014-21'!S448+'Budget Detail FY 2014-21'!S449+'Budget Detail FY 2014-21'!S450+'Budget Detail FY 2014-21'!S451+'Budget Detail FY 2014-21'!S452+J449</f>
        <v>300500</v>
      </c>
      <c r="K784" s="2">
        <f>K13+K167+K203+K315+K353+K400+'Budget Detail FY 2014-21'!T448+'Budget Detail FY 2014-21'!T449+'Budget Detail FY 2014-21'!T450+'Budget Detail FY 2014-21'!T451+'Budget Detail FY 2014-21'!T452+K449</f>
        <v>300500</v>
      </c>
      <c r="M784" s="722"/>
      <c r="N784" s="718"/>
      <c r="O784" s="723"/>
      <c r="P784" s="715"/>
    </row>
    <row r="785" spans="1:16" ht="20.100000000000001" customHeight="1">
      <c r="A785" s="1"/>
      <c r="B785" s="438" t="s">
        <v>768</v>
      </c>
      <c r="C785" s="2">
        <f>C14+'Budget Detail FY 2014-21'!L454+'Budget Detail FY 2014-21'!L455+'Budget Detail FY 2014-21'!L456</f>
        <v>182207</v>
      </c>
      <c r="D785" s="2">
        <f>D14+'Budget Detail FY 2014-21'!M454+'Budget Detail FY 2014-21'!M455+'Budget Detail FY 2014-21'!M456</f>
        <v>146433</v>
      </c>
      <c r="E785" s="2">
        <f>E14+'Budget Detail FY 2014-21'!N454+'Budget Detail FY 2014-21'!N455+'Budget Detail FY 2014-21'!N456</f>
        <v>173000</v>
      </c>
      <c r="F785" s="2">
        <f>F14+'Budget Detail FY 2014-21'!O454+'Budget Detail FY 2014-21'!O455+'Budget Detail FY 2014-21'!O456</f>
        <v>140425</v>
      </c>
      <c r="G785" s="2">
        <f>G14+'Budget Detail FY 2014-21'!P454+'Budget Detail FY 2014-21'!P455+'Budget Detail FY 2014-21'!P456</f>
        <v>140425</v>
      </c>
      <c r="H785" s="2">
        <f>H14+'Budget Detail FY 2014-21'!Q454+'Budget Detail FY 2014-21'!Q455+'Budget Detail FY 2014-21'!Q456</f>
        <v>145425</v>
      </c>
      <c r="I785" s="2">
        <f>I14+'Budget Detail FY 2014-21'!R454+'Budget Detail FY 2014-21'!R455+'Budget Detail FY 2014-21'!R456</f>
        <v>145425</v>
      </c>
      <c r="J785" s="2">
        <f>J14+'Budget Detail FY 2014-21'!S454+'Budget Detail FY 2014-21'!S455+'Budget Detail FY 2014-21'!S456</f>
        <v>145425</v>
      </c>
      <c r="K785" s="2">
        <f>K14+'Budget Detail FY 2014-21'!T454+'Budget Detail FY 2014-21'!T455+'Budget Detail FY 2014-21'!T456</f>
        <v>145425</v>
      </c>
      <c r="M785" s="722"/>
      <c r="N785" s="718"/>
      <c r="O785" s="723"/>
      <c r="P785" s="715"/>
    </row>
    <row r="786" spans="1:16" ht="20.100000000000001" customHeight="1">
      <c r="A786" s="1"/>
      <c r="B786" s="438" t="s">
        <v>769</v>
      </c>
      <c r="C786" s="2">
        <f>C15+C204+C354+C401+'Budget Detail FY 2014-21'!L457+'Budget Detail FY 2014-21'!L458+'Budget Detail FY 2014-21'!L459</f>
        <v>5441362</v>
      </c>
      <c r="D786" s="2">
        <f>D15+D204+D354+D401+'Budget Detail FY 2014-21'!M457+'Budget Detail FY 2014-21'!M458+'Budget Detail FY 2014-21'!M459</f>
        <v>5841529</v>
      </c>
      <c r="E786" s="2">
        <f>E15+E204+E354+E401+'Budget Detail FY 2014-21'!N457+'Budget Detail FY 2014-21'!N458+'Budget Detail FY 2014-21'!N459</f>
        <v>6793650</v>
      </c>
      <c r="F786" s="2">
        <f>F15+F204+F354+F401+'Budget Detail FY 2014-21'!O457+'Budget Detail FY 2014-21'!O458+'Budget Detail FY 2014-21'!O459</f>
        <v>6965760</v>
      </c>
      <c r="G786" s="2">
        <f>G15+G204+G354+G401+'Budget Detail FY 2014-21'!P457+'Budget Detail FY 2014-21'!P458+'Budget Detail FY 2014-21'!P459</f>
        <v>7067750</v>
      </c>
      <c r="H786" s="2">
        <f>H15+H204+H354+H401+'Budget Detail FY 2014-21'!Q457+'Budget Detail FY 2014-21'!Q458+'Budget Detail FY 2014-21'!Q459</f>
        <v>7281499</v>
      </c>
      <c r="I786" s="2">
        <f>I15+I204+I354+I401+'Budget Detail FY 2014-21'!R457+'Budget Detail FY 2014-21'!R458+'Budget Detail FY 2014-21'!R459</f>
        <v>7346162</v>
      </c>
      <c r="J786" s="2">
        <f>J15+J204+J354+J401+'Budget Detail FY 2014-21'!S457+'Budget Detail FY 2014-21'!S458+'Budget Detail FY 2014-21'!S459</f>
        <v>7830121</v>
      </c>
      <c r="K786" s="2">
        <f>K15+K204+K354+K401+'Budget Detail FY 2014-21'!T457+'Budget Detail FY 2014-21'!T458+'Budget Detail FY 2014-21'!T459</f>
        <v>8378693</v>
      </c>
      <c r="M786" s="722"/>
      <c r="N786" s="718"/>
      <c r="O786" s="723"/>
      <c r="P786" s="715"/>
    </row>
    <row r="787" spans="1:16" ht="20.100000000000001" customHeight="1">
      <c r="A787" s="1"/>
      <c r="B787" s="438" t="s">
        <v>770</v>
      </c>
      <c r="C787" s="2">
        <f t="shared" ref="C787:K787" si="66">C16+C58+C94+C129+C205+C316+C355+C402+C704+C743+C450</f>
        <v>24148</v>
      </c>
      <c r="D787" s="2">
        <f t="shared" si="66"/>
        <v>33856</v>
      </c>
      <c r="E787" s="2">
        <f t="shared" si="66"/>
        <v>7550</v>
      </c>
      <c r="F787" s="2">
        <f t="shared" si="66"/>
        <v>10761</v>
      </c>
      <c r="G787" s="2">
        <f t="shared" si="66"/>
        <v>7950</v>
      </c>
      <c r="H787" s="2">
        <f t="shared" si="66"/>
        <v>4350</v>
      </c>
      <c r="I787" s="2">
        <f t="shared" si="66"/>
        <v>3350</v>
      </c>
      <c r="J787" s="2">
        <f t="shared" si="66"/>
        <v>3350</v>
      </c>
      <c r="K787" s="2">
        <f t="shared" si="66"/>
        <v>3350</v>
      </c>
      <c r="M787" s="722"/>
      <c r="N787" s="718"/>
      <c r="O787" s="723"/>
      <c r="P787" s="715"/>
    </row>
    <row r="788" spans="1:16" ht="20.100000000000001" customHeight="1">
      <c r="A788" s="1"/>
      <c r="B788" s="438" t="s">
        <v>771</v>
      </c>
      <c r="C788" s="2">
        <f t="shared" ref="C788:K788" si="67">C17+C130+C206+C356+C403+C452</f>
        <v>274584</v>
      </c>
      <c r="D788" s="2">
        <f t="shared" si="67"/>
        <v>1523506</v>
      </c>
      <c r="E788" s="2">
        <f t="shared" si="67"/>
        <v>347700</v>
      </c>
      <c r="F788" s="2">
        <f t="shared" si="67"/>
        <v>680293</v>
      </c>
      <c r="G788" s="2">
        <f t="shared" si="67"/>
        <v>599740</v>
      </c>
      <c r="H788" s="2">
        <f t="shared" si="67"/>
        <v>287780</v>
      </c>
      <c r="I788" s="2">
        <f t="shared" si="67"/>
        <v>255000</v>
      </c>
      <c r="J788" s="2">
        <f t="shared" si="67"/>
        <v>255000</v>
      </c>
      <c r="K788" s="2">
        <f t="shared" si="67"/>
        <v>255000</v>
      </c>
      <c r="M788" s="722"/>
      <c r="N788" s="718"/>
      <c r="O788" s="723"/>
      <c r="P788" s="715"/>
    </row>
    <row r="789" spans="1:16" ht="20.100000000000001" customHeight="1">
      <c r="A789" s="1"/>
      <c r="B789" s="438" t="s">
        <v>802</v>
      </c>
      <c r="C789" s="2">
        <f>C451</f>
        <v>54579</v>
      </c>
      <c r="D789" s="2">
        <f t="shared" ref="D789:K789" si="68">D451</f>
        <v>40997</v>
      </c>
      <c r="E789" s="2">
        <f t="shared" si="68"/>
        <v>30500</v>
      </c>
      <c r="F789" s="2">
        <f t="shared" si="68"/>
        <v>113257</v>
      </c>
      <c r="G789" s="2">
        <f t="shared" si="68"/>
        <v>39000</v>
      </c>
      <c r="H789" s="2">
        <f t="shared" si="68"/>
        <v>37000</v>
      </c>
      <c r="I789" s="2">
        <f t="shared" si="68"/>
        <v>37000</v>
      </c>
      <c r="J789" s="2">
        <f t="shared" si="68"/>
        <v>35000</v>
      </c>
      <c r="K789" s="2">
        <f t="shared" si="68"/>
        <v>35000</v>
      </c>
      <c r="M789" s="722"/>
      <c r="N789" s="718"/>
      <c r="O789" s="723"/>
      <c r="P789" s="715"/>
    </row>
    <row r="790" spans="1:16" ht="20.100000000000001" customHeight="1">
      <c r="A790" s="1"/>
      <c r="B790" s="438" t="s">
        <v>772</v>
      </c>
      <c r="C790" s="2">
        <f>C18+C357+'Budget Detail FY 2014-21'!L464+'Budget Detail FY 2014-21'!L465+C744+C453</f>
        <v>76430</v>
      </c>
      <c r="D790" s="2">
        <f>D18+D357+'Budget Detail FY 2014-21'!M464+'Budget Detail FY 2014-21'!M465+D744+D453</f>
        <v>82982</v>
      </c>
      <c r="E790" s="2">
        <f>E18+E357+'Budget Detail FY 2014-21'!N464+'Budget Detail FY 2014-21'!N465+E744+E453</f>
        <v>79807</v>
      </c>
      <c r="F790" s="2">
        <f>F18+F357+'Budget Detail FY 2014-21'!O464+'Budget Detail FY 2014-21'!O465+F744+F453</f>
        <v>82236</v>
      </c>
      <c r="G790" s="2">
        <f>G18+G357+'Budget Detail FY 2014-21'!P464+'Budget Detail FY 2014-21'!P465+G744+G453</f>
        <v>83433</v>
      </c>
      <c r="H790" s="2">
        <f>H18+H357+'Budget Detail FY 2014-21'!Q464+'Budget Detail FY 2014-21'!Q465+H744+H453</f>
        <v>84582</v>
      </c>
      <c r="I790" s="2">
        <f>I18+I357+'Budget Detail FY 2014-21'!R464+'Budget Detail FY 2014-21'!R465+I744+I453</f>
        <v>85754</v>
      </c>
      <c r="J790" s="2">
        <f>J18+J357+'Budget Detail FY 2014-21'!S464+'Budget Detail FY 2014-21'!S465+J744+J453</f>
        <v>86949</v>
      </c>
      <c r="K790" s="2">
        <f>K18+K357+'Budget Detail FY 2014-21'!T464+'Budget Detail FY 2014-21'!T465+K744+K453</f>
        <v>88168</v>
      </c>
      <c r="M790" s="722"/>
      <c r="N790" s="718"/>
      <c r="O790" s="723"/>
      <c r="P790" s="715"/>
    </row>
    <row r="791" spans="1:16" ht="20.100000000000001" customHeight="1">
      <c r="A791" s="1"/>
      <c r="B791" s="438" t="s">
        <v>773</v>
      </c>
      <c r="C791" s="2">
        <f>C19+C168+C207+C317+C358+C404+C454+C745+'Budget Detail FY 2014-21'!L466+'Budget Detail FY 2014-21'!L467+C705+C131</f>
        <v>3559991</v>
      </c>
      <c r="D791" s="2">
        <f>D19+D168+D207+D317+D358+D404+D454+D745+'Budget Detail FY 2014-21'!M466+'Budget Detail FY 2014-21'!M467+D705+D131</f>
        <v>9404991</v>
      </c>
      <c r="E791" s="2">
        <f>E19+E168+E207+E317+E358+E404+E454+E745+'Budget Detail FY 2014-21'!N466+'Budget Detail FY 2014-21'!N467+E705+E131</f>
        <v>5901116</v>
      </c>
      <c r="F791" s="2">
        <f>F19+F168+F207+F317+F358+F404+F454+F745+'Budget Detail FY 2014-21'!O466+'Budget Detail FY 2014-21'!O467+F705+F131</f>
        <v>7516979</v>
      </c>
      <c r="G791" s="2">
        <f>G19+G168+G207+G317+G358+G404+G454+G745+'Budget Detail FY 2014-21'!P466+'Budget Detail FY 2014-21'!P467+G705+G131</f>
        <v>1555828</v>
      </c>
      <c r="H791" s="2">
        <f>H19+H168+H207+H317+H358+H404+H454+H745+'Budget Detail FY 2014-21'!Q466+'Budget Detail FY 2014-21'!Q467+H705+H131</f>
        <v>1582816</v>
      </c>
      <c r="I791" s="2">
        <f>I19+I168+I207+I317+I358+I404+I454+I745+'Budget Detail FY 2014-21'!R466+'Budget Detail FY 2014-21'!R467+I705+I131</f>
        <v>1587732</v>
      </c>
      <c r="J791" s="2">
        <f>J19+J168+J207+J317+J358+J404+J454+J745+'Budget Detail FY 2014-21'!S466+'Budget Detail FY 2014-21'!S467+J705+J131</f>
        <v>1583564</v>
      </c>
      <c r="K791" s="2">
        <f>K19+K168+K207+K317+K358+K404+K454+K745+'Budget Detail FY 2014-21'!T466+'Budget Detail FY 2014-21'!T467+K705+K131</f>
        <v>1587848</v>
      </c>
      <c r="M791" s="722"/>
      <c r="N791" s="721"/>
      <c r="O791" s="724"/>
      <c r="P791" s="715"/>
    </row>
    <row r="792" spans="1:16" ht="20.100000000000001" customHeight="1" thickBot="1">
      <c r="A792" s="1"/>
      <c r="B792" s="127" t="s">
        <v>774</v>
      </c>
      <c r="C792" s="124">
        <f t="shared" ref="C792:K792" si="69">SUM(C782:C791)</f>
        <v>23399073</v>
      </c>
      <c r="D792" s="124">
        <f t="shared" si="69"/>
        <v>31291720</v>
      </c>
      <c r="E792" s="124">
        <f t="shared" si="69"/>
        <v>28025006</v>
      </c>
      <c r="F792" s="124">
        <f t="shared" si="69"/>
        <v>29346964</v>
      </c>
      <c r="G792" s="124">
        <f t="shared" si="69"/>
        <v>24429986</v>
      </c>
      <c r="H792" s="124">
        <f t="shared" si="69"/>
        <v>23454719</v>
      </c>
      <c r="I792" s="124">
        <f t="shared" si="69"/>
        <v>24135994</v>
      </c>
      <c r="J792" s="124">
        <f t="shared" si="69"/>
        <v>24470943</v>
      </c>
      <c r="K792" s="124">
        <f t="shared" si="69"/>
        <v>25290002</v>
      </c>
      <c r="M792" s="715"/>
      <c r="N792" s="718"/>
      <c r="O792" s="723"/>
      <c r="P792" s="718"/>
    </row>
    <row r="793" spans="1:16" ht="7.5" customHeight="1">
      <c r="A793" s="1"/>
      <c r="B793" s="1"/>
      <c r="C793" s="2"/>
      <c r="D793" s="2"/>
      <c r="E793" s="2"/>
      <c r="F793" s="2"/>
      <c r="G793" s="2"/>
      <c r="H793" s="2"/>
      <c r="I793" s="2"/>
      <c r="J793" s="2"/>
      <c r="K793" s="2"/>
      <c r="M793" s="715"/>
      <c r="N793" s="715"/>
      <c r="O793" s="715"/>
      <c r="P793" s="715"/>
    </row>
    <row r="794" spans="1:16">
      <c r="A794" s="1"/>
      <c r="B794" s="128" t="s">
        <v>548</v>
      </c>
      <c r="C794" s="2"/>
      <c r="D794" s="2"/>
      <c r="E794" s="2"/>
      <c r="F794" s="2"/>
      <c r="G794" s="2"/>
      <c r="H794" s="2"/>
      <c r="I794" s="2"/>
      <c r="J794" s="2"/>
      <c r="K794" s="2"/>
      <c r="M794" s="715"/>
      <c r="N794" s="715"/>
      <c r="O794" s="715"/>
      <c r="P794" s="715"/>
    </row>
    <row r="795" spans="1:16" ht="20.100000000000001" customHeight="1">
      <c r="A795" s="1"/>
      <c r="B795" s="439" t="s">
        <v>775</v>
      </c>
      <c r="C795" s="2">
        <f t="shared" ref="C795:K795" si="70">C22+C362+C408</f>
        <v>3940893</v>
      </c>
      <c r="D795" s="2">
        <f t="shared" si="70"/>
        <v>4263239</v>
      </c>
      <c r="E795" s="2">
        <f t="shared" si="70"/>
        <v>4729588</v>
      </c>
      <c r="F795" s="2">
        <f t="shared" si="70"/>
        <v>4726417</v>
      </c>
      <c r="G795" s="2">
        <f t="shared" si="70"/>
        <v>4948686</v>
      </c>
      <c r="H795" s="2">
        <f t="shared" si="70"/>
        <v>5130421</v>
      </c>
      <c r="I795" s="2">
        <f t="shared" si="70"/>
        <v>5271378</v>
      </c>
      <c r="J795" s="2">
        <f t="shared" si="70"/>
        <v>5416562</v>
      </c>
      <c r="K795" s="2">
        <f t="shared" si="70"/>
        <v>5566102</v>
      </c>
      <c r="M795" s="440"/>
      <c r="N795" s="718"/>
      <c r="O795" s="723"/>
      <c r="P795" s="715"/>
    </row>
    <row r="796" spans="1:16" ht="20.100000000000001" customHeight="1">
      <c r="A796" s="1"/>
      <c r="B796" s="439" t="s">
        <v>776</v>
      </c>
      <c r="C796" s="2">
        <f t="shared" ref="C796:K796" si="71">C23+C363+C409</f>
        <v>2318694</v>
      </c>
      <c r="D796" s="2">
        <f t="shared" si="71"/>
        <v>2638019</v>
      </c>
      <c r="E796" s="2">
        <f t="shared" si="71"/>
        <v>2912688</v>
      </c>
      <c r="F796" s="2">
        <f t="shared" si="71"/>
        <v>2806290</v>
      </c>
      <c r="G796" s="2">
        <f t="shared" si="71"/>
        <v>3161031</v>
      </c>
      <c r="H796" s="2">
        <f t="shared" si="71"/>
        <v>3367479</v>
      </c>
      <c r="I796" s="2">
        <f t="shared" si="71"/>
        <v>3582617</v>
      </c>
      <c r="J796" s="2">
        <f t="shared" si="71"/>
        <v>3809687</v>
      </c>
      <c r="K796" s="2">
        <f t="shared" si="71"/>
        <v>4049340</v>
      </c>
      <c r="M796" s="440"/>
      <c r="N796" s="718"/>
      <c r="O796" s="723"/>
      <c r="P796" s="715"/>
    </row>
    <row r="797" spans="1:16" ht="20.100000000000001" customHeight="1">
      <c r="A797" s="1"/>
      <c r="B797" s="439" t="s">
        <v>777</v>
      </c>
      <c r="C797" s="2">
        <f t="shared" ref="C797:K797" si="72">C24+C62+C98+C135+C172+C211+C262+C267+C321+C364+C410+C458+C709+C749</f>
        <v>6931422</v>
      </c>
      <c r="D797" s="2">
        <f t="shared" si="72"/>
        <v>5738127</v>
      </c>
      <c r="E797" s="2">
        <f t="shared" si="72"/>
        <v>6032724</v>
      </c>
      <c r="F797" s="2">
        <f t="shared" si="72"/>
        <v>6125395</v>
      </c>
      <c r="G797" s="2">
        <f t="shared" si="72"/>
        <v>5660423</v>
      </c>
      <c r="H797" s="2">
        <f t="shared" si="72"/>
        <v>5751754</v>
      </c>
      <c r="I797" s="2">
        <f t="shared" si="72"/>
        <v>5794594</v>
      </c>
      <c r="J797" s="2">
        <f t="shared" si="72"/>
        <v>5913765</v>
      </c>
      <c r="K797" s="2">
        <f t="shared" si="72"/>
        <v>6034140</v>
      </c>
      <c r="M797" s="440"/>
      <c r="N797" s="718"/>
      <c r="O797" s="723"/>
      <c r="P797" s="715"/>
    </row>
    <row r="798" spans="1:16" ht="20.100000000000001" customHeight="1">
      <c r="A798" s="1"/>
      <c r="B798" s="439" t="s">
        <v>778</v>
      </c>
      <c r="C798" s="2">
        <f t="shared" ref="C798:K798" si="73">C25+C136+C212+C268+C365+C411</f>
        <v>665200</v>
      </c>
      <c r="D798" s="2">
        <f t="shared" si="73"/>
        <v>735944</v>
      </c>
      <c r="E798" s="2">
        <f t="shared" si="73"/>
        <v>912966</v>
      </c>
      <c r="F798" s="2">
        <f t="shared" si="73"/>
        <v>914895</v>
      </c>
      <c r="G798" s="2">
        <f t="shared" si="73"/>
        <v>918627</v>
      </c>
      <c r="H798" s="2">
        <f t="shared" si="73"/>
        <v>889181</v>
      </c>
      <c r="I798" s="2">
        <f t="shared" si="73"/>
        <v>911618</v>
      </c>
      <c r="J798" s="2">
        <f t="shared" si="73"/>
        <v>935418</v>
      </c>
      <c r="K798" s="2">
        <f t="shared" si="73"/>
        <v>960668</v>
      </c>
      <c r="M798" s="440"/>
      <c r="N798" s="718"/>
      <c r="O798" s="723"/>
      <c r="P798" s="715"/>
    </row>
    <row r="799" spans="1:16" ht="20.100000000000001" customHeight="1">
      <c r="A799" s="1"/>
      <c r="B799" s="439" t="s">
        <v>779</v>
      </c>
      <c r="C799" s="2">
        <f t="shared" ref="C799:K799" si="74">C137+C213+C263+C269+C366+C412+C459+C750+C711</f>
        <v>2455989</v>
      </c>
      <c r="D799" s="2">
        <f t="shared" si="74"/>
        <v>4622949</v>
      </c>
      <c r="E799" s="2">
        <f t="shared" si="74"/>
        <v>12682671</v>
      </c>
      <c r="F799" s="2">
        <f t="shared" si="74"/>
        <v>6135443</v>
      </c>
      <c r="G799" s="2">
        <f t="shared" si="74"/>
        <v>8251320</v>
      </c>
      <c r="H799" s="2">
        <f t="shared" si="74"/>
        <v>3109135</v>
      </c>
      <c r="I799" s="2">
        <f t="shared" si="74"/>
        <v>2518041</v>
      </c>
      <c r="J799" s="2">
        <f t="shared" si="74"/>
        <v>2284876</v>
      </c>
      <c r="K799" s="2">
        <f t="shared" si="74"/>
        <v>1517999</v>
      </c>
      <c r="M799" s="440"/>
      <c r="N799" s="718"/>
      <c r="O799" s="723"/>
      <c r="P799" s="715"/>
    </row>
    <row r="800" spans="1:16" ht="20.100000000000001" customHeight="1">
      <c r="A800" s="1"/>
      <c r="B800" s="440" t="s">
        <v>780</v>
      </c>
      <c r="C800" s="2">
        <f>C26</f>
        <v>11676</v>
      </c>
      <c r="D800" s="2">
        <f t="shared" ref="D800:K800" si="75">D26</f>
        <v>0</v>
      </c>
      <c r="E800" s="2">
        <f t="shared" si="75"/>
        <v>0</v>
      </c>
      <c r="F800" s="2">
        <f t="shared" si="75"/>
        <v>0</v>
      </c>
      <c r="G800" s="2">
        <f t="shared" si="75"/>
        <v>0</v>
      </c>
      <c r="H800" s="2">
        <f t="shared" si="75"/>
        <v>0</v>
      </c>
      <c r="I800" s="2">
        <f t="shared" si="75"/>
        <v>0</v>
      </c>
      <c r="J800" s="2">
        <f t="shared" si="75"/>
        <v>0</v>
      </c>
      <c r="K800" s="2">
        <f t="shared" si="75"/>
        <v>0</v>
      </c>
      <c r="M800" s="440"/>
      <c r="N800" s="718"/>
      <c r="O800" s="723"/>
      <c r="P800" s="715"/>
    </row>
    <row r="801" spans="1:16" ht="20.100000000000001" customHeight="1">
      <c r="A801" s="1"/>
      <c r="B801" s="440" t="s">
        <v>1389</v>
      </c>
      <c r="C801" s="2">
        <f>C413</f>
        <v>0</v>
      </c>
      <c r="D801" s="2">
        <f t="shared" ref="D801:K801" si="76">D413</f>
        <v>62922</v>
      </c>
      <c r="E801" s="2">
        <f t="shared" si="76"/>
        <v>32891</v>
      </c>
      <c r="F801" s="2">
        <f t="shared" si="76"/>
        <v>32891</v>
      </c>
      <c r="G801" s="2">
        <f t="shared" si="76"/>
        <v>33872</v>
      </c>
      <c r="H801" s="2">
        <f t="shared" si="76"/>
        <v>34888</v>
      </c>
      <c r="I801" s="2">
        <f t="shared" si="76"/>
        <v>35939</v>
      </c>
      <c r="J801" s="2">
        <f t="shared" si="76"/>
        <v>28204</v>
      </c>
      <c r="K801" s="2">
        <f t="shared" si="76"/>
        <v>0</v>
      </c>
      <c r="M801" s="440"/>
      <c r="N801" s="718"/>
      <c r="O801" s="723"/>
      <c r="P801" s="715"/>
    </row>
    <row r="802" spans="1:16" ht="20.100000000000001" customHeight="1">
      <c r="A802" s="1"/>
      <c r="B802" s="440" t="s">
        <v>705</v>
      </c>
      <c r="C802" s="2">
        <f t="shared" ref="C802:K802" si="77">C214+C270+C322+C367+C414+C710</f>
        <v>3922892</v>
      </c>
      <c r="D802" s="2">
        <f t="shared" si="77"/>
        <v>3740777</v>
      </c>
      <c r="E802" s="2">
        <f t="shared" si="77"/>
        <v>4061712</v>
      </c>
      <c r="F802" s="2">
        <f t="shared" si="77"/>
        <v>3893261</v>
      </c>
      <c r="G802" s="2">
        <f t="shared" si="77"/>
        <v>4271256</v>
      </c>
      <c r="H802" s="2">
        <f t="shared" si="77"/>
        <v>4233389</v>
      </c>
      <c r="I802" s="2">
        <f t="shared" si="77"/>
        <v>4447532</v>
      </c>
      <c r="J802" s="2">
        <f t="shared" si="77"/>
        <v>4741011</v>
      </c>
      <c r="K802" s="2">
        <f t="shared" si="77"/>
        <v>4634953</v>
      </c>
      <c r="M802" s="440"/>
      <c r="N802" s="721"/>
      <c r="O802" s="724"/>
      <c r="P802" s="715"/>
    </row>
    <row r="803" spans="1:16" ht="20.100000000000001" customHeight="1">
      <c r="A803" s="1"/>
      <c r="B803" s="440" t="s">
        <v>781</v>
      </c>
      <c r="C803" s="2">
        <f t="shared" ref="C803:K803" si="78">C27+C215+C415+C323+C712+C751+C368</f>
        <v>5073840</v>
      </c>
      <c r="D803" s="2">
        <f t="shared" si="78"/>
        <v>6208575</v>
      </c>
      <c r="E803" s="2">
        <f t="shared" si="78"/>
        <v>2518531</v>
      </c>
      <c r="F803" s="2">
        <f t="shared" si="78"/>
        <v>4119792</v>
      </c>
      <c r="G803" s="2">
        <f t="shared" si="78"/>
        <v>2709534</v>
      </c>
      <c r="H803" s="2">
        <f t="shared" si="78"/>
        <v>2931182</v>
      </c>
      <c r="I803" s="2">
        <f t="shared" si="78"/>
        <v>2991621</v>
      </c>
      <c r="J803" s="2">
        <f t="shared" si="78"/>
        <v>3045333</v>
      </c>
      <c r="K803" s="2">
        <f t="shared" si="78"/>
        <v>3110682</v>
      </c>
      <c r="M803" s="715"/>
      <c r="N803" s="718"/>
      <c r="O803" s="723"/>
      <c r="P803" s="718"/>
    </row>
    <row r="804" spans="1:16" ht="20.100000000000001" customHeight="1" thickBot="1">
      <c r="A804" s="1"/>
      <c r="B804" s="127" t="s">
        <v>782</v>
      </c>
      <c r="C804" s="124">
        <f>SUM(C795:C803)</f>
        <v>25320606</v>
      </c>
      <c r="D804" s="124">
        <f t="shared" ref="D804:J804" si="79">SUM(D795:D803)</f>
        <v>28010552</v>
      </c>
      <c r="E804" s="124">
        <f t="shared" si="79"/>
        <v>33883771</v>
      </c>
      <c r="F804" s="124">
        <f t="shared" si="79"/>
        <v>28754384</v>
      </c>
      <c r="G804" s="124">
        <f t="shared" si="79"/>
        <v>29954749</v>
      </c>
      <c r="H804" s="124">
        <f t="shared" si="79"/>
        <v>25447429</v>
      </c>
      <c r="I804" s="124">
        <f t="shared" si="79"/>
        <v>25553340</v>
      </c>
      <c r="J804" s="124">
        <f t="shared" si="79"/>
        <v>26174856</v>
      </c>
      <c r="K804" s="124">
        <f>SUM(K795:K803)</f>
        <v>25873884</v>
      </c>
      <c r="M804" s="715"/>
      <c r="N804" s="715"/>
      <c r="O804" s="715"/>
      <c r="P804" s="715"/>
    </row>
    <row r="805" spans="1:16" ht="7.5" customHeight="1">
      <c r="A805" s="1"/>
      <c r="B805" s="130"/>
      <c r="C805" s="3"/>
      <c r="D805" s="2"/>
      <c r="E805" s="2"/>
      <c r="F805" s="2"/>
      <c r="G805" s="2"/>
      <c r="H805" s="2"/>
      <c r="I805" s="2"/>
      <c r="J805" s="2"/>
      <c r="K805" s="2"/>
    </row>
    <row r="806" spans="1:16" ht="20.100000000000001" customHeight="1">
      <c r="A806" s="1"/>
      <c r="B806" s="441" t="s">
        <v>783</v>
      </c>
      <c r="C806" s="3">
        <f t="shared" ref="C806:K806" si="80">+C792-C804</f>
        <v>-1921533</v>
      </c>
      <c r="D806" s="3">
        <f t="shared" si="80"/>
        <v>3281168</v>
      </c>
      <c r="E806" s="3">
        <f t="shared" si="80"/>
        <v>-5858765</v>
      </c>
      <c r="F806" s="3">
        <f t="shared" si="80"/>
        <v>592580</v>
      </c>
      <c r="G806" s="3">
        <f t="shared" si="80"/>
        <v>-5524763</v>
      </c>
      <c r="H806" s="3">
        <f t="shared" si="80"/>
        <v>-1992710</v>
      </c>
      <c r="I806" s="3">
        <f t="shared" si="80"/>
        <v>-1417346</v>
      </c>
      <c r="J806" s="3">
        <f t="shared" si="80"/>
        <v>-1703913</v>
      </c>
      <c r="K806" s="3">
        <f t="shared" si="80"/>
        <v>-583882</v>
      </c>
    </row>
    <row r="807" spans="1:16" ht="7.5" customHeight="1">
      <c r="A807" s="1"/>
      <c r="B807" s="131"/>
      <c r="C807" s="3"/>
      <c r="D807" s="2"/>
      <c r="E807" s="2"/>
      <c r="F807" s="2"/>
      <c r="G807" s="2"/>
      <c r="H807" s="2"/>
      <c r="I807" s="2"/>
      <c r="J807" s="2"/>
      <c r="K807" s="2"/>
    </row>
    <row r="808" spans="1:16" ht="20.100000000000001" customHeight="1" thickBot="1">
      <c r="A808" s="1"/>
      <c r="B808" s="126" t="s">
        <v>784</v>
      </c>
      <c r="C808" s="81">
        <v>9815811</v>
      </c>
      <c r="D808" s="81">
        <v>13095434</v>
      </c>
      <c r="E808" s="81">
        <v>6562511</v>
      </c>
      <c r="F808" s="81">
        <f>D808+F806</f>
        <v>13688014</v>
      </c>
      <c r="G808" s="81">
        <f>F808+G806</f>
        <v>8163251</v>
      </c>
      <c r="H808" s="81">
        <f>G808+H806</f>
        <v>6170541</v>
      </c>
      <c r="I808" s="81">
        <f>H808+I806</f>
        <v>4753195</v>
      </c>
      <c r="J808" s="81">
        <f>I808+J806</f>
        <v>3049282</v>
      </c>
      <c r="K808" s="81">
        <f>J808+K806</f>
        <v>2465400</v>
      </c>
    </row>
    <row r="809" spans="1:16" ht="15.75" thickTop="1">
      <c r="A809" s="1"/>
      <c r="B809" s="132"/>
      <c r="C809" s="133">
        <f t="shared" ref="C809:K809" si="81">+C808/C804</f>
        <v>0.38766098252150838</v>
      </c>
      <c r="D809" s="133">
        <f t="shared" si="81"/>
        <v>0.46751788397458216</v>
      </c>
      <c r="E809" s="133">
        <f t="shared" si="81"/>
        <v>0.19367711462812093</v>
      </c>
      <c r="F809" s="133">
        <f t="shared" si="81"/>
        <v>0.47603224607419864</v>
      </c>
      <c r="G809" s="133">
        <f t="shared" si="81"/>
        <v>0.27251942588469025</v>
      </c>
      <c r="H809" s="133">
        <f t="shared" si="81"/>
        <v>0.24248190259220292</v>
      </c>
      <c r="I809" s="133">
        <f t="shared" si="81"/>
        <v>0.18601071327662058</v>
      </c>
      <c r="J809" s="133">
        <f t="shared" si="81"/>
        <v>0.11649661033474262</v>
      </c>
      <c r="K809" s="133">
        <f t="shared" si="81"/>
        <v>9.5285269115375174E-2</v>
      </c>
    </row>
    <row r="810" spans="1:16">
      <c r="A810" s="1"/>
      <c r="B810" s="132"/>
      <c r="C810" s="133"/>
      <c r="D810" s="133"/>
      <c r="E810" s="133"/>
      <c r="F810" s="133"/>
      <c r="G810" s="133"/>
      <c r="H810" s="133"/>
      <c r="I810" s="133"/>
      <c r="J810" s="133"/>
      <c r="K810" s="133"/>
    </row>
    <row r="811" spans="1:16" ht="7.5" customHeight="1">
      <c r="A811" s="1"/>
      <c r="B811" s="132"/>
      <c r="C811" s="2"/>
      <c r="D811" s="2"/>
      <c r="E811" s="2"/>
      <c r="F811" s="2"/>
      <c r="G811" s="2"/>
      <c r="H811" s="2"/>
      <c r="I811" s="2"/>
      <c r="J811" s="2"/>
      <c r="K811" s="2"/>
    </row>
    <row r="812" spans="1:16">
      <c r="A812" s="1"/>
      <c r="B812" s="1"/>
      <c r="C812" s="2"/>
      <c r="D812" s="2"/>
      <c r="E812" s="2"/>
      <c r="F812" s="2"/>
      <c r="G812" s="2"/>
      <c r="H812" s="2"/>
      <c r="I812" s="2"/>
      <c r="J812" s="2"/>
      <c r="K812" s="2"/>
    </row>
    <row r="813" spans="1:16">
      <c r="A813" s="1"/>
      <c r="B813" s="1"/>
      <c r="C813" s="2"/>
      <c r="D813" s="2"/>
      <c r="E813" s="2"/>
      <c r="F813" s="2"/>
      <c r="G813" s="2"/>
      <c r="H813" s="2"/>
      <c r="I813" s="2"/>
      <c r="J813" s="2"/>
      <c r="K813" s="2"/>
    </row>
    <row r="814" spans="1:16">
      <c r="A814" s="1"/>
      <c r="B814" s="1"/>
      <c r="C814" s="2"/>
      <c r="D814" s="2"/>
      <c r="E814" s="2"/>
      <c r="F814" s="2"/>
      <c r="G814" s="2"/>
      <c r="H814" s="2"/>
      <c r="I814" s="2"/>
      <c r="J814" s="2"/>
      <c r="K814" s="2"/>
    </row>
    <row r="815" spans="1:16">
      <c r="A815" s="1"/>
      <c r="B815" s="1"/>
      <c r="C815" s="2"/>
      <c r="D815" s="2"/>
      <c r="E815" s="2"/>
      <c r="F815" s="2"/>
      <c r="G815" s="2"/>
      <c r="H815" s="2"/>
      <c r="I815" s="2"/>
      <c r="J815" s="2"/>
      <c r="K815" s="2"/>
    </row>
    <row r="816" spans="1:16">
      <c r="A816" s="1"/>
      <c r="B816" s="1"/>
      <c r="C816" s="2"/>
      <c r="D816" s="2"/>
      <c r="E816" s="2"/>
      <c r="F816" s="2"/>
      <c r="G816" s="2"/>
      <c r="H816" s="2"/>
      <c r="I816" s="2"/>
      <c r="J816" s="2"/>
      <c r="K816" s="2"/>
    </row>
    <row r="817" spans="1:11">
      <c r="A817" s="1"/>
      <c r="B817" s="1"/>
      <c r="C817" s="2"/>
      <c r="D817" s="2"/>
      <c r="E817" s="2"/>
      <c r="F817" s="2"/>
      <c r="G817" s="2"/>
      <c r="H817" s="2"/>
      <c r="I817" s="2"/>
      <c r="J817" s="2"/>
      <c r="K817" s="2"/>
    </row>
    <row r="818" spans="1:11">
      <c r="A818" s="1"/>
      <c r="B818" s="1"/>
      <c r="C818" s="2"/>
      <c r="D818" s="2"/>
      <c r="E818" s="2"/>
      <c r="F818" s="2"/>
      <c r="G818" s="2"/>
      <c r="H818" s="2"/>
      <c r="I818" s="2"/>
      <c r="J818" s="2"/>
      <c r="K818" s="2"/>
    </row>
    <row r="819" spans="1:11">
      <c r="A819" s="1"/>
      <c r="B819" s="1"/>
      <c r="C819" s="2"/>
      <c r="D819" s="2"/>
      <c r="E819" s="2"/>
      <c r="F819" s="2"/>
      <c r="G819" s="2"/>
      <c r="H819" s="2"/>
      <c r="I819" s="2"/>
      <c r="J819" s="2"/>
      <c r="K819" s="2"/>
    </row>
    <row r="820" spans="1:11">
      <c r="A820" s="1"/>
      <c r="B820" s="1"/>
      <c r="C820" s="2"/>
      <c r="D820" s="2"/>
      <c r="E820" s="2"/>
      <c r="F820" s="2"/>
      <c r="G820" s="2"/>
      <c r="H820" s="2"/>
      <c r="I820" s="2"/>
      <c r="J820" s="2"/>
      <c r="K820" s="2"/>
    </row>
    <row r="821" spans="1:11">
      <c r="A821" s="1"/>
      <c r="B821" s="1"/>
      <c r="C821" s="2"/>
      <c r="D821" s="2"/>
      <c r="E821" s="2"/>
      <c r="F821" s="2"/>
      <c r="G821" s="2"/>
      <c r="H821" s="2"/>
      <c r="I821" s="2"/>
      <c r="J821" s="2"/>
      <c r="K821" s="2"/>
    </row>
    <row r="823" spans="1:11">
      <c r="B823" s="764" t="s">
        <v>1054</v>
      </c>
      <c r="C823" s="764"/>
      <c r="D823" s="764"/>
      <c r="E823" s="764"/>
      <c r="F823" s="764"/>
      <c r="G823" s="764"/>
      <c r="H823" s="764"/>
      <c r="I823" s="764"/>
      <c r="J823" s="764"/>
      <c r="K823" s="764"/>
    </row>
    <row r="824" spans="1:11" ht="7.5" customHeight="1">
      <c r="B824" s="65"/>
      <c r="C824" s="3"/>
      <c r="D824" s="2"/>
      <c r="E824" s="2"/>
      <c r="F824" s="2"/>
      <c r="G824" s="2"/>
      <c r="H824" s="2"/>
      <c r="I824" s="2"/>
      <c r="J824" s="2"/>
      <c r="K824" s="2"/>
    </row>
    <row r="825" spans="1:11">
      <c r="B825" s="761" t="s">
        <v>1058</v>
      </c>
      <c r="C825" s="761"/>
      <c r="D825" s="761"/>
      <c r="E825" s="761"/>
      <c r="F825" s="761"/>
      <c r="G825" s="761"/>
      <c r="H825" s="761"/>
      <c r="I825" s="761"/>
      <c r="J825" s="761"/>
      <c r="K825" s="761"/>
    </row>
    <row r="826" spans="1:11">
      <c r="B826" s="761"/>
      <c r="C826" s="761"/>
      <c r="D826" s="761"/>
      <c r="E826" s="761"/>
      <c r="F826" s="761"/>
      <c r="G826" s="761"/>
      <c r="H826" s="761"/>
      <c r="I826" s="761"/>
      <c r="J826" s="761"/>
      <c r="K826" s="761"/>
    </row>
    <row r="827" spans="1:11">
      <c r="B827" s="761"/>
      <c r="C827" s="761"/>
      <c r="D827" s="761"/>
      <c r="E827" s="761"/>
      <c r="F827" s="761"/>
      <c r="G827" s="761"/>
      <c r="H827" s="761"/>
      <c r="I827" s="761"/>
      <c r="J827" s="761"/>
      <c r="K827" s="761"/>
    </row>
    <row r="828" spans="1:11" ht="7.5" customHeight="1">
      <c r="B828" s="481"/>
      <c r="C828" s="481"/>
      <c r="D828" s="481"/>
      <c r="E828" s="481"/>
      <c r="F828" s="481"/>
      <c r="G828" s="481"/>
      <c r="H828" s="481"/>
      <c r="I828" s="481"/>
      <c r="J828" s="481"/>
      <c r="K828" s="481"/>
    </row>
    <row r="829" spans="1:11">
      <c r="B829" s="5"/>
      <c r="C829" s="65"/>
      <c r="D829" s="66"/>
      <c r="E829" s="65" t="s">
        <v>257</v>
      </c>
      <c r="F829" s="1"/>
      <c r="G829" s="1"/>
      <c r="H829" s="1"/>
      <c r="I829" s="1"/>
      <c r="J829" s="1"/>
      <c r="K829" s="1"/>
    </row>
    <row r="830" spans="1:11">
      <c r="B830" s="66"/>
      <c r="C830" s="65" t="s">
        <v>249</v>
      </c>
      <c r="D830" s="49" t="s">
        <v>256</v>
      </c>
      <c r="E830" s="66" t="s">
        <v>763</v>
      </c>
      <c r="F830" s="66" t="s">
        <v>257</v>
      </c>
      <c r="G830" s="66" t="s">
        <v>258</v>
      </c>
      <c r="H830" s="66" t="s">
        <v>926</v>
      </c>
      <c r="I830" s="66" t="s">
        <v>1026</v>
      </c>
      <c r="J830" s="66" t="s">
        <v>1060</v>
      </c>
      <c r="K830" s="66" t="s">
        <v>1061</v>
      </c>
    </row>
    <row r="831" spans="1:11" ht="15.75" thickBot="1">
      <c r="B831" s="136"/>
      <c r="C831" s="68" t="s">
        <v>1</v>
      </c>
      <c r="D831" s="68" t="s">
        <v>1</v>
      </c>
      <c r="E831" s="68" t="s">
        <v>720</v>
      </c>
      <c r="F831" s="68" t="s">
        <v>19</v>
      </c>
      <c r="G831" s="68" t="str">
        <f>$M$1</f>
        <v>Adopted</v>
      </c>
      <c r="H831" s="68" t="s">
        <v>19</v>
      </c>
      <c r="I831" s="68" t="s">
        <v>19</v>
      </c>
      <c r="J831" s="68" t="s">
        <v>19</v>
      </c>
      <c r="K831" s="68" t="s">
        <v>19</v>
      </c>
    </row>
    <row r="832" spans="1:11" ht="7.5" customHeight="1">
      <c r="B832" s="64"/>
      <c r="C832" s="137"/>
      <c r="D832" s="2"/>
      <c r="E832" s="2"/>
      <c r="F832" s="2"/>
      <c r="G832" s="2"/>
      <c r="H832" s="2"/>
      <c r="I832" s="2"/>
      <c r="J832" s="2"/>
      <c r="K832" s="2"/>
    </row>
    <row r="833" spans="2:11">
      <c r="B833" s="128" t="s">
        <v>764</v>
      </c>
      <c r="C833" s="2"/>
      <c r="D833" s="2"/>
      <c r="E833" s="2"/>
      <c r="F833" s="2"/>
      <c r="G833" s="2"/>
      <c r="H833" s="2"/>
      <c r="I833" s="2"/>
      <c r="J833" s="2"/>
      <c r="K833" s="2"/>
    </row>
    <row r="834" spans="2:11" ht="20.100000000000001" customHeight="1">
      <c r="B834" s="437" t="s">
        <v>765</v>
      </c>
      <c r="C834" s="2">
        <f t="shared" ref="C834:K834" si="82">C578+C626</f>
        <v>1389302</v>
      </c>
      <c r="D834" s="2">
        <f t="shared" si="82"/>
        <v>1354712</v>
      </c>
      <c r="E834" s="2">
        <f t="shared" si="82"/>
        <v>1384846</v>
      </c>
      <c r="F834" s="2">
        <f t="shared" si="82"/>
        <v>1369150</v>
      </c>
      <c r="G834" s="2">
        <f t="shared" si="82"/>
        <v>1394490</v>
      </c>
      <c r="H834" s="2">
        <f t="shared" si="82"/>
        <v>1415009</v>
      </c>
      <c r="I834" s="2">
        <f t="shared" si="82"/>
        <v>1459866</v>
      </c>
      <c r="J834" s="2">
        <f t="shared" si="82"/>
        <v>1478193</v>
      </c>
      <c r="K834" s="2">
        <f t="shared" si="82"/>
        <v>1521952</v>
      </c>
    </row>
    <row r="835" spans="2:11" ht="20.100000000000001" customHeight="1">
      <c r="B835" s="437" t="s">
        <v>766</v>
      </c>
      <c r="C835" s="2">
        <f>C579</f>
        <v>22914</v>
      </c>
      <c r="D835" s="2">
        <f t="shared" ref="D835:K835" si="83">D579</f>
        <v>26934</v>
      </c>
      <c r="E835" s="2">
        <f t="shared" si="83"/>
        <v>22450</v>
      </c>
      <c r="F835" s="2">
        <f t="shared" si="83"/>
        <v>22450</v>
      </c>
      <c r="G835" s="2">
        <f t="shared" si="83"/>
        <v>22450</v>
      </c>
      <c r="H835" s="2">
        <f t="shared" si="83"/>
        <v>22450</v>
      </c>
      <c r="I835" s="2">
        <f t="shared" si="83"/>
        <v>22450</v>
      </c>
      <c r="J835" s="2">
        <f t="shared" si="83"/>
        <v>22450</v>
      </c>
      <c r="K835" s="2">
        <f t="shared" si="83"/>
        <v>22450</v>
      </c>
    </row>
    <row r="836" spans="2:11" ht="20.100000000000001" customHeight="1">
      <c r="B836" s="438" t="s">
        <v>767</v>
      </c>
      <c r="C836" s="2">
        <f>C664</f>
        <v>53650</v>
      </c>
      <c r="D836" s="2">
        <f t="shared" ref="D836:K836" si="84">D664</f>
        <v>25325</v>
      </c>
      <c r="E836" s="2">
        <f t="shared" si="84"/>
        <v>20000</v>
      </c>
      <c r="F836" s="2">
        <f t="shared" si="84"/>
        <v>20000</v>
      </c>
      <c r="G836" s="2">
        <f t="shared" si="84"/>
        <v>20000</v>
      </c>
      <c r="H836" s="2">
        <f t="shared" si="84"/>
        <v>20000</v>
      </c>
      <c r="I836" s="2">
        <f t="shared" si="84"/>
        <v>20000</v>
      </c>
      <c r="J836" s="2">
        <f t="shared" si="84"/>
        <v>20000</v>
      </c>
      <c r="K836" s="2">
        <f t="shared" si="84"/>
        <v>20000</v>
      </c>
    </row>
    <row r="837" spans="2:11" ht="20.100000000000001" customHeight="1">
      <c r="B837" s="438" t="s">
        <v>768</v>
      </c>
      <c r="C837" s="2">
        <f>C580</f>
        <v>9680</v>
      </c>
      <c r="D837" s="2">
        <f t="shared" ref="D837:K837" si="85">D580</f>
        <v>8356</v>
      </c>
      <c r="E837" s="2">
        <f t="shared" si="85"/>
        <v>9300</v>
      </c>
      <c r="F837" s="2">
        <f t="shared" si="85"/>
        <v>9300</v>
      </c>
      <c r="G837" s="2">
        <f t="shared" si="85"/>
        <v>9300</v>
      </c>
      <c r="H837" s="2">
        <f t="shared" si="85"/>
        <v>9300</v>
      </c>
      <c r="I837" s="2">
        <f t="shared" si="85"/>
        <v>9300</v>
      </c>
      <c r="J837" s="2">
        <f t="shared" si="85"/>
        <v>9300</v>
      </c>
      <c r="K837" s="2">
        <f t="shared" si="85"/>
        <v>9300</v>
      </c>
    </row>
    <row r="838" spans="2:11" ht="20.100000000000001" customHeight="1">
      <c r="B838" s="438" t="s">
        <v>769</v>
      </c>
      <c r="C838" s="2">
        <f>C581</f>
        <v>10707</v>
      </c>
      <c r="D838" s="2">
        <f t="shared" ref="D838:K838" si="86">D581</f>
        <v>10841</v>
      </c>
      <c r="E838" s="2">
        <f t="shared" si="86"/>
        <v>11500</v>
      </c>
      <c r="F838" s="2">
        <f t="shared" si="86"/>
        <v>11500</v>
      </c>
      <c r="G838" s="2">
        <f t="shared" si="86"/>
        <v>11500</v>
      </c>
      <c r="H838" s="2">
        <f t="shared" si="86"/>
        <v>11500</v>
      </c>
      <c r="I838" s="2">
        <f t="shared" si="86"/>
        <v>11500</v>
      </c>
      <c r="J838" s="2">
        <f t="shared" si="86"/>
        <v>11500</v>
      </c>
      <c r="K838" s="2">
        <f t="shared" si="86"/>
        <v>11500</v>
      </c>
    </row>
    <row r="839" spans="2:11" ht="20.100000000000001" customHeight="1">
      <c r="B839" s="438" t="s">
        <v>770</v>
      </c>
      <c r="C839" s="2">
        <f t="shared" ref="C839:K839" si="87">C582+C627+C665</f>
        <v>1400</v>
      </c>
      <c r="D839" s="2">
        <f t="shared" si="87"/>
        <v>1362</v>
      </c>
      <c r="E839" s="2">
        <f t="shared" si="87"/>
        <v>1550</v>
      </c>
      <c r="F839" s="2">
        <f t="shared" si="87"/>
        <v>370</v>
      </c>
      <c r="G839" s="2">
        <f t="shared" si="87"/>
        <v>360</v>
      </c>
      <c r="H839" s="2">
        <f t="shared" si="87"/>
        <v>360</v>
      </c>
      <c r="I839" s="2">
        <f t="shared" si="87"/>
        <v>360</v>
      </c>
      <c r="J839" s="2">
        <f t="shared" si="87"/>
        <v>360</v>
      </c>
      <c r="K839" s="2">
        <f t="shared" si="87"/>
        <v>360</v>
      </c>
    </row>
    <row r="840" spans="2:11" ht="20.100000000000001" customHeight="1">
      <c r="B840" s="438" t="s">
        <v>771</v>
      </c>
      <c r="C840" s="2">
        <f>'Budget Detail FY 2014-21'!L914</f>
        <v>0</v>
      </c>
      <c r="D840" s="2">
        <f>'Budget Detail FY 2014-21'!M914</f>
        <v>13174</v>
      </c>
      <c r="E840" s="2">
        <f>'Budget Detail FY 2014-21'!N914</f>
        <v>0</v>
      </c>
      <c r="F840" s="2">
        <f>'Budget Detail FY 2014-21'!O914</f>
        <v>0</v>
      </c>
      <c r="G840" s="2">
        <f>'Budget Detail FY 2014-21'!P914</f>
        <v>0</v>
      </c>
      <c r="H840" s="2">
        <f>'Budget Detail FY 2014-21'!Q914</f>
        <v>0</v>
      </c>
      <c r="I840" s="2">
        <f>'Budget Detail FY 2014-21'!R914</f>
        <v>0</v>
      </c>
      <c r="J840" s="2">
        <f>'Budget Detail FY 2014-21'!S914</f>
        <v>0</v>
      </c>
      <c r="K840" s="2">
        <f>'Budget Detail FY 2014-21'!T914</f>
        <v>0</v>
      </c>
    </row>
    <row r="841" spans="2:11" ht="20.100000000000001" customHeight="1">
      <c r="B841" s="438" t="s">
        <v>772</v>
      </c>
      <c r="C841" s="2">
        <f t="shared" ref="C841:K841" si="88">C584+C666</f>
        <v>7992</v>
      </c>
      <c r="D841" s="2">
        <f t="shared" si="88"/>
        <v>6775</v>
      </c>
      <c r="E841" s="2">
        <f t="shared" si="88"/>
        <v>7500</v>
      </c>
      <c r="F841" s="2">
        <f t="shared" si="88"/>
        <v>7500</v>
      </c>
      <c r="G841" s="2">
        <f t="shared" si="88"/>
        <v>7500</v>
      </c>
      <c r="H841" s="2">
        <f t="shared" si="88"/>
        <v>7500</v>
      </c>
      <c r="I841" s="2">
        <f t="shared" si="88"/>
        <v>7500</v>
      </c>
      <c r="J841" s="2">
        <f t="shared" si="88"/>
        <v>7500</v>
      </c>
      <c r="K841" s="2">
        <f t="shared" si="88"/>
        <v>7500</v>
      </c>
    </row>
    <row r="842" spans="2:11" ht="20.100000000000001" customHeight="1">
      <c r="B842" s="440" t="s">
        <v>773</v>
      </c>
      <c r="C842" s="2">
        <f t="shared" ref="C842:K842" si="89">C585+C628</f>
        <v>67133</v>
      </c>
      <c r="D842" s="2">
        <f t="shared" si="89"/>
        <v>28676</v>
      </c>
      <c r="E842" s="2">
        <f t="shared" si="89"/>
        <v>34168</v>
      </c>
      <c r="F842" s="2">
        <f t="shared" si="89"/>
        <v>34883</v>
      </c>
      <c r="G842" s="2">
        <f t="shared" si="89"/>
        <v>39068</v>
      </c>
      <c r="H842" s="2">
        <f t="shared" si="89"/>
        <v>40582</v>
      </c>
      <c r="I842" s="2">
        <f t="shared" si="89"/>
        <v>42717</v>
      </c>
      <c r="J842" s="2">
        <f t="shared" si="89"/>
        <v>44980</v>
      </c>
      <c r="K842" s="2">
        <f t="shared" si="89"/>
        <v>47379</v>
      </c>
    </row>
    <row r="843" spans="2:11" ht="20.100000000000001" customHeight="1" thickBot="1">
      <c r="B843" s="127" t="s">
        <v>774</v>
      </c>
      <c r="C843" s="124">
        <f t="shared" ref="C843:K843" si="90">SUM(C834:C842)</f>
        <v>1562778</v>
      </c>
      <c r="D843" s="124">
        <f t="shared" si="90"/>
        <v>1476155</v>
      </c>
      <c r="E843" s="124">
        <f t="shared" si="90"/>
        <v>1491314</v>
      </c>
      <c r="F843" s="124">
        <f t="shared" si="90"/>
        <v>1475153</v>
      </c>
      <c r="G843" s="124">
        <f t="shared" si="90"/>
        <v>1504668</v>
      </c>
      <c r="H843" s="124">
        <f t="shared" si="90"/>
        <v>1526701</v>
      </c>
      <c r="I843" s="124">
        <f t="shared" si="90"/>
        <v>1573693</v>
      </c>
      <c r="J843" s="124">
        <f t="shared" si="90"/>
        <v>1594283</v>
      </c>
      <c r="K843" s="124">
        <f t="shared" si="90"/>
        <v>1640441</v>
      </c>
    </row>
    <row r="844" spans="2:11" ht="7.5" customHeight="1">
      <c r="B844" s="1"/>
      <c r="C844" s="2"/>
      <c r="D844" s="2"/>
      <c r="E844" s="2"/>
      <c r="F844" s="2"/>
      <c r="G844" s="2"/>
      <c r="H844" s="2"/>
      <c r="I844" s="2"/>
      <c r="J844" s="2"/>
      <c r="K844" s="2"/>
    </row>
    <row r="845" spans="2:11">
      <c r="B845" s="128" t="s">
        <v>548</v>
      </c>
      <c r="C845" s="2"/>
      <c r="D845" s="2"/>
      <c r="E845" s="2"/>
      <c r="F845" s="2"/>
      <c r="G845" s="2"/>
      <c r="H845" s="2"/>
      <c r="I845" s="2"/>
      <c r="J845" s="2"/>
      <c r="K845" s="2"/>
    </row>
    <row r="846" spans="2:11" ht="20.100000000000001" customHeight="1">
      <c r="B846" s="439" t="s">
        <v>775</v>
      </c>
      <c r="C846" s="2">
        <f>C589</f>
        <v>414525</v>
      </c>
      <c r="D846" s="2">
        <f t="shared" ref="D846:K846" si="91">D589</f>
        <v>400069</v>
      </c>
      <c r="E846" s="2">
        <f t="shared" si="91"/>
        <v>397860</v>
      </c>
      <c r="F846" s="2">
        <f t="shared" si="91"/>
        <v>397860</v>
      </c>
      <c r="G846" s="2">
        <f t="shared" si="91"/>
        <v>419134</v>
      </c>
      <c r="H846" s="2">
        <f t="shared" si="91"/>
        <v>433532</v>
      </c>
      <c r="I846" s="2">
        <f t="shared" si="91"/>
        <v>446538</v>
      </c>
      <c r="J846" s="2">
        <f t="shared" si="91"/>
        <v>459935</v>
      </c>
      <c r="K846" s="2">
        <f t="shared" si="91"/>
        <v>473733</v>
      </c>
    </row>
    <row r="847" spans="2:11" ht="20.100000000000001" customHeight="1">
      <c r="B847" s="439" t="s">
        <v>776</v>
      </c>
      <c r="C847" s="2">
        <f>C590</f>
        <v>170118</v>
      </c>
      <c r="D847" s="2">
        <f t="shared" ref="D847:K847" si="92">D590</f>
        <v>157525</v>
      </c>
      <c r="E847" s="2">
        <f t="shared" si="92"/>
        <v>171013</v>
      </c>
      <c r="F847" s="2">
        <f t="shared" si="92"/>
        <v>162874</v>
      </c>
      <c r="G847" s="2">
        <f t="shared" si="92"/>
        <v>181638</v>
      </c>
      <c r="H847" s="2">
        <f t="shared" si="92"/>
        <v>192956</v>
      </c>
      <c r="I847" s="2">
        <f t="shared" si="92"/>
        <v>204396</v>
      </c>
      <c r="J847" s="2">
        <f t="shared" si="92"/>
        <v>216612</v>
      </c>
      <c r="K847" s="2">
        <f t="shared" si="92"/>
        <v>229659</v>
      </c>
    </row>
    <row r="848" spans="2:11" ht="20.100000000000001" customHeight="1">
      <c r="B848" s="439" t="s">
        <v>777</v>
      </c>
      <c r="C848" s="2">
        <f t="shared" ref="C848:K848" si="93">C591+C670</f>
        <v>97739</v>
      </c>
      <c r="D848" s="2">
        <f t="shared" si="93"/>
        <v>148744</v>
      </c>
      <c r="E848" s="2">
        <f t="shared" si="93"/>
        <v>131749</v>
      </c>
      <c r="F848" s="2">
        <f t="shared" si="93"/>
        <v>131749</v>
      </c>
      <c r="G848" s="2">
        <f t="shared" si="93"/>
        <v>132671</v>
      </c>
      <c r="H848" s="2">
        <f t="shared" si="93"/>
        <v>133648</v>
      </c>
      <c r="I848" s="2">
        <f t="shared" si="93"/>
        <v>134683</v>
      </c>
      <c r="J848" s="2">
        <f t="shared" si="93"/>
        <v>135781</v>
      </c>
      <c r="K848" s="2">
        <f t="shared" si="93"/>
        <v>136944</v>
      </c>
    </row>
    <row r="849" spans="2:11" ht="20.100000000000001" customHeight="1">
      <c r="B849" s="439" t="s">
        <v>778</v>
      </c>
      <c r="C849" s="2">
        <f t="shared" ref="C849:K849" si="94">C592+C671</f>
        <v>55369</v>
      </c>
      <c r="D849" s="2">
        <f t="shared" si="94"/>
        <v>53556</v>
      </c>
      <c r="E849" s="2">
        <f t="shared" si="94"/>
        <v>27395</v>
      </c>
      <c r="F849" s="2">
        <f t="shared" si="94"/>
        <v>27395</v>
      </c>
      <c r="G849" s="2">
        <f t="shared" si="94"/>
        <v>32395</v>
      </c>
      <c r="H849" s="2">
        <f t="shared" si="94"/>
        <v>40500</v>
      </c>
      <c r="I849" s="2">
        <f t="shared" si="94"/>
        <v>40510</v>
      </c>
      <c r="J849" s="2">
        <f t="shared" si="94"/>
        <v>40510</v>
      </c>
      <c r="K849" s="2">
        <f t="shared" si="94"/>
        <v>40510</v>
      </c>
    </row>
    <row r="850" spans="2:11" ht="20.100000000000001" customHeight="1">
      <c r="B850" s="440" t="s">
        <v>705</v>
      </c>
      <c r="C850" s="2">
        <f>C632</f>
        <v>767720</v>
      </c>
      <c r="D850" s="2">
        <f t="shared" ref="D850:K850" si="95">D632</f>
        <v>731321</v>
      </c>
      <c r="E850" s="2">
        <f t="shared" si="95"/>
        <v>749846</v>
      </c>
      <c r="F850" s="2">
        <f t="shared" si="95"/>
        <v>749846</v>
      </c>
      <c r="G850" s="2">
        <f t="shared" si="95"/>
        <v>752771</v>
      </c>
      <c r="H850" s="2">
        <f t="shared" si="95"/>
        <v>760396</v>
      </c>
      <c r="I850" s="2">
        <f t="shared" si="95"/>
        <v>792101</v>
      </c>
      <c r="J850" s="2">
        <f t="shared" si="95"/>
        <v>797013</v>
      </c>
      <c r="K850" s="2">
        <f t="shared" si="95"/>
        <v>827088</v>
      </c>
    </row>
    <row r="851" spans="2:11" ht="20.100000000000001" customHeight="1">
      <c r="B851" s="440" t="s">
        <v>781</v>
      </c>
      <c r="C851" s="2">
        <f>C593</f>
        <v>21185</v>
      </c>
      <c r="D851" s="2">
        <f t="shared" ref="D851:K851" si="96">D593</f>
        <v>3487</v>
      </c>
      <c r="E851" s="2">
        <f t="shared" si="96"/>
        <v>0</v>
      </c>
      <c r="F851" s="2">
        <f t="shared" si="96"/>
        <v>3215</v>
      </c>
      <c r="G851" s="2">
        <f t="shared" si="96"/>
        <v>3000</v>
      </c>
      <c r="H851" s="2">
        <f t="shared" si="96"/>
        <v>3000</v>
      </c>
      <c r="I851" s="2">
        <f t="shared" si="96"/>
        <v>3000</v>
      </c>
      <c r="J851" s="2">
        <f t="shared" si="96"/>
        <v>3000</v>
      </c>
      <c r="K851" s="2">
        <f t="shared" si="96"/>
        <v>3000</v>
      </c>
    </row>
    <row r="852" spans="2:11" ht="20.100000000000001" customHeight="1" thickBot="1">
      <c r="B852" s="127" t="s">
        <v>782</v>
      </c>
      <c r="C852" s="124">
        <f t="shared" ref="C852:K852" si="97">SUM(C846:C851)</f>
        <v>1526656</v>
      </c>
      <c r="D852" s="124">
        <f t="shared" si="97"/>
        <v>1494702</v>
      </c>
      <c r="E852" s="124">
        <f t="shared" si="97"/>
        <v>1477863</v>
      </c>
      <c r="F852" s="124">
        <f t="shared" si="97"/>
        <v>1472939</v>
      </c>
      <c r="G852" s="124">
        <f t="shared" si="97"/>
        <v>1521609</v>
      </c>
      <c r="H852" s="124">
        <f t="shared" si="97"/>
        <v>1564032</v>
      </c>
      <c r="I852" s="124">
        <f t="shared" si="97"/>
        <v>1621228</v>
      </c>
      <c r="J852" s="124">
        <f t="shared" si="97"/>
        <v>1652851</v>
      </c>
      <c r="K852" s="124">
        <f t="shared" si="97"/>
        <v>1710934</v>
      </c>
    </row>
    <row r="853" spans="2:11" ht="7.5" customHeight="1">
      <c r="B853" s="130"/>
      <c r="C853" s="3"/>
      <c r="D853" s="2"/>
      <c r="E853" s="2"/>
      <c r="F853" s="2"/>
      <c r="G853" s="2"/>
      <c r="H853" s="2"/>
      <c r="I853" s="2"/>
      <c r="J853" s="2"/>
      <c r="K853" s="2"/>
    </row>
    <row r="854" spans="2:11" ht="20.100000000000001" customHeight="1">
      <c r="B854" s="441" t="s">
        <v>783</v>
      </c>
      <c r="C854" s="3">
        <f t="shared" ref="C854:K854" si="98">+C843-C852</f>
        <v>36122</v>
      </c>
      <c r="D854" s="3">
        <f t="shared" si="98"/>
        <v>-18547</v>
      </c>
      <c r="E854" s="3">
        <f t="shared" si="98"/>
        <v>13451</v>
      </c>
      <c r="F854" s="3">
        <f t="shared" si="98"/>
        <v>2214</v>
      </c>
      <c r="G854" s="3">
        <f t="shared" si="98"/>
        <v>-16941</v>
      </c>
      <c r="H854" s="3">
        <f t="shared" si="98"/>
        <v>-37331</v>
      </c>
      <c r="I854" s="3">
        <f t="shared" si="98"/>
        <v>-47535</v>
      </c>
      <c r="J854" s="3">
        <f t="shared" si="98"/>
        <v>-58568</v>
      </c>
      <c r="K854" s="3">
        <f t="shared" si="98"/>
        <v>-70493</v>
      </c>
    </row>
    <row r="855" spans="2:11" ht="7.5" customHeight="1">
      <c r="B855" s="131"/>
      <c r="C855" s="3"/>
      <c r="D855" s="2"/>
      <c r="E855" s="2"/>
      <c r="F855" s="2"/>
      <c r="G855" s="2"/>
      <c r="H855" s="2"/>
      <c r="I855" s="2"/>
      <c r="J855" s="2"/>
      <c r="K855" s="2"/>
    </row>
    <row r="856" spans="2:11" ht="20.100000000000001" customHeight="1" thickBot="1">
      <c r="B856" s="126" t="s">
        <v>784</v>
      </c>
      <c r="C856" s="81">
        <v>497946</v>
      </c>
      <c r="D856" s="81">
        <v>479397</v>
      </c>
      <c r="E856" s="81">
        <v>393009</v>
      </c>
      <c r="F856" s="81">
        <f>D856+F854</f>
        <v>481611</v>
      </c>
      <c r="G856" s="81">
        <f>F856+G854</f>
        <v>464670</v>
      </c>
      <c r="H856" s="81">
        <f>G856+H854</f>
        <v>427339</v>
      </c>
      <c r="I856" s="81">
        <f>H856+I854</f>
        <v>379804</v>
      </c>
      <c r="J856" s="81">
        <f>I856+J854</f>
        <v>321236</v>
      </c>
      <c r="K856" s="81">
        <f>J856+K854</f>
        <v>250743</v>
      </c>
    </row>
    <row r="857" spans="2:11" ht="15.75" thickTop="1">
      <c r="B857" s="132"/>
      <c r="C857" s="133">
        <f t="shared" ref="C857:K857" si="99">+C856/C852</f>
        <v>0.32616778108493333</v>
      </c>
      <c r="D857" s="133">
        <f t="shared" si="99"/>
        <v>0.32073082126069274</v>
      </c>
      <c r="E857" s="133">
        <f t="shared" si="99"/>
        <v>0.26593060385164252</v>
      </c>
      <c r="F857" s="133">
        <f t="shared" si="99"/>
        <v>0.32697280742787038</v>
      </c>
      <c r="G857" s="133">
        <f t="shared" si="99"/>
        <v>0.30538068583979194</v>
      </c>
      <c r="H857" s="133">
        <f t="shared" si="99"/>
        <v>0.27322906436696948</v>
      </c>
      <c r="I857" s="133">
        <f t="shared" si="99"/>
        <v>0.23426933164243402</v>
      </c>
      <c r="J857" s="133">
        <f t="shared" si="99"/>
        <v>0.19435266699781165</v>
      </c>
      <c r="K857" s="133">
        <f t="shared" si="99"/>
        <v>0.14655328609987295</v>
      </c>
    </row>
    <row r="858" spans="2:11">
      <c r="B858" s="132"/>
      <c r="C858" s="133"/>
      <c r="D858" s="133"/>
      <c r="E858" s="133"/>
      <c r="F858" s="133"/>
      <c r="G858" s="133"/>
      <c r="H858" s="133"/>
      <c r="I858" s="133"/>
      <c r="J858" s="133"/>
      <c r="K858" s="133"/>
    </row>
    <row r="859" spans="2:11" ht="7.5" customHeight="1">
      <c r="B859" s="132"/>
      <c r="C859" s="142"/>
      <c r="D859" s="142"/>
      <c r="E859" s="142"/>
      <c r="F859" s="142"/>
      <c r="G859" s="142"/>
      <c r="H859" s="142"/>
      <c r="I859" s="142"/>
      <c r="J859" s="142"/>
      <c r="K859" s="142"/>
    </row>
    <row r="860" spans="2:11">
      <c r="B860" s="132"/>
      <c r="C860" s="2"/>
      <c r="D860" s="2"/>
      <c r="E860" s="2"/>
      <c r="F860" s="2"/>
      <c r="G860" s="2"/>
      <c r="H860" s="2"/>
      <c r="I860" s="2"/>
      <c r="J860" s="2"/>
      <c r="K860" s="2"/>
    </row>
    <row r="861" spans="2:11">
      <c r="B861" s="1"/>
      <c r="C861" s="2"/>
      <c r="D861" s="2"/>
      <c r="E861" s="2"/>
      <c r="F861" s="2"/>
      <c r="G861" s="2"/>
      <c r="H861" s="2"/>
      <c r="I861" s="2"/>
      <c r="J861" s="2"/>
      <c r="K861" s="2"/>
    </row>
    <row r="862" spans="2:11">
      <c r="B862" s="1"/>
      <c r="C862" s="2"/>
      <c r="D862" s="2"/>
      <c r="E862" s="2"/>
      <c r="F862" s="2"/>
      <c r="G862" s="2"/>
      <c r="H862" s="2"/>
      <c r="I862" s="2"/>
      <c r="J862" s="2"/>
      <c r="K862" s="2"/>
    </row>
    <row r="863" spans="2:11">
      <c r="B863" s="1"/>
      <c r="C863" s="2"/>
      <c r="D863" s="2"/>
      <c r="E863" s="2"/>
      <c r="F863" s="2"/>
      <c r="G863" s="2"/>
      <c r="H863" s="2"/>
      <c r="I863" s="2"/>
      <c r="J863" s="2"/>
      <c r="K863" s="2"/>
    </row>
    <row r="864" spans="2:11">
      <c r="B864" s="1"/>
      <c r="C864" s="2"/>
      <c r="D864" s="2"/>
      <c r="E864" s="2"/>
      <c r="F864" s="2"/>
      <c r="G864" s="2"/>
      <c r="H864" s="2"/>
      <c r="I864" s="2"/>
      <c r="J864" s="2"/>
      <c r="K864" s="2"/>
    </row>
    <row r="865" spans="2:11">
      <c r="B865" s="1"/>
      <c r="C865" s="2"/>
      <c r="D865" s="2"/>
      <c r="E865" s="2"/>
      <c r="F865" s="2"/>
      <c r="G865" s="2"/>
      <c r="H865" s="2"/>
      <c r="I865" s="2"/>
      <c r="J865" s="2"/>
      <c r="K865" s="2"/>
    </row>
    <row r="866" spans="2:11">
      <c r="B866" s="1"/>
      <c r="C866" s="2"/>
      <c r="D866" s="2"/>
      <c r="E866" s="2"/>
      <c r="F866" s="2"/>
      <c r="G866" s="2"/>
      <c r="H866" s="2"/>
      <c r="I866" s="2"/>
      <c r="J866" s="2"/>
      <c r="K866" s="2"/>
    </row>
    <row r="867" spans="2:11">
      <c r="B867" s="1"/>
      <c r="C867" s="2"/>
      <c r="D867" s="2"/>
      <c r="E867" s="2"/>
      <c r="F867" s="2"/>
      <c r="G867" s="2"/>
      <c r="H867" s="2"/>
      <c r="I867" s="2"/>
      <c r="J867" s="2"/>
      <c r="K867" s="2"/>
    </row>
    <row r="868" spans="2:11">
      <c r="B868" s="1"/>
      <c r="C868" s="2"/>
      <c r="D868" s="2"/>
      <c r="E868" s="2"/>
      <c r="F868" s="2"/>
      <c r="G868" s="2"/>
      <c r="H868" s="2"/>
      <c r="I868" s="2"/>
      <c r="J868" s="2"/>
      <c r="K868" s="2"/>
    </row>
    <row r="869" spans="2:11">
      <c r="B869" s="1"/>
      <c r="C869" s="2"/>
      <c r="D869" s="2"/>
      <c r="E869" s="2"/>
      <c r="F869" s="2"/>
      <c r="G869" s="2"/>
      <c r="H869" s="2"/>
      <c r="I869" s="2"/>
      <c r="J869" s="2"/>
      <c r="K869" s="2"/>
    </row>
    <row r="870" spans="2:11">
      <c r="B870" s="1"/>
      <c r="C870" s="2"/>
      <c r="D870" s="2"/>
      <c r="E870" s="2"/>
      <c r="F870" s="2"/>
      <c r="G870" s="2"/>
      <c r="H870" s="2"/>
      <c r="I870" s="2"/>
      <c r="J870" s="2"/>
      <c r="K870" s="2"/>
    </row>
    <row r="871" spans="2:11">
      <c r="B871" s="1"/>
      <c r="C871" s="2"/>
      <c r="D871" s="2"/>
      <c r="E871" s="2"/>
      <c r="F871" s="2"/>
      <c r="G871" s="2"/>
      <c r="H871" s="2"/>
      <c r="I871" s="2"/>
      <c r="J871" s="2"/>
      <c r="K871" s="2"/>
    </row>
    <row r="872" spans="2:11">
      <c r="B872" s="1"/>
      <c r="C872" s="2"/>
      <c r="D872" s="2"/>
      <c r="E872" s="2"/>
      <c r="F872" s="2"/>
      <c r="G872" s="2"/>
      <c r="H872" s="2"/>
      <c r="I872" s="2"/>
      <c r="J872" s="2"/>
      <c r="K872" s="2"/>
    </row>
    <row r="873" spans="2:11">
      <c r="B873" s="764" t="s">
        <v>1055</v>
      </c>
      <c r="C873" s="764"/>
      <c r="D873" s="764"/>
      <c r="E873" s="764"/>
      <c r="F873" s="764"/>
      <c r="G873" s="764"/>
      <c r="H873" s="764"/>
      <c r="I873" s="764"/>
      <c r="J873" s="764"/>
      <c r="K873" s="764"/>
    </row>
    <row r="874" spans="2:11" ht="7.5" customHeight="1">
      <c r="B874" s="65"/>
      <c r="C874" s="3"/>
      <c r="D874" s="2"/>
      <c r="E874" s="2"/>
      <c r="F874" s="2"/>
      <c r="G874" s="2"/>
      <c r="H874" s="2"/>
      <c r="I874" s="2"/>
      <c r="J874" s="2"/>
      <c r="K874" s="2"/>
    </row>
    <row r="875" spans="2:11">
      <c r="B875" s="761" t="s">
        <v>1059</v>
      </c>
      <c r="C875" s="761"/>
      <c r="D875" s="761"/>
      <c r="E875" s="761"/>
      <c r="F875" s="761"/>
      <c r="G875" s="761"/>
      <c r="H875" s="761"/>
      <c r="I875" s="761"/>
      <c r="J875" s="761"/>
      <c r="K875" s="761"/>
    </row>
    <row r="876" spans="2:11">
      <c r="B876" s="761"/>
      <c r="C876" s="761"/>
      <c r="D876" s="761"/>
      <c r="E876" s="761"/>
      <c r="F876" s="761"/>
      <c r="G876" s="761"/>
      <c r="H876" s="761"/>
      <c r="I876" s="761"/>
      <c r="J876" s="761"/>
      <c r="K876" s="761"/>
    </row>
    <row r="877" spans="2:11">
      <c r="B877" s="761"/>
      <c r="C877" s="761"/>
      <c r="D877" s="761"/>
      <c r="E877" s="761"/>
      <c r="F877" s="761"/>
      <c r="G877" s="761"/>
      <c r="H877" s="761"/>
      <c r="I877" s="761"/>
      <c r="J877" s="761"/>
      <c r="K877" s="761"/>
    </row>
    <row r="878" spans="2:11">
      <c r="B878" s="761"/>
      <c r="C878" s="761"/>
      <c r="D878" s="761"/>
      <c r="E878" s="761"/>
      <c r="F878" s="761"/>
      <c r="G878" s="761"/>
      <c r="H878" s="761"/>
      <c r="I878" s="761"/>
      <c r="J878" s="761"/>
      <c r="K878" s="761"/>
    </row>
    <row r="879" spans="2:11">
      <c r="B879" s="5"/>
      <c r="C879" s="65"/>
      <c r="D879" s="66"/>
      <c r="E879" s="65" t="s">
        <v>257</v>
      </c>
      <c r="F879" s="1"/>
      <c r="G879" s="1"/>
      <c r="H879" s="1"/>
      <c r="I879" s="1"/>
      <c r="J879" s="1"/>
      <c r="K879" s="1"/>
    </row>
    <row r="880" spans="2:11">
      <c r="B880" s="66"/>
      <c r="C880" s="65" t="s">
        <v>249</v>
      </c>
      <c r="D880" s="49" t="s">
        <v>256</v>
      </c>
      <c r="E880" s="66" t="s">
        <v>763</v>
      </c>
      <c r="F880" s="66" t="s">
        <v>257</v>
      </c>
      <c r="G880" s="66" t="s">
        <v>258</v>
      </c>
      <c r="H880" s="66" t="s">
        <v>926</v>
      </c>
      <c r="I880" s="66" t="s">
        <v>1026</v>
      </c>
      <c r="J880" s="66" t="s">
        <v>1060</v>
      </c>
      <c r="K880" s="66" t="s">
        <v>1061</v>
      </c>
    </row>
    <row r="881" spans="2:11" ht="15.75" thickBot="1">
      <c r="B881" s="136"/>
      <c r="C881" s="68" t="s">
        <v>1</v>
      </c>
      <c r="D881" s="68" t="s">
        <v>1</v>
      </c>
      <c r="E881" s="68" t="s">
        <v>720</v>
      </c>
      <c r="F881" s="68" t="s">
        <v>19</v>
      </c>
      <c r="G881" s="68" t="str">
        <f>$M$1</f>
        <v>Adopted</v>
      </c>
      <c r="H881" s="68" t="s">
        <v>19</v>
      </c>
      <c r="I881" s="68" t="s">
        <v>19</v>
      </c>
      <c r="J881" s="68" t="s">
        <v>19</v>
      </c>
      <c r="K881" s="68" t="s">
        <v>19</v>
      </c>
    </row>
    <row r="882" spans="2:11">
      <c r="B882" s="64"/>
      <c r="C882" s="137"/>
      <c r="D882" s="2"/>
      <c r="E882" s="2"/>
      <c r="F882" s="2"/>
      <c r="G882" s="2"/>
      <c r="H882" s="2"/>
      <c r="I882" s="2"/>
      <c r="J882" s="2"/>
      <c r="K882" s="2"/>
    </row>
    <row r="883" spans="2:11">
      <c r="B883" s="128" t="s">
        <v>764</v>
      </c>
      <c r="C883" s="2"/>
      <c r="D883" s="2"/>
      <c r="E883" s="2"/>
      <c r="F883" s="2"/>
      <c r="G883" s="2"/>
      <c r="H883" s="2"/>
      <c r="I883" s="2"/>
      <c r="J883" s="2"/>
      <c r="K883" s="2"/>
    </row>
    <row r="884" spans="2:11" ht="20.100000000000001" customHeight="1">
      <c r="B884" s="438" t="s">
        <v>769</v>
      </c>
      <c r="C884" s="2">
        <f>C491+C536+'Budget Detail FY 2014-21'!L453+'Budget Detail FY 2014-21'!L460</f>
        <v>346019</v>
      </c>
      <c r="D884" s="2">
        <f>D491+D536+'Budget Detail FY 2014-21'!M453+'Budget Detail FY 2014-21'!M460</f>
        <v>463014</v>
      </c>
      <c r="E884" s="2">
        <f>E491+E536+'Budget Detail FY 2014-21'!N453+'Budget Detail FY 2014-21'!N460</f>
        <v>327275</v>
      </c>
      <c r="F884" s="2">
        <f>F491+F536+'Budget Detail FY 2014-21'!O453+'Budget Detail FY 2014-21'!O460</f>
        <v>352000</v>
      </c>
      <c r="G884" s="2">
        <f>G491+G536+'Budget Detail FY 2014-21'!P453+'Budget Detail FY 2014-21'!P460</f>
        <v>356000</v>
      </c>
      <c r="H884" s="2">
        <f>H491+H536+'Budget Detail FY 2014-21'!Q453+'Budget Detail FY 2014-21'!Q460</f>
        <v>357275</v>
      </c>
      <c r="I884" s="2">
        <f>I491+I536+'Budget Detail FY 2014-21'!R453+'Budget Detail FY 2014-21'!R460</f>
        <v>357275</v>
      </c>
      <c r="J884" s="2">
        <f>J491+J536+'Budget Detail FY 2014-21'!S453+'Budget Detail FY 2014-21'!S460</f>
        <v>357275</v>
      </c>
      <c r="K884" s="2">
        <f>K491+K536+'Budget Detail FY 2014-21'!T453+'Budget Detail FY 2014-21'!T460</f>
        <v>357275</v>
      </c>
    </row>
    <row r="885" spans="2:11" ht="20.100000000000001" customHeight="1">
      <c r="B885" s="438" t="s">
        <v>770</v>
      </c>
      <c r="C885" s="2">
        <f>C492+'Budget Detail FY 2014-21'!L461</f>
        <v>828</v>
      </c>
      <c r="D885" s="2">
        <f>D492+'Budget Detail FY 2014-21'!M461</f>
        <v>1010</v>
      </c>
      <c r="E885" s="2">
        <f>E492+'Budget Detail FY 2014-21'!N461</f>
        <v>650</v>
      </c>
      <c r="F885" s="2">
        <f>F492+'Budget Detail FY 2014-21'!O461</f>
        <v>425</v>
      </c>
      <c r="G885" s="2">
        <f>G492+'Budget Detail FY 2014-21'!P461</f>
        <v>400</v>
      </c>
      <c r="H885" s="2">
        <f>H492+'Budget Detail FY 2014-21'!Q461</f>
        <v>400</v>
      </c>
      <c r="I885" s="2">
        <f>I492+'Budget Detail FY 2014-21'!R461</f>
        <v>400</v>
      </c>
      <c r="J885" s="2">
        <f>J492+'Budget Detail FY 2014-21'!S461</f>
        <v>400</v>
      </c>
      <c r="K885" s="2">
        <f>K492+'Budget Detail FY 2014-21'!T461</f>
        <v>400</v>
      </c>
    </row>
    <row r="886" spans="2:11" ht="20.100000000000001" customHeight="1">
      <c r="B886" s="438" t="s">
        <v>771</v>
      </c>
      <c r="C886" s="2">
        <f>C493+'Budget Detail FY 2014-21'!L463</f>
        <v>85728</v>
      </c>
      <c r="D886" s="2">
        <f>D493+'Budget Detail FY 2014-21'!M463</f>
        <v>105273</v>
      </c>
      <c r="E886" s="2">
        <f>E493+'Budget Detail FY 2014-21'!N463</f>
        <v>0</v>
      </c>
      <c r="F886" s="2">
        <f>F493+'Budget Detail FY 2014-21'!O463</f>
        <v>0</v>
      </c>
      <c r="G886" s="2">
        <f>G493+'Budget Detail FY 2014-21'!P463</f>
        <v>0</v>
      </c>
      <c r="H886" s="2">
        <f>H493+'Budget Detail FY 2014-21'!Q463</f>
        <v>0</v>
      </c>
      <c r="I886" s="2">
        <f>I493+'Budget Detail FY 2014-21'!R463</f>
        <v>0</v>
      </c>
      <c r="J886" s="2">
        <f>J493+'Budget Detail FY 2014-21'!S463</f>
        <v>0</v>
      </c>
      <c r="K886" s="2">
        <f>K493+'Budget Detail FY 2014-21'!T463</f>
        <v>0</v>
      </c>
    </row>
    <row r="887" spans="2:11" ht="20.100000000000001" customHeight="1">
      <c r="B887" s="438" t="s">
        <v>772</v>
      </c>
      <c r="C887" s="2">
        <f t="shared" ref="C887:K887" si="100">C494+C537</f>
        <v>189396</v>
      </c>
      <c r="D887" s="2">
        <f t="shared" si="100"/>
        <v>177755</v>
      </c>
      <c r="E887" s="2">
        <f t="shared" si="100"/>
        <v>181000</v>
      </c>
      <c r="F887" s="2">
        <f t="shared" si="100"/>
        <v>191000</v>
      </c>
      <c r="G887" s="2">
        <f t="shared" si="100"/>
        <v>181000</v>
      </c>
      <c r="H887" s="2">
        <f t="shared" si="100"/>
        <v>181000</v>
      </c>
      <c r="I887" s="2">
        <f t="shared" si="100"/>
        <v>181000</v>
      </c>
      <c r="J887" s="2">
        <f t="shared" si="100"/>
        <v>181000</v>
      </c>
      <c r="K887" s="2">
        <f t="shared" si="100"/>
        <v>181000</v>
      </c>
    </row>
    <row r="888" spans="2:11" ht="20.100000000000001" customHeight="1">
      <c r="B888" s="438" t="s">
        <v>773</v>
      </c>
      <c r="C888" s="2">
        <f>C495+C538+'Budget Detail FY 2014-21'!L468</f>
        <v>2254547</v>
      </c>
      <c r="D888" s="2">
        <f>D495+D538+'Budget Detail FY 2014-21'!M468</f>
        <v>1277606</v>
      </c>
      <c r="E888" s="2">
        <f>E495+E538+'Budget Detail FY 2014-21'!N468</f>
        <v>1076831</v>
      </c>
      <c r="F888" s="2">
        <f>F495+F538+'Budget Detail FY 2014-21'!O468</f>
        <v>1077631</v>
      </c>
      <c r="G888" s="2">
        <f>G495+G538+'Budget Detail FY 2014-21'!P468</f>
        <v>1118638</v>
      </c>
      <c r="H888" s="2">
        <f>H495+H538+'Budget Detail FY 2014-21'!Q468</f>
        <v>1311784</v>
      </c>
      <c r="I888" s="2">
        <f>I495+I538+'Budget Detail FY 2014-21'!R468</f>
        <v>1365172</v>
      </c>
      <c r="J888" s="2">
        <f>J495+J538+'Budget Detail FY 2014-21'!S468</f>
        <v>1420789</v>
      </c>
      <c r="K888" s="2">
        <f>K495+K538+'Budget Detail FY 2014-21'!T468</f>
        <v>1479455</v>
      </c>
    </row>
    <row r="889" spans="2:11" ht="20.100000000000001" customHeight="1" thickBot="1">
      <c r="B889" s="127" t="s">
        <v>774</v>
      </c>
      <c r="C889" s="124">
        <f>SUM(C884:C888)</f>
        <v>2876518</v>
      </c>
      <c r="D889" s="124">
        <f t="shared" ref="D889:K889" si="101">SUM(D884:D888)</f>
        <v>2024658</v>
      </c>
      <c r="E889" s="124">
        <f t="shared" si="101"/>
        <v>1585756</v>
      </c>
      <c r="F889" s="124">
        <f t="shared" si="101"/>
        <v>1621056</v>
      </c>
      <c r="G889" s="124">
        <f t="shared" si="101"/>
        <v>1656038</v>
      </c>
      <c r="H889" s="124">
        <f t="shared" si="101"/>
        <v>1850459</v>
      </c>
      <c r="I889" s="124">
        <f t="shared" si="101"/>
        <v>1903847</v>
      </c>
      <c r="J889" s="124">
        <f t="shared" si="101"/>
        <v>1959464</v>
      </c>
      <c r="K889" s="124">
        <f t="shared" si="101"/>
        <v>2018130</v>
      </c>
    </row>
    <row r="890" spans="2:11" ht="7.5" customHeight="1">
      <c r="B890" s="1"/>
      <c r="C890" s="2"/>
      <c r="D890" s="2"/>
      <c r="E890" s="2"/>
      <c r="F890" s="2"/>
      <c r="G890" s="2"/>
      <c r="H890" s="2"/>
      <c r="I890" s="2"/>
      <c r="J890" s="2"/>
      <c r="K890" s="2"/>
    </row>
    <row r="891" spans="2:11">
      <c r="B891" s="128" t="s">
        <v>548</v>
      </c>
      <c r="C891" s="2"/>
      <c r="D891" s="2"/>
      <c r="E891" s="2"/>
      <c r="F891" s="2"/>
      <c r="G891" s="2"/>
      <c r="H891" s="2"/>
      <c r="I891" s="2"/>
      <c r="J891" s="2"/>
      <c r="K891" s="2"/>
    </row>
    <row r="892" spans="2:11" ht="20.100000000000001" customHeight="1">
      <c r="B892" s="439" t="s">
        <v>775</v>
      </c>
      <c r="C892" s="2">
        <f t="shared" ref="C892:K892" si="102">C499+C542</f>
        <v>727937</v>
      </c>
      <c r="D892" s="2">
        <f t="shared" si="102"/>
        <v>775138</v>
      </c>
      <c r="E892" s="2">
        <f t="shared" si="102"/>
        <v>863462</v>
      </c>
      <c r="F892" s="2">
        <f t="shared" si="102"/>
        <v>863462</v>
      </c>
      <c r="G892" s="2">
        <f t="shared" si="102"/>
        <v>816544</v>
      </c>
      <c r="H892" s="2">
        <f t="shared" si="102"/>
        <v>839601</v>
      </c>
      <c r="I892" s="2">
        <f t="shared" si="102"/>
        <v>860416</v>
      </c>
      <c r="J892" s="2">
        <f t="shared" si="102"/>
        <v>881852</v>
      </c>
      <c r="K892" s="2">
        <f t="shared" si="102"/>
        <v>903926</v>
      </c>
    </row>
    <row r="893" spans="2:11" ht="20.100000000000001" customHeight="1">
      <c r="B893" s="439" t="s">
        <v>776</v>
      </c>
      <c r="C893" s="2">
        <f t="shared" ref="C893:K893" si="103">C500+C543</f>
        <v>314319</v>
      </c>
      <c r="D893" s="2">
        <f t="shared" si="103"/>
        <v>338380</v>
      </c>
      <c r="E893" s="2">
        <f t="shared" si="103"/>
        <v>382912</v>
      </c>
      <c r="F893" s="2">
        <f t="shared" si="103"/>
        <v>342752</v>
      </c>
      <c r="G893" s="2">
        <f t="shared" si="103"/>
        <v>385075</v>
      </c>
      <c r="H893" s="2">
        <f t="shared" si="103"/>
        <v>408580</v>
      </c>
      <c r="I893" s="2">
        <f t="shared" si="103"/>
        <v>436702</v>
      </c>
      <c r="J893" s="2">
        <f t="shared" si="103"/>
        <v>466914</v>
      </c>
      <c r="K893" s="2">
        <f t="shared" si="103"/>
        <v>499292</v>
      </c>
    </row>
    <row r="894" spans="2:11" ht="20.100000000000001" customHeight="1">
      <c r="B894" s="439" t="s">
        <v>777</v>
      </c>
      <c r="C894" s="2">
        <f t="shared" ref="C894:K894" si="104">C501+C544+C274</f>
        <v>426439</v>
      </c>
      <c r="D894" s="2">
        <f t="shared" si="104"/>
        <v>379143</v>
      </c>
      <c r="E894" s="2">
        <f t="shared" si="104"/>
        <v>234780</v>
      </c>
      <c r="F894" s="2">
        <f t="shared" si="104"/>
        <v>239780</v>
      </c>
      <c r="G894" s="2">
        <f t="shared" si="104"/>
        <v>260710</v>
      </c>
      <c r="H894" s="2">
        <f t="shared" si="104"/>
        <v>261982</v>
      </c>
      <c r="I894" s="2">
        <f t="shared" si="104"/>
        <v>263330</v>
      </c>
      <c r="J894" s="2">
        <f t="shared" si="104"/>
        <v>264759</v>
      </c>
      <c r="K894" s="2">
        <f t="shared" si="104"/>
        <v>266274</v>
      </c>
    </row>
    <row r="895" spans="2:11" ht="20.100000000000001" customHeight="1">
      <c r="B895" s="439" t="s">
        <v>778</v>
      </c>
      <c r="C895" s="2">
        <f t="shared" ref="C895:K895" si="105">C502+C545</f>
        <v>340952</v>
      </c>
      <c r="D895" s="2">
        <f t="shared" si="105"/>
        <v>316864</v>
      </c>
      <c r="E895" s="2">
        <f t="shared" si="105"/>
        <v>314486</v>
      </c>
      <c r="F895" s="2">
        <f t="shared" si="105"/>
        <v>319486</v>
      </c>
      <c r="G895" s="2">
        <f t="shared" si="105"/>
        <v>334666</v>
      </c>
      <c r="H895" s="2">
        <f t="shared" si="105"/>
        <v>331513</v>
      </c>
      <c r="I895" s="2">
        <f t="shared" si="105"/>
        <v>333484</v>
      </c>
      <c r="J895" s="2">
        <f t="shared" si="105"/>
        <v>335588</v>
      </c>
      <c r="K895" s="2">
        <f t="shared" si="105"/>
        <v>337833</v>
      </c>
    </row>
    <row r="896" spans="2:11" ht="20.100000000000001" customHeight="1">
      <c r="B896" s="439" t="s">
        <v>779</v>
      </c>
      <c r="C896" s="2">
        <f>C275</f>
        <v>12143</v>
      </c>
      <c r="D896" s="2">
        <f t="shared" ref="D896:K896" si="106">D275</f>
        <v>111937</v>
      </c>
      <c r="E896" s="2">
        <f t="shared" si="106"/>
        <v>127929</v>
      </c>
      <c r="F896" s="2">
        <f t="shared" si="106"/>
        <v>124145</v>
      </c>
      <c r="G896" s="2">
        <f t="shared" si="106"/>
        <v>0</v>
      </c>
      <c r="H896" s="2">
        <f t="shared" si="106"/>
        <v>0</v>
      </c>
      <c r="I896" s="2">
        <f t="shared" si="106"/>
        <v>0</v>
      </c>
      <c r="J896" s="2">
        <f t="shared" si="106"/>
        <v>0</v>
      </c>
      <c r="K896" s="2">
        <f t="shared" si="106"/>
        <v>0</v>
      </c>
    </row>
    <row r="897" spans="2:11" ht="20.100000000000001" customHeight="1">
      <c r="B897" s="440" t="s">
        <v>705</v>
      </c>
      <c r="C897" s="2">
        <f>C276</f>
        <v>2383</v>
      </c>
      <c r="D897" s="2">
        <f t="shared" ref="D897:K897" si="107">D276</f>
        <v>2219</v>
      </c>
      <c r="E897" s="2">
        <f t="shared" si="107"/>
        <v>2219</v>
      </c>
      <c r="F897" s="2">
        <f t="shared" si="107"/>
        <v>2219</v>
      </c>
      <c r="G897" s="2">
        <f t="shared" si="107"/>
        <v>2219</v>
      </c>
      <c r="H897" s="2">
        <f t="shared" si="107"/>
        <v>2219</v>
      </c>
      <c r="I897" s="2">
        <f t="shared" si="107"/>
        <v>2219</v>
      </c>
      <c r="J897" s="2">
        <f t="shared" si="107"/>
        <v>2219</v>
      </c>
      <c r="K897" s="2">
        <f t="shared" si="107"/>
        <v>2219</v>
      </c>
    </row>
    <row r="898" spans="2:11" ht="20.100000000000001" customHeight="1">
      <c r="B898" s="440" t="s">
        <v>781</v>
      </c>
      <c r="C898" s="2">
        <f t="shared" ref="C898:K898" si="108">C277+C503</f>
        <v>539043</v>
      </c>
      <c r="D898" s="2">
        <f t="shared" si="108"/>
        <v>0</v>
      </c>
      <c r="E898" s="2">
        <f t="shared" si="108"/>
        <v>0</v>
      </c>
      <c r="F898" s="2">
        <f t="shared" si="108"/>
        <v>0</v>
      </c>
      <c r="G898" s="2">
        <f t="shared" si="108"/>
        <v>0</v>
      </c>
      <c r="H898" s="2">
        <f t="shared" si="108"/>
        <v>0</v>
      </c>
      <c r="I898" s="2">
        <f t="shared" si="108"/>
        <v>0</v>
      </c>
      <c r="J898" s="2">
        <f t="shared" si="108"/>
        <v>0</v>
      </c>
      <c r="K898" s="2">
        <f t="shared" si="108"/>
        <v>0</v>
      </c>
    </row>
    <row r="899" spans="2:11" ht="20.100000000000001" customHeight="1" thickBot="1">
      <c r="B899" s="127" t="s">
        <v>782</v>
      </c>
      <c r="C899" s="124">
        <f>SUM(C892:C898)</f>
        <v>2363216</v>
      </c>
      <c r="D899" s="124">
        <f t="shared" ref="D899:K899" si="109">SUM(D892:D898)</f>
        <v>1923681</v>
      </c>
      <c r="E899" s="124">
        <f t="shared" si="109"/>
        <v>1925788</v>
      </c>
      <c r="F899" s="124">
        <f t="shared" si="109"/>
        <v>1891844</v>
      </c>
      <c r="G899" s="124">
        <f t="shared" si="109"/>
        <v>1799214</v>
      </c>
      <c r="H899" s="124">
        <f t="shared" si="109"/>
        <v>1843895</v>
      </c>
      <c r="I899" s="124">
        <f t="shared" si="109"/>
        <v>1896151</v>
      </c>
      <c r="J899" s="124">
        <f t="shared" si="109"/>
        <v>1951332</v>
      </c>
      <c r="K899" s="124">
        <f t="shared" si="109"/>
        <v>2009544</v>
      </c>
    </row>
    <row r="900" spans="2:11" ht="7.5" customHeight="1">
      <c r="B900" s="130"/>
      <c r="C900" s="3"/>
      <c r="D900" s="2"/>
      <c r="E900" s="2"/>
      <c r="F900" s="2"/>
      <c r="G900" s="2"/>
      <c r="H900" s="2"/>
      <c r="I900" s="2"/>
      <c r="J900" s="2"/>
      <c r="K900" s="2"/>
    </row>
    <row r="901" spans="2:11" ht="20.100000000000001" customHeight="1">
      <c r="B901" s="441" t="s">
        <v>783</v>
      </c>
      <c r="C901" s="3">
        <f t="shared" ref="C901:K901" si="110">+C889-C899</f>
        <v>513302</v>
      </c>
      <c r="D901" s="3">
        <f t="shared" si="110"/>
        <v>100977</v>
      </c>
      <c r="E901" s="3">
        <f t="shared" si="110"/>
        <v>-340032</v>
      </c>
      <c r="F901" s="3">
        <f t="shared" si="110"/>
        <v>-270788</v>
      </c>
      <c r="G901" s="3">
        <f t="shared" si="110"/>
        <v>-143176</v>
      </c>
      <c r="H901" s="3">
        <f t="shared" si="110"/>
        <v>6564</v>
      </c>
      <c r="I901" s="3">
        <f t="shared" si="110"/>
        <v>7696</v>
      </c>
      <c r="J901" s="3">
        <f t="shared" si="110"/>
        <v>8132</v>
      </c>
      <c r="K901" s="3">
        <f t="shared" si="110"/>
        <v>8586</v>
      </c>
    </row>
    <row r="902" spans="2:11" ht="7.5" customHeight="1">
      <c r="B902" s="131"/>
      <c r="C902" s="3"/>
      <c r="D902" s="2"/>
      <c r="E902" s="2"/>
      <c r="F902" s="2"/>
      <c r="G902" s="2"/>
      <c r="H902" s="2"/>
      <c r="I902" s="2"/>
      <c r="J902" s="2"/>
      <c r="K902" s="2"/>
    </row>
    <row r="903" spans="2:11" ht="20.100000000000001" customHeight="1" thickBot="1">
      <c r="B903" s="126" t="s">
        <v>784</v>
      </c>
      <c r="C903" s="81">
        <v>580558</v>
      </c>
      <c r="D903" s="81">
        <v>683219</v>
      </c>
      <c r="E903" s="81">
        <v>268167</v>
      </c>
      <c r="F903" s="81">
        <f>D903+F901</f>
        <v>412431</v>
      </c>
      <c r="G903" s="81">
        <f>F903+G901</f>
        <v>269255</v>
      </c>
      <c r="H903" s="81">
        <f>G903+H901</f>
        <v>275819</v>
      </c>
      <c r="I903" s="81">
        <f>H903+I901</f>
        <v>283515</v>
      </c>
      <c r="J903" s="81">
        <f>I903+J901</f>
        <v>291647</v>
      </c>
      <c r="K903" s="81">
        <f>J903+K901</f>
        <v>300233</v>
      </c>
    </row>
    <row r="904" spans="2:11" ht="15.75" thickTop="1">
      <c r="B904" s="132"/>
      <c r="C904" s="138">
        <f t="shared" ref="C904:K904" si="111">+C903/C899</f>
        <v>0.24566438277330552</v>
      </c>
      <c r="D904" s="138">
        <f t="shared" si="111"/>
        <v>0.35516231641316831</v>
      </c>
      <c r="E904" s="138">
        <f t="shared" si="111"/>
        <v>0.1392505301725839</v>
      </c>
      <c r="F904" s="138">
        <f t="shared" si="111"/>
        <v>0.21800476149196235</v>
      </c>
      <c r="G904" s="138">
        <f t="shared" si="111"/>
        <v>0.14965145891483725</v>
      </c>
      <c r="H904" s="138">
        <f t="shared" si="111"/>
        <v>0.14958498179126251</v>
      </c>
      <c r="I904" s="138">
        <f t="shared" si="111"/>
        <v>0.1495213197683096</v>
      </c>
      <c r="J904" s="138">
        <f t="shared" si="111"/>
        <v>0.14946047110384086</v>
      </c>
      <c r="K904" s="138">
        <f t="shared" si="111"/>
        <v>0.14940354627716537</v>
      </c>
    </row>
    <row r="905" spans="2:11">
      <c r="B905" s="132"/>
      <c r="C905" s="138"/>
      <c r="D905" s="138"/>
      <c r="E905" s="138"/>
      <c r="F905" s="138"/>
      <c r="G905" s="138"/>
      <c r="H905" s="138"/>
      <c r="I905" s="138"/>
      <c r="J905" s="138"/>
      <c r="K905" s="138"/>
    </row>
    <row r="906" spans="2:11" ht="7.5" customHeight="1">
      <c r="B906" s="132"/>
      <c r="C906" s="2"/>
      <c r="D906" s="2"/>
      <c r="E906" s="2"/>
      <c r="F906" s="2"/>
      <c r="G906" s="2"/>
      <c r="H906" s="2"/>
      <c r="I906" s="2"/>
      <c r="J906" s="2"/>
      <c r="K906" s="2"/>
    </row>
    <row r="907" spans="2:11">
      <c r="B907" s="1"/>
      <c r="C907" s="2"/>
      <c r="D907" s="2"/>
      <c r="E907" s="2"/>
      <c r="F907" s="2"/>
      <c r="G907" s="2"/>
      <c r="H907" s="2"/>
      <c r="I907" s="2"/>
      <c r="J907" s="2"/>
      <c r="K907" s="2"/>
    </row>
    <row r="908" spans="2:11">
      <c r="B908" s="1"/>
      <c r="C908" s="2"/>
      <c r="D908" s="2"/>
      <c r="E908" s="2"/>
      <c r="F908" s="2"/>
      <c r="G908" s="2"/>
      <c r="H908" s="2"/>
      <c r="I908" s="2"/>
      <c r="J908" s="2"/>
      <c r="K908" s="2"/>
    </row>
    <row r="909" spans="2:11">
      <c r="B909" s="1"/>
      <c r="C909" s="2"/>
      <c r="D909" s="2"/>
      <c r="E909" s="2"/>
      <c r="F909" s="2"/>
      <c r="G909" s="2"/>
      <c r="H909" s="2"/>
      <c r="I909" s="2"/>
      <c r="J909" s="2"/>
      <c r="K909" s="2"/>
    </row>
    <row r="910" spans="2:11">
      <c r="B910" s="1"/>
      <c r="C910" s="2"/>
      <c r="D910" s="2"/>
      <c r="E910" s="2"/>
      <c r="F910" s="2"/>
      <c r="G910" s="2"/>
      <c r="H910" s="2"/>
      <c r="I910" s="2"/>
      <c r="J910" s="2"/>
      <c r="K910" s="2"/>
    </row>
    <row r="911" spans="2:11">
      <c r="B911" s="1"/>
      <c r="C911" s="2"/>
      <c r="D911" s="2"/>
      <c r="E911" s="2"/>
      <c r="F911" s="2"/>
      <c r="G911" s="2"/>
      <c r="H911" s="2"/>
      <c r="I911" s="2"/>
      <c r="J911" s="2"/>
      <c r="K911" s="2"/>
    </row>
    <row r="912" spans="2:11">
      <c r="B912" s="1"/>
      <c r="C912" s="2"/>
      <c r="D912" s="2"/>
      <c r="E912" s="2"/>
      <c r="F912" s="2"/>
      <c r="G912" s="2"/>
      <c r="H912" s="2"/>
      <c r="I912" s="2"/>
      <c r="J912" s="2"/>
      <c r="K912" s="2"/>
    </row>
    <row r="913" spans="2:11">
      <c r="B913" s="1"/>
      <c r="C913" s="2"/>
      <c r="D913" s="2"/>
      <c r="E913" s="2"/>
      <c r="F913" s="2"/>
      <c r="G913" s="2"/>
      <c r="H913" s="2"/>
      <c r="I913" s="2"/>
      <c r="J913" s="2"/>
      <c r="K913" s="2"/>
    </row>
    <row r="914" spans="2:11">
      <c r="B914" s="1"/>
      <c r="C914" s="2"/>
      <c r="D914" s="2"/>
      <c r="E914" s="2"/>
      <c r="F914" s="2"/>
      <c r="G914" s="2"/>
      <c r="H914" s="2"/>
      <c r="I914" s="2"/>
      <c r="J914" s="2"/>
      <c r="K914" s="2"/>
    </row>
    <row r="915" spans="2:11">
      <c r="B915" s="1"/>
      <c r="C915" s="2"/>
      <c r="D915" s="2"/>
      <c r="E915" s="2"/>
      <c r="F915" s="2"/>
      <c r="G915" s="2"/>
      <c r="H915" s="2"/>
      <c r="I915" s="2"/>
      <c r="J915" s="2"/>
      <c r="K915" s="2"/>
    </row>
    <row r="916" spans="2:11">
      <c r="B916" s="1"/>
      <c r="C916" s="2"/>
      <c r="D916" s="2"/>
      <c r="E916" s="2"/>
      <c r="F916" s="2"/>
      <c r="G916" s="2"/>
      <c r="H916" s="2"/>
      <c r="I916" s="2"/>
      <c r="J916" s="2"/>
      <c r="K916" s="2"/>
    </row>
    <row r="917" spans="2:11">
      <c r="B917" s="1"/>
      <c r="C917" s="2"/>
      <c r="D917" s="2"/>
      <c r="E917" s="2"/>
      <c r="F917" s="2"/>
      <c r="G917" s="2"/>
      <c r="H917" s="2"/>
      <c r="I917" s="2"/>
      <c r="J917" s="2"/>
      <c r="K917" s="2"/>
    </row>
  </sheetData>
  <mergeCells count="42">
    <mergeCell ref="B873:K873"/>
    <mergeCell ref="B875:K878"/>
    <mergeCell ref="B771:K771"/>
    <mergeCell ref="B823:K823"/>
    <mergeCell ref="B825:K827"/>
    <mergeCell ref="B773:K776"/>
    <mergeCell ref="B118:K118"/>
    <mergeCell ref="B120:K121"/>
    <mergeCell ref="B157:K157"/>
    <mergeCell ref="B85:K86"/>
    <mergeCell ref="B1:K1"/>
    <mergeCell ref="B3:K4"/>
    <mergeCell ref="B47:K47"/>
    <mergeCell ref="B49:K50"/>
    <mergeCell ref="B83:K83"/>
    <mergeCell ref="B159:K160"/>
    <mergeCell ref="B242:K245"/>
    <mergeCell ref="B440:K442"/>
    <mergeCell ref="B480:K480"/>
    <mergeCell ref="B342:K342"/>
    <mergeCell ref="B344:K345"/>
    <mergeCell ref="B389:K389"/>
    <mergeCell ref="B391:K392"/>
    <mergeCell ref="B194:K195"/>
    <mergeCell ref="B304:K304"/>
    <mergeCell ref="B306:K307"/>
    <mergeCell ref="B438:K438"/>
    <mergeCell ref="B192:K192"/>
    <mergeCell ref="B240:K240"/>
    <mergeCell ref="B482:K485"/>
    <mergeCell ref="B525:K525"/>
    <mergeCell ref="B693:K693"/>
    <mergeCell ref="B695:K696"/>
    <mergeCell ref="B733:K733"/>
    <mergeCell ref="B527:K529"/>
    <mergeCell ref="B735:K735"/>
    <mergeCell ref="B568:K568"/>
    <mergeCell ref="B570:K572"/>
    <mergeCell ref="B616:K616"/>
    <mergeCell ref="B618:K619"/>
    <mergeCell ref="B654:K654"/>
    <mergeCell ref="B656:K657"/>
  </mergeCells>
  <printOptions horizontalCentered="1"/>
  <pageMargins left="0" right="0" top="0.5" bottom="0" header="0" footer="0"/>
  <pageSetup scale="73" orientation="landscape" r:id="rId1"/>
  <rowBreaks count="20" manualBreakCount="20">
    <brk id="45" max="16383" man="1"/>
    <brk id="81" max="16383" man="1"/>
    <brk id="116" max="16383" man="1"/>
    <brk id="155" max="10" man="1"/>
    <brk id="190" max="16383" man="1"/>
    <brk id="238" max="16383" man="1"/>
    <brk id="302" max="16383" man="1"/>
    <brk id="341" max="10" man="1"/>
    <brk id="388" max="10" man="1"/>
    <brk id="436" max="10" man="1"/>
    <brk id="478" max="16383" man="1"/>
    <brk id="523" max="16383" man="1"/>
    <brk id="566" max="10" man="1"/>
    <brk id="614" max="10" man="1"/>
    <brk id="652" max="16383" man="1"/>
    <brk id="691" max="16383" man="1"/>
    <brk id="731" max="16383" man="1"/>
    <brk id="770" max="10" man="1"/>
    <brk id="822" max="10" man="1"/>
    <brk id="872" max="10" man="1"/>
  </rowBreaks>
  <drawing r:id="rId2"/>
</worksheet>
</file>

<file path=xl/worksheets/sheet8.xml><?xml version="1.0" encoding="utf-8"?>
<worksheet xmlns="http://schemas.openxmlformats.org/spreadsheetml/2006/main" xmlns:r="http://schemas.openxmlformats.org/officeDocument/2006/relationships">
  <sheetPr>
    <outlinePr summaryBelow="0" summaryRight="0"/>
    <pageSetUpPr autoPageBreaks="0"/>
  </sheetPr>
  <dimension ref="A1:BF1480"/>
  <sheetViews>
    <sheetView tabSelected="1" showOutlineSymbols="0" zoomScale="75" zoomScaleNormal="75" zoomScaleSheetLayoutView="70" workbookViewId="0">
      <pane ySplit="5" topLeftCell="A6" activePane="bottomLeft" state="frozen"/>
      <selection activeCell="E31" sqref="E31"/>
      <selection pane="bottomLeft" activeCell="X61" sqref="X61"/>
    </sheetView>
  </sheetViews>
  <sheetFormatPr defaultColWidth="6.85546875" defaultRowHeight="12.75" customHeight="1"/>
  <cols>
    <col min="1" max="1" width="20" style="213" customWidth="1"/>
    <col min="2" max="3" width="1.28515625" style="213" customWidth="1"/>
    <col min="4" max="4" width="6" style="213" customWidth="1"/>
    <col min="5" max="5" width="1.42578125" style="213" customWidth="1"/>
    <col min="6" max="6" width="7.42578125" style="213" customWidth="1"/>
    <col min="7" max="7" width="2.5703125" style="213" customWidth="1"/>
    <col min="8" max="8" width="1.140625" style="213" customWidth="1"/>
    <col min="9" max="9" width="3" style="213" customWidth="1"/>
    <col min="10" max="10" width="4" style="213" customWidth="1"/>
    <col min="11" max="11" width="21" style="213" customWidth="1"/>
    <col min="12" max="13" width="15.7109375" style="213" customWidth="1"/>
    <col min="14" max="15" width="15.7109375" style="143" customWidth="1"/>
    <col min="16" max="20" width="15.7109375" style="213" customWidth="1"/>
    <col min="21" max="21" width="4" style="211" customWidth="1"/>
    <col min="22" max="22" width="14.7109375" style="213" customWidth="1"/>
    <col min="23" max="23" width="16.85546875" style="213" customWidth="1"/>
    <col min="24" max="24" width="18.7109375" style="213" customWidth="1"/>
    <col min="25" max="25" width="14.28515625" style="213" customWidth="1"/>
    <col min="26" max="26" width="12.7109375" style="213" customWidth="1"/>
    <col min="27" max="27" width="16" style="213" customWidth="1"/>
    <col min="28" max="28" width="14" style="213" customWidth="1"/>
    <col min="29" max="29" width="13.5703125" style="213" customWidth="1"/>
    <col min="30" max="34" width="13.7109375" style="213" customWidth="1"/>
    <col min="35" max="45" width="10.7109375" style="213" customWidth="1"/>
    <col min="46" max="16384" width="6.85546875" style="213"/>
  </cols>
  <sheetData>
    <row r="1" spans="1:30" ht="24" customHeight="1">
      <c r="V1" s="713"/>
      <c r="W1" s="713"/>
      <c r="X1" s="713"/>
      <c r="Y1" s="767"/>
      <c r="Z1" s="767"/>
      <c r="AA1" s="767"/>
      <c r="AB1" s="767"/>
    </row>
    <row r="2" spans="1:30" ht="24" customHeight="1">
      <c r="V2" s="713"/>
      <c r="W2" s="713"/>
      <c r="X2" s="713"/>
    </row>
    <row r="3" spans="1:30" ht="24" customHeight="1">
      <c r="S3" s="211"/>
      <c r="T3" s="211"/>
      <c r="V3" s="228"/>
      <c r="W3" s="713"/>
      <c r="X3" s="713"/>
    </row>
    <row r="4" spans="1:30" ht="24" customHeight="1">
      <c r="A4" s="215"/>
      <c r="B4" s="215"/>
      <c r="C4" s="215"/>
      <c r="D4" s="215"/>
      <c r="E4" s="215"/>
      <c r="F4" s="215"/>
      <c r="G4" s="215"/>
      <c r="H4" s="215"/>
      <c r="I4" s="215"/>
      <c r="J4" s="215"/>
      <c r="K4" s="215"/>
      <c r="L4" s="216" t="s">
        <v>249</v>
      </c>
      <c r="M4" s="216" t="s">
        <v>256</v>
      </c>
      <c r="N4" s="217" t="s">
        <v>257</v>
      </c>
      <c r="O4" s="217" t="s">
        <v>257</v>
      </c>
      <c r="P4" s="216" t="s">
        <v>258</v>
      </c>
      <c r="Q4" s="216" t="s">
        <v>926</v>
      </c>
      <c r="R4" s="216" t="s">
        <v>1026</v>
      </c>
      <c r="S4" s="216" t="s">
        <v>1060</v>
      </c>
      <c r="T4" s="216" t="s">
        <v>1061</v>
      </c>
      <c r="V4" s="726"/>
      <c r="W4" s="322"/>
      <c r="X4" s="322"/>
    </row>
    <row r="5" spans="1:30" ht="24" customHeight="1" thickBot="1">
      <c r="A5" s="218" t="s">
        <v>978</v>
      </c>
      <c r="B5" s="215"/>
      <c r="C5" s="215"/>
      <c r="D5" s="779" t="s">
        <v>0</v>
      </c>
      <c r="E5" s="779"/>
      <c r="F5" s="779"/>
      <c r="G5" s="215"/>
      <c r="H5" s="215"/>
      <c r="I5" s="215"/>
      <c r="J5" s="215"/>
      <c r="K5" s="215"/>
      <c r="L5" s="219" t="s">
        <v>1</v>
      </c>
      <c r="M5" s="219" t="s">
        <v>1</v>
      </c>
      <c r="N5" s="220" t="s">
        <v>720</v>
      </c>
      <c r="O5" s="220" t="s">
        <v>19</v>
      </c>
      <c r="P5" s="708" t="str">
        <f>'Fund Cover Sheets'!$M$1</f>
        <v>Adopted</v>
      </c>
      <c r="Q5" s="219" t="s">
        <v>19</v>
      </c>
      <c r="R5" s="219" t="s">
        <v>19</v>
      </c>
      <c r="S5" s="219" t="s">
        <v>19</v>
      </c>
      <c r="T5" s="219" t="s">
        <v>19</v>
      </c>
    </row>
    <row r="6" spans="1:30" ht="15" customHeight="1">
      <c r="A6" s="214"/>
      <c r="D6" s="214"/>
      <c r="E6" s="214"/>
      <c r="F6" s="214"/>
      <c r="L6" s="145"/>
      <c r="M6" s="145"/>
      <c r="N6" s="146"/>
      <c r="O6" s="146"/>
      <c r="P6" s="145"/>
      <c r="Q6" s="145"/>
      <c r="R6" s="145"/>
      <c r="S6" s="145"/>
      <c r="T6" s="145"/>
    </row>
    <row r="7" spans="1:30" ht="24" customHeight="1">
      <c r="A7" s="778" t="s">
        <v>562</v>
      </c>
      <c r="B7" s="778"/>
      <c r="C7" s="778"/>
      <c r="D7" s="778"/>
      <c r="E7" s="778"/>
      <c r="F7" s="778"/>
      <c r="G7" s="778"/>
      <c r="H7" s="778"/>
      <c r="I7" s="778"/>
      <c r="J7" s="778"/>
      <c r="K7" s="778"/>
      <c r="P7" s="583"/>
      <c r="Q7" s="201"/>
      <c r="R7" s="201"/>
      <c r="S7" s="201"/>
      <c r="T7" s="201"/>
    </row>
    <row r="8" spans="1:30" ht="15" customHeight="1">
      <c r="A8" s="280"/>
      <c r="B8" s="280"/>
      <c r="C8" s="280"/>
      <c r="D8" s="280"/>
      <c r="E8" s="280"/>
      <c r="F8" s="280"/>
      <c r="G8" s="280"/>
      <c r="H8" s="280"/>
      <c r="I8" s="280"/>
      <c r="J8" s="280"/>
      <c r="K8" s="280"/>
      <c r="P8" s="201"/>
      <c r="Q8" s="165"/>
      <c r="R8" s="165"/>
      <c r="S8" s="165"/>
      <c r="T8" s="165"/>
      <c r="U8" s="471"/>
    </row>
    <row r="9" spans="1:30" ht="24" customHeight="1">
      <c r="A9" s="215" t="s">
        <v>20</v>
      </c>
      <c r="B9" s="215"/>
      <c r="C9" s="215"/>
      <c r="D9" s="355" t="s">
        <v>198</v>
      </c>
      <c r="E9" s="355"/>
      <c r="F9" s="355"/>
      <c r="G9" s="355"/>
      <c r="H9" s="355"/>
      <c r="I9" s="355"/>
      <c r="J9" s="355"/>
      <c r="K9" s="355"/>
      <c r="L9" s="222">
        <v>2201759</v>
      </c>
      <c r="M9" s="222">
        <v>2277087</v>
      </c>
      <c r="N9" s="148">
        <v>2288200</v>
      </c>
      <c r="O9" s="148">
        <v>2278321</v>
      </c>
      <c r="P9" s="147">
        <v>2219203</v>
      </c>
      <c r="Q9" s="147">
        <f>ROUND(P9*1.02,0)</f>
        <v>2263587</v>
      </c>
      <c r="R9" s="147">
        <f>ROUND(Q9*1.02,0)</f>
        <v>2308859</v>
      </c>
      <c r="S9" s="147">
        <f t="shared" ref="S9:T9" si="0">ROUND(R9*1.02,0)</f>
        <v>2355036</v>
      </c>
      <c r="T9" s="147">
        <f t="shared" si="0"/>
        <v>2402137</v>
      </c>
      <c r="V9" s="472"/>
      <c r="W9" s="418"/>
    </row>
    <row r="10" spans="1:30" ht="24" customHeight="1">
      <c r="A10" s="215" t="s">
        <v>200</v>
      </c>
      <c r="B10" s="215"/>
      <c r="C10" s="215"/>
      <c r="D10" s="596" t="s">
        <v>199</v>
      </c>
      <c r="E10" s="596"/>
      <c r="F10" s="596"/>
      <c r="G10" s="596"/>
      <c r="H10" s="596"/>
      <c r="I10" s="596"/>
      <c r="J10" s="596"/>
      <c r="K10" s="596"/>
      <c r="L10" s="224">
        <v>524120</v>
      </c>
      <c r="M10" s="224">
        <v>624168</v>
      </c>
      <c r="N10" s="151">
        <v>728477</v>
      </c>
      <c r="O10" s="148">
        <v>703105</v>
      </c>
      <c r="P10" s="150">
        <v>825413</v>
      </c>
      <c r="Q10" s="150">
        <f>P10+50000</f>
        <v>875413</v>
      </c>
      <c r="R10" s="150">
        <f t="shared" ref="R10:T10" si="1">Q10+50000</f>
        <v>925413</v>
      </c>
      <c r="S10" s="150">
        <f t="shared" si="1"/>
        <v>975413</v>
      </c>
      <c r="T10" s="150">
        <f t="shared" si="1"/>
        <v>1025413</v>
      </c>
      <c r="V10" s="599"/>
      <c r="W10" s="418"/>
    </row>
    <row r="11" spans="1:30" ht="24" customHeight="1">
      <c r="A11" s="281" t="s">
        <v>22</v>
      </c>
      <c r="B11" s="215"/>
      <c r="C11" s="215"/>
      <c r="D11" s="460" t="s">
        <v>21</v>
      </c>
      <c r="E11" s="388"/>
      <c r="F11" s="388"/>
      <c r="G11" s="388"/>
      <c r="H11" s="388"/>
      <c r="I11" s="388"/>
      <c r="J11" s="388"/>
      <c r="K11" s="388"/>
      <c r="L11" s="224">
        <v>2586460</v>
      </c>
      <c r="M11" s="224">
        <v>2704651</v>
      </c>
      <c r="N11" s="151">
        <v>2751960</v>
      </c>
      <c r="O11" s="151">
        <v>2746000</v>
      </c>
      <c r="P11" s="150">
        <f>ROUND(O11*1.02,0)</f>
        <v>2800920</v>
      </c>
      <c r="Q11" s="150">
        <f>ROUND(P11*1.02,0)</f>
        <v>2856938</v>
      </c>
      <c r="R11" s="150">
        <f>ROUND(Q11*1.02,0)</f>
        <v>2914077</v>
      </c>
      <c r="S11" s="150">
        <f t="shared" ref="S11:T11" si="2">ROUND(R11*1.02,0)</f>
        <v>2972359</v>
      </c>
      <c r="T11" s="150">
        <f t="shared" si="2"/>
        <v>3031806</v>
      </c>
      <c r="V11" s="472"/>
    </row>
    <row r="12" spans="1:30" ht="24" customHeight="1">
      <c r="A12" s="281" t="s">
        <v>261</v>
      </c>
      <c r="B12" s="215"/>
      <c r="C12" s="215"/>
      <c r="D12" s="460" t="s">
        <v>624</v>
      </c>
      <c r="E12" s="388"/>
      <c r="F12" s="388"/>
      <c r="G12" s="388"/>
      <c r="H12" s="388"/>
      <c r="I12" s="388"/>
      <c r="J12" s="388"/>
      <c r="K12" s="388"/>
      <c r="L12" s="224">
        <v>1986566</v>
      </c>
      <c r="M12" s="224">
        <v>2078061</v>
      </c>
      <c r="N12" s="151">
        <v>2142000</v>
      </c>
      <c r="O12" s="151">
        <v>2115000</v>
      </c>
      <c r="P12" s="150">
        <f>ROUND(O12*1.02,0)</f>
        <v>2157300</v>
      </c>
      <c r="Q12" s="150">
        <f t="shared" ref="Q12:S12" si="3">ROUND(P12*1.02,0)</f>
        <v>2200446</v>
      </c>
      <c r="R12" s="150">
        <f>ROUND(Q12*1.02,0)</f>
        <v>2244455</v>
      </c>
      <c r="S12" s="150">
        <f t="shared" si="3"/>
        <v>2289344</v>
      </c>
      <c r="T12" s="150">
        <f>ROUND(S12*1.02,0)</f>
        <v>2335131</v>
      </c>
      <c r="V12" s="472"/>
    </row>
    <row r="13" spans="1:30" ht="24" customHeight="1">
      <c r="A13" s="281" t="s">
        <v>23</v>
      </c>
      <c r="B13" s="215"/>
      <c r="C13" s="215"/>
      <c r="D13" s="281" t="s">
        <v>2</v>
      </c>
      <c r="E13" s="535"/>
      <c r="F13" s="535"/>
      <c r="G13" s="535"/>
      <c r="H13" s="535"/>
      <c r="I13" s="535"/>
      <c r="J13" s="535"/>
      <c r="K13" s="535"/>
      <c r="L13" s="224">
        <v>615878</v>
      </c>
      <c r="M13" s="224">
        <v>635478</v>
      </c>
      <c r="N13" s="151">
        <v>605000</v>
      </c>
      <c r="O13" s="151">
        <v>635000</v>
      </c>
      <c r="P13" s="150">
        <v>625000</v>
      </c>
      <c r="Q13" s="150">
        <v>625000</v>
      </c>
      <c r="R13" s="150">
        <v>625000</v>
      </c>
      <c r="S13" s="150">
        <v>625000</v>
      </c>
      <c r="T13" s="150">
        <v>625000</v>
      </c>
      <c r="V13" s="472"/>
    </row>
    <row r="14" spans="1:30" ht="24" customHeight="1">
      <c r="A14" s="281" t="s">
        <v>24</v>
      </c>
      <c r="B14" s="215"/>
      <c r="C14" s="215"/>
      <c r="D14" s="281" t="s">
        <v>36</v>
      </c>
      <c r="E14" s="536"/>
      <c r="F14" s="536"/>
      <c r="G14" s="536"/>
      <c r="H14" s="536"/>
      <c r="I14" s="536"/>
      <c r="J14" s="536"/>
      <c r="K14" s="536"/>
      <c r="L14" s="224">
        <v>310979</v>
      </c>
      <c r="M14" s="224">
        <v>277969</v>
      </c>
      <c r="N14" s="151">
        <v>265000</v>
      </c>
      <c r="O14" s="151">
        <v>265000</v>
      </c>
      <c r="P14" s="150">
        <v>265000</v>
      </c>
      <c r="Q14" s="150">
        <v>265000</v>
      </c>
      <c r="R14" s="150">
        <v>265000</v>
      </c>
      <c r="S14" s="150">
        <v>265000</v>
      </c>
      <c r="T14" s="150">
        <v>265000</v>
      </c>
      <c r="V14" s="472"/>
      <c r="W14" s="149"/>
      <c r="X14" s="149"/>
      <c r="Y14" s="149"/>
      <c r="Z14" s="149"/>
      <c r="AA14" s="149"/>
      <c r="AB14" s="149"/>
      <c r="AD14" s="149"/>
    </row>
    <row r="15" spans="1:30" ht="24" customHeight="1">
      <c r="A15" s="281" t="s">
        <v>31</v>
      </c>
      <c r="B15" s="558"/>
      <c r="C15" s="558"/>
      <c r="D15" s="281" t="s">
        <v>935</v>
      </c>
      <c r="E15" s="558"/>
      <c r="F15" s="558"/>
      <c r="G15" s="558"/>
      <c r="H15" s="558"/>
      <c r="I15" s="558"/>
      <c r="J15" s="558"/>
      <c r="K15" s="558"/>
      <c r="L15" s="224">
        <v>461554</v>
      </c>
      <c r="M15" s="224">
        <v>418509</v>
      </c>
      <c r="N15" s="151">
        <v>415000</v>
      </c>
      <c r="O15" s="151">
        <v>390000</v>
      </c>
      <c r="P15" s="150">
        <f>O15</f>
        <v>390000</v>
      </c>
      <c r="Q15" s="150">
        <f t="shared" ref="Q15:T15" si="4">P15</f>
        <v>390000</v>
      </c>
      <c r="R15" s="150">
        <f t="shared" si="4"/>
        <v>390000</v>
      </c>
      <c r="S15" s="150">
        <f t="shared" si="4"/>
        <v>390000</v>
      </c>
      <c r="T15" s="150">
        <f t="shared" si="4"/>
        <v>390000</v>
      </c>
      <c r="V15" s="472"/>
    </row>
    <row r="16" spans="1:30" ht="24" customHeight="1">
      <c r="A16" s="281" t="s">
        <v>667</v>
      </c>
      <c r="B16" s="215"/>
      <c r="C16" s="215"/>
      <c r="D16" s="281" t="s">
        <v>35</v>
      </c>
      <c r="E16" s="215"/>
      <c r="F16" s="215"/>
      <c r="G16" s="215"/>
      <c r="H16" s="215"/>
      <c r="I16" s="215"/>
      <c r="J16" s="215"/>
      <c r="K16" s="215"/>
      <c r="L16" s="224">
        <v>12625</v>
      </c>
      <c r="M16" s="224">
        <v>10222</v>
      </c>
      <c r="N16" s="151">
        <v>11500</v>
      </c>
      <c r="O16" s="151">
        <v>8250</v>
      </c>
      <c r="P16" s="150">
        <v>8000</v>
      </c>
      <c r="Q16" s="150">
        <v>8000</v>
      </c>
      <c r="R16" s="150">
        <v>8000</v>
      </c>
      <c r="S16" s="150">
        <v>8000</v>
      </c>
      <c r="T16" s="150">
        <v>8000</v>
      </c>
      <c r="V16" s="472"/>
    </row>
    <row r="17" spans="1:23" ht="24" customHeight="1">
      <c r="A17" s="281" t="s">
        <v>30</v>
      </c>
      <c r="B17" s="215"/>
      <c r="C17" s="215"/>
      <c r="D17" s="281" t="s">
        <v>4</v>
      </c>
      <c r="E17" s="215"/>
      <c r="F17" s="215"/>
      <c r="G17" s="215"/>
      <c r="H17" s="215"/>
      <c r="I17" s="215"/>
      <c r="J17" s="215"/>
      <c r="K17" s="215"/>
      <c r="L17" s="224">
        <v>232206</v>
      </c>
      <c r="M17" s="224">
        <v>258118</v>
      </c>
      <c r="N17" s="151">
        <v>230000</v>
      </c>
      <c r="O17" s="151">
        <v>270000</v>
      </c>
      <c r="P17" s="150">
        <v>270000</v>
      </c>
      <c r="Q17" s="150">
        <v>270000</v>
      </c>
      <c r="R17" s="150">
        <v>270000</v>
      </c>
      <c r="S17" s="150">
        <v>270000</v>
      </c>
      <c r="T17" s="150">
        <v>270000</v>
      </c>
      <c r="V17" s="472"/>
    </row>
    <row r="18" spans="1:23" ht="24" customHeight="1">
      <c r="A18" s="281" t="s">
        <v>29</v>
      </c>
      <c r="B18" s="215"/>
      <c r="C18" s="215"/>
      <c r="D18" s="281" t="s">
        <v>3</v>
      </c>
      <c r="E18" s="215"/>
      <c r="F18" s="215"/>
      <c r="G18" s="215"/>
      <c r="H18" s="215"/>
      <c r="I18" s="215"/>
      <c r="J18" s="215"/>
      <c r="K18" s="215"/>
      <c r="L18" s="224">
        <v>65605</v>
      </c>
      <c r="M18" s="224">
        <v>72708</v>
      </c>
      <c r="N18" s="151">
        <v>70000</v>
      </c>
      <c r="O18" s="151">
        <v>76000</v>
      </c>
      <c r="P18" s="150">
        <v>76000</v>
      </c>
      <c r="Q18" s="150">
        <v>76000</v>
      </c>
      <c r="R18" s="150">
        <v>76000</v>
      </c>
      <c r="S18" s="150">
        <v>76000</v>
      </c>
      <c r="T18" s="150">
        <v>76000</v>
      </c>
      <c r="U18" s="150"/>
      <c r="V18" s="472"/>
    </row>
    <row r="19" spans="1:23" ht="24" customHeight="1">
      <c r="A19" s="281" t="s">
        <v>1361</v>
      </c>
      <c r="B19" s="572"/>
      <c r="C19" s="572"/>
      <c r="D19" s="614" t="s">
        <v>1094</v>
      </c>
      <c r="E19" s="615"/>
      <c r="F19" s="615"/>
      <c r="G19" s="615"/>
      <c r="H19" s="615"/>
      <c r="I19" s="615"/>
      <c r="J19" s="615"/>
      <c r="K19" s="615"/>
      <c r="L19" s="224">
        <v>26047</v>
      </c>
      <c r="M19" s="224">
        <v>50855</v>
      </c>
      <c r="N19" s="151">
        <v>45000</v>
      </c>
      <c r="O19" s="151">
        <v>65000</v>
      </c>
      <c r="P19" s="150">
        <v>65000</v>
      </c>
      <c r="Q19" s="150">
        <v>65000</v>
      </c>
      <c r="R19" s="150">
        <v>65000</v>
      </c>
      <c r="S19" s="150">
        <v>65000</v>
      </c>
      <c r="T19" s="150">
        <v>65000</v>
      </c>
      <c r="V19" s="472"/>
    </row>
    <row r="20" spans="1:23" ht="24" customHeight="1">
      <c r="A20" s="281" t="s">
        <v>28</v>
      </c>
      <c r="B20" s="215"/>
      <c r="C20" s="215"/>
      <c r="D20" s="617" t="s">
        <v>34</v>
      </c>
      <c r="E20" s="616"/>
      <c r="F20" s="616"/>
      <c r="G20" s="616"/>
      <c r="H20" s="616"/>
      <c r="I20" s="616"/>
      <c r="J20" s="616"/>
      <c r="K20" s="616"/>
      <c r="L20" s="224">
        <v>144118</v>
      </c>
      <c r="M20" s="224">
        <v>172461</v>
      </c>
      <c r="N20" s="151">
        <v>175000</v>
      </c>
      <c r="O20" s="151">
        <v>180000</v>
      </c>
      <c r="P20" s="150">
        <v>180000</v>
      </c>
      <c r="Q20" s="150">
        <v>180000</v>
      </c>
      <c r="R20" s="150">
        <v>180000</v>
      </c>
      <c r="S20" s="150">
        <v>180000</v>
      </c>
      <c r="T20" s="150">
        <v>180000</v>
      </c>
      <c r="V20" s="472"/>
      <c r="W20" s="419"/>
    </row>
    <row r="21" spans="1:23" ht="24" customHeight="1">
      <c r="A21" s="281" t="s">
        <v>27</v>
      </c>
      <c r="B21" s="215"/>
      <c r="C21" s="215"/>
      <c r="D21" s="129" t="s">
        <v>33</v>
      </c>
      <c r="E21" s="215"/>
      <c r="F21" s="215"/>
      <c r="G21" s="215"/>
      <c r="H21" s="215"/>
      <c r="I21" s="215"/>
      <c r="J21" s="215"/>
      <c r="K21" s="215"/>
      <c r="L21" s="224">
        <v>103720</v>
      </c>
      <c r="M21" s="224">
        <v>104066</v>
      </c>
      <c r="N21" s="151">
        <v>105000</v>
      </c>
      <c r="O21" s="151">
        <v>121799</v>
      </c>
      <c r="P21" s="150">
        <v>120000</v>
      </c>
      <c r="Q21" s="150">
        <v>120000</v>
      </c>
      <c r="R21" s="150">
        <v>120000</v>
      </c>
      <c r="S21" s="150">
        <v>120000</v>
      </c>
      <c r="T21" s="150">
        <v>120000</v>
      </c>
      <c r="V21" s="472"/>
      <c r="W21" s="149"/>
    </row>
    <row r="22" spans="1:23" ht="24" customHeight="1">
      <c r="A22" s="281" t="s">
        <v>26</v>
      </c>
      <c r="B22" s="215"/>
      <c r="C22" s="215"/>
      <c r="D22" s="283" t="s">
        <v>1306</v>
      </c>
      <c r="E22" s="215"/>
      <c r="F22" s="215"/>
      <c r="G22" s="215"/>
      <c r="H22" s="215"/>
      <c r="I22" s="215"/>
      <c r="J22" s="215"/>
      <c r="K22" s="215"/>
      <c r="L22" s="224">
        <v>325724</v>
      </c>
      <c r="M22" s="224">
        <v>336830</v>
      </c>
      <c r="N22" s="151">
        <v>346800</v>
      </c>
      <c r="O22" s="151">
        <v>350000</v>
      </c>
      <c r="P22" s="150">
        <f>ROUND(O22*1.02,0)</f>
        <v>357000</v>
      </c>
      <c r="Q22" s="150">
        <f t="shared" ref="Q22:T22" si="5">ROUND(P22*1.02,0)</f>
        <v>364140</v>
      </c>
      <c r="R22" s="150">
        <f t="shared" si="5"/>
        <v>371423</v>
      </c>
      <c r="S22" s="150">
        <f t="shared" si="5"/>
        <v>378851</v>
      </c>
      <c r="T22" s="150">
        <f t="shared" si="5"/>
        <v>386428</v>
      </c>
      <c r="V22" s="472"/>
    </row>
    <row r="23" spans="1:23" ht="24" customHeight="1">
      <c r="A23" s="281" t="s">
        <v>1307</v>
      </c>
      <c r="B23" s="509"/>
      <c r="C23" s="509"/>
      <c r="D23" s="283" t="s">
        <v>1309</v>
      </c>
      <c r="E23" s="509"/>
      <c r="F23" s="509"/>
      <c r="G23" s="509"/>
      <c r="H23" s="509"/>
      <c r="I23" s="509"/>
      <c r="J23" s="509"/>
      <c r="K23" s="509"/>
      <c r="L23" s="224">
        <v>0</v>
      </c>
      <c r="M23" s="224">
        <v>11192</v>
      </c>
      <c r="N23" s="151">
        <v>20000</v>
      </c>
      <c r="O23" s="151">
        <v>4000</v>
      </c>
      <c r="P23" s="150">
        <v>4000</v>
      </c>
      <c r="Q23" s="150">
        <v>4000</v>
      </c>
      <c r="R23" s="150">
        <v>4000</v>
      </c>
      <c r="S23" s="150">
        <v>4000</v>
      </c>
      <c r="T23" s="150">
        <v>4000</v>
      </c>
      <c r="V23" s="472"/>
    </row>
    <row r="24" spans="1:23" ht="24" customHeight="1">
      <c r="A24" s="281" t="s">
        <v>1308</v>
      </c>
      <c r="B24" s="509"/>
      <c r="C24" s="509"/>
      <c r="D24" s="283" t="s">
        <v>1310</v>
      </c>
      <c r="E24" s="509"/>
      <c r="F24" s="509"/>
      <c r="G24" s="509"/>
      <c r="H24" s="509"/>
      <c r="I24" s="509"/>
      <c r="J24" s="509"/>
      <c r="K24" s="509"/>
      <c r="L24" s="224">
        <v>0</v>
      </c>
      <c r="M24" s="224">
        <v>9054</v>
      </c>
      <c r="N24" s="151">
        <v>20000</v>
      </c>
      <c r="O24" s="151">
        <v>11000</v>
      </c>
      <c r="P24" s="150">
        <v>11000</v>
      </c>
      <c r="Q24" s="150">
        <v>11000</v>
      </c>
      <c r="R24" s="150">
        <v>11000</v>
      </c>
      <c r="S24" s="150">
        <v>11000</v>
      </c>
      <c r="T24" s="150">
        <v>11000</v>
      </c>
      <c r="V24" s="472"/>
    </row>
    <row r="25" spans="1:23" ht="24" customHeight="1">
      <c r="A25" s="281" t="s">
        <v>25</v>
      </c>
      <c r="B25" s="215"/>
      <c r="C25" s="215"/>
      <c r="D25" s="281" t="s">
        <v>32</v>
      </c>
      <c r="E25" s="215"/>
      <c r="F25" s="215"/>
      <c r="G25" s="215"/>
      <c r="H25" s="215"/>
      <c r="I25" s="215"/>
      <c r="J25" s="215"/>
      <c r="K25" s="215"/>
      <c r="L25" s="224">
        <v>10638</v>
      </c>
      <c r="M25" s="224">
        <v>11363</v>
      </c>
      <c r="N25" s="151">
        <v>11000</v>
      </c>
      <c r="O25" s="151">
        <v>11000</v>
      </c>
      <c r="P25" s="150">
        <v>11000</v>
      </c>
      <c r="Q25" s="150">
        <v>11000</v>
      </c>
      <c r="R25" s="150">
        <v>11000</v>
      </c>
      <c r="S25" s="150">
        <v>11000</v>
      </c>
      <c r="T25" s="150">
        <v>11000</v>
      </c>
      <c r="V25" s="472"/>
    </row>
    <row r="26" spans="1:23" ht="24" customHeight="1">
      <c r="A26" s="281" t="s">
        <v>42</v>
      </c>
      <c r="B26" s="215"/>
      <c r="C26" s="215"/>
      <c r="D26" s="670" t="s">
        <v>45</v>
      </c>
      <c r="E26" s="669"/>
      <c r="F26" s="669"/>
      <c r="G26" s="669"/>
      <c r="H26" s="669"/>
      <c r="I26" s="669"/>
      <c r="J26" s="669"/>
      <c r="K26" s="669"/>
      <c r="L26" s="224">
        <v>1613102</v>
      </c>
      <c r="M26" s="224">
        <v>1735422</v>
      </c>
      <c r="N26" s="151">
        <v>1610000</v>
      </c>
      <c r="O26" s="151">
        <v>1800000</v>
      </c>
      <c r="P26" s="150">
        <f>ROUND(16921*102,0)</f>
        <v>1725942</v>
      </c>
      <c r="Q26" s="150">
        <f t="shared" ref="Q26:T26" si="6">ROUND(P26*1.02,0)</f>
        <v>1760461</v>
      </c>
      <c r="R26" s="150">
        <f t="shared" si="6"/>
        <v>1795670</v>
      </c>
      <c r="S26" s="150">
        <f t="shared" si="6"/>
        <v>1831583</v>
      </c>
      <c r="T26" s="150">
        <f t="shared" si="6"/>
        <v>1868215</v>
      </c>
      <c r="V26" s="472"/>
      <c r="W26" s="201"/>
    </row>
    <row r="27" spans="1:23" ht="24" customHeight="1">
      <c r="A27" s="281" t="s">
        <v>41</v>
      </c>
      <c r="B27" s="215"/>
      <c r="C27" s="215"/>
      <c r="D27" s="670" t="s">
        <v>224</v>
      </c>
      <c r="E27" s="669"/>
      <c r="F27" s="669"/>
      <c r="G27" s="669"/>
      <c r="H27" s="669"/>
      <c r="I27" s="669"/>
      <c r="J27" s="669"/>
      <c r="K27" s="669"/>
      <c r="L27" s="224">
        <v>296298</v>
      </c>
      <c r="M27" s="224">
        <v>341880</v>
      </c>
      <c r="N27" s="151">
        <v>346800</v>
      </c>
      <c r="O27" s="151">
        <v>395000</v>
      </c>
      <c r="P27" s="150">
        <f>ROUND(16921*23.5,0)</f>
        <v>397644</v>
      </c>
      <c r="Q27" s="150">
        <f t="shared" ref="Q27:T27" si="7">ROUND(P27*1.02,0)</f>
        <v>405597</v>
      </c>
      <c r="R27" s="150">
        <f t="shared" si="7"/>
        <v>413709</v>
      </c>
      <c r="S27" s="150">
        <f t="shared" si="7"/>
        <v>421983</v>
      </c>
      <c r="T27" s="150">
        <f t="shared" si="7"/>
        <v>430423</v>
      </c>
      <c r="V27" s="472"/>
    </row>
    <row r="28" spans="1:23" ht="24" customHeight="1">
      <c r="A28" s="281" t="s">
        <v>40</v>
      </c>
      <c r="B28" s="215"/>
      <c r="C28" s="215"/>
      <c r="D28" s="129" t="s">
        <v>197</v>
      </c>
      <c r="E28" s="215"/>
      <c r="F28" s="215"/>
      <c r="G28" s="215"/>
      <c r="H28" s="215"/>
      <c r="I28" s="215"/>
      <c r="J28" s="215"/>
      <c r="K28" s="215"/>
      <c r="L28" s="224">
        <v>164398</v>
      </c>
      <c r="M28" s="224">
        <v>171756</v>
      </c>
      <c r="N28" s="151">
        <v>175000</v>
      </c>
      <c r="O28" s="148">
        <v>148223</v>
      </c>
      <c r="P28" s="150">
        <v>150000</v>
      </c>
      <c r="Q28" s="150">
        <v>155000</v>
      </c>
      <c r="R28" s="150">
        <v>160000</v>
      </c>
      <c r="S28" s="150">
        <v>165000</v>
      </c>
      <c r="T28" s="150">
        <v>170000</v>
      </c>
      <c r="V28" s="472"/>
    </row>
    <row r="29" spans="1:23" ht="24" customHeight="1">
      <c r="A29" s="281" t="s">
        <v>39</v>
      </c>
      <c r="B29" s="215"/>
      <c r="C29" s="215"/>
      <c r="D29" s="281" t="s">
        <v>44</v>
      </c>
      <c r="E29" s="215"/>
      <c r="F29" s="215"/>
      <c r="G29" s="215"/>
      <c r="H29" s="215"/>
      <c r="I29" s="215"/>
      <c r="J29" s="215"/>
      <c r="K29" s="215"/>
      <c r="L29" s="224">
        <v>16672</v>
      </c>
      <c r="M29" s="224">
        <v>17450</v>
      </c>
      <c r="N29" s="151">
        <v>16000</v>
      </c>
      <c r="O29" s="151">
        <v>17000</v>
      </c>
      <c r="P29" s="150">
        <v>17000</v>
      </c>
      <c r="Q29" s="150">
        <v>17000</v>
      </c>
      <c r="R29" s="150">
        <v>17000</v>
      </c>
      <c r="S29" s="150">
        <v>17000</v>
      </c>
      <c r="T29" s="150">
        <v>17000</v>
      </c>
      <c r="V29" s="472"/>
    </row>
    <row r="30" spans="1:23" ht="24" customHeight="1">
      <c r="A30" s="281" t="s">
        <v>38</v>
      </c>
      <c r="B30" s="215"/>
      <c r="C30" s="215"/>
      <c r="D30" s="129" t="s">
        <v>5</v>
      </c>
      <c r="E30" s="215"/>
      <c r="F30" s="215"/>
      <c r="G30" s="215"/>
      <c r="H30" s="215"/>
      <c r="I30" s="215"/>
      <c r="J30" s="215"/>
      <c r="K30" s="215"/>
      <c r="L30" s="224">
        <v>8880</v>
      </c>
      <c r="M30" s="224">
        <v>10341</v>
      </c>
      <c r="N30" s="151">
        <v>10000</v>
      </c>
      <c r="O30" s="151">
        <v>10000</v>
      </c>
      <c r="P30" s="150">
        <v>10000</v>
      </c>
      <c r="Q30" s="150">
        <v>10000</v>
      </c>
      <c r="R30" s="150">
        <v>10000</v>
      </c>
      <c r="S30" s="150">
        <v>10000</v>
      </c>
      <c r="T30" s="150">
        <v>10000</v>
      </c>
      <c r="V30" s="472"/>
    </row>
    <row r="31" spans="1:23" ht="24" customHeight="1">
      <c r="A31" s="281" t="s">
        <v>1143</v>
      </c>
      <c r="B31" s="378"/>
      <c r="C31" s="378"/>
      <c r="D31" s="776" t="s">
        <v>1234</v>
      </c>
      <c r="E31" s="776"/>
      <c r="F31" s="776"/>
      <c r="G31" s="776"/>
      <c r="H31" s="776"/>
      <c r="I31" s="776"/>
      <c r="J31" s="776"/>
      <c r="K31" s="776"/>
      <c r="L31" s="224">
        <v>19284</v>
      </c>
      <c r="M31" s="224">
        <v>17290</v>
      </c>
      <c r="N31" s="151">
        <v>19000</v>
      </c>
      <c r="O31" s="151">
        <v>13505</v>
      </c>
      <c r="P31" s="150">
        <f>ROUND(20000*0.6,0)</f>
        <v>12000</v>
      </c>
      <c r="Q31" s="150">
        <f t="shared" ref="Q31:T31" si="8">ROUND(20000*0.6,0)</f>
        <v>12000</v>
      </c>
      <c r="R31" s="150">
        <f t="shared" si="8"/>
        <v>12000</v>
      </c>
      <c r="S31" s="150">
        <f t="shared" si="8"/>
        <v>12000</v>
      </c>
      <c r="T31" s="150">
        <f t="shared" si="8"/>
        <v>12000</v>
      </c>
      <c r="V31" s="472"/>
    </row>
    <row r="32" spans="1:23" ht="24" customHeight="1">
      <c r="A32" s="281" t="s">
        <v>37</v>
      </c>
      <c r="B32" s="215"/>
      <c r="C32" s="215"/>
      <c r="D32" s="129" t="s">
        <v>43</v>
      </c>
      <c r="E32" s="215"/>
      <c r="F32" s="215"/>
      <c r="G32" s="215"/>
      <c r="H32" s="215"/>
      <c r="I32" s="215"/>
      <c r="J32" s="215"/>
      <c r="K32" s="215"/>
      <c r="L32" s="224">
        <v>266</v>
      </c>
      <c r="M32" s="224">
        <v>0</v>
      </c>
      <c r="N32" s="151">
        <v>0</v>
      </c>
      <c r="O32" s="157">
        <v>2000</v>
      </c>
      <c r="P32" s="150">
        <v>0</v>
      </c>
      <c r="Q32" s="150">
        <v>0</v>
      </c>
      <c r="R32" s="150">
        <v>0</v>
      </c>
      <c r="S32" s="150">
        <v>0</v>
      </c>
      <c r="T32" s="150">
        <v>0</v>
      </c>
      <c r="V32" s="472"/>
    </row>
    <row r="33" spans="1:28" ht="24" customHeight="1">
      <c r="A33" s="281" t="s">
        <v>227</v>
      </c>
      <c r="B33" s="215"/>
      <c r="C33" s="215"/>
      <c r="D33" s="129" t="s">
        <v>228</v>
      </c>
      <c r="E33" s="215"/>
      <c r="F33" s="215"/>
      <c r="G33" s="215"/>
      <c r="H33" s="215"/>
      <c r="I33" s="215"/>
      <c r="J33" s="215"/>
      <c r="K33" s="215"/>
      <c r="L33" s="226">
        <v>1427</v>
      </c>
      <c r="M33" s="226">
        <v>995</v>
      </c>
      <c r="N33" s="156">
        <v>1300</v>
      </c>
      <c r="O33" s="156">
        <v>1000</v>
      </c>
      <c r="P33" s="155">
        <v>1000</v>
      </c>
      <c r="Q33" s="155">
        <v>1000</v>
      </c>
      <c r="R33" s="155">
        <v>1000</v>
      </c>
      <c r="S33" s="155">
        <v>1000</v>
      </c>
      <c r="T33" s="155">
        <v>1000</v>
      </c>
      <c r="V33" s="472"/>
    </row>
    <row r="34" spans="1:28" ht="24" customHeight="1">
      <c r="A34" s="281" t="s">
        <v>48</v>
      </c>
      <c r="B34" s="215"/>
      <c r="C34" s="215"/>
      <c r="D34" s="281" t="s">
        <v>1270</v>
      </c>
      <c r="E34" s="215"/>
      <c r="F34" s="215"/>
      <c r="G34" s="215"/>
      <c r="H34" s="215"/>
      <c r="I34" s="215"/>
      <c r="J34" s="215"/>
      <c r="K34" s="215"/>
      <c r="L34" s="224">
        <v>47781</v>
      </c>
      <c r="M34" s="224">
        <v>46887</v>
      </c>
      <c r="N34" s="151">
        <v>45000</v>
      </c>
      <c r="O34" s="151">
        <v>45000</v>
      </c>
      <c r="P34" s="150">
        <v>45000</v>
      </c>
      <c r="Q34" s="150">
        <v>45000</v>
      </c>
      <c r="R34" s="150">
        <v>45000</v>
      </c>
      <c r="S34" s="150">
        <v>45000</v>
      </c>
      <c r="T34" s="150">
        <v>45000</v>
      </c>
      <c r="V34" s="472"/>
    </row>
    <row r="35" spans="1:28" ht="24" customHeight="1">
      <c r="A35" s="281" t="s">
        <v>47</v>
      </c>
      <c r="B35" s="215"/>
      <c r="C35" s="215"/>
      <c r="D35" s="281" t="s">
        <v>659</v>
      </c>
      <c r="E35" s="616"/>
      <c r="F35" s="616"/>
      <c r="G35" s="616"/>
      <c r="H35" s="616"/>
      <c r="I35" s="616"/>
      <c r="J35" s="616"/>
      <c r="K35" s="616"/>
      <c r="L35" s="224">
        <v>4156</v>
      </c>
      <c r="M35" s="224">
        <v>2537</v>
      </c>
      <c r="N35" s="151">
        <v>3000</v>
      </c>
      <c r="O35" s="151">
        <v>3000</v>
      </c>
      <c r="P35" s="150">
        <v>3000</v>
      </c>
      <c r="Q35" s="150">
        <v>3000</v>
      </c>
      <c r="R35" s="150">
        <v>3000</v>
      </c>
      <c r="S35" s="150">
        <v>3000</v>
      </c>
      <c r="T35" s="150">
        <v>3000</v>
      </c>
      <c r="V35" s="472"/>
    </row>
    <row r="36" spans="1:28" ht="24" customHeight="1">
      <c r="A36" s="281" t="s">
        <v>46</v>
      </c>
      <c r="B36" s="215"/>
      <c r="C36" s="215"/>
      <c r="D36" s="281" t="s">
        <v>50</v>
      </c>
      <c r="E36" s="215"/>
      <c r="F36" s="215"/>
      <c r="G36" s="215"/>
      <c r="H36" s="215"/>
      <c r="I36" s="215"/>
      <c r="J36" s="215"/>
      <c r="K36" s="215"/>
      <c r="L36" s="224">
        <v>116182</v>
      </c>
      <c r="M36" s="224">
        <v>123702</v>
      </c>
      <c r="N36" s="151">
        <v>150000</v>
      </c>
      <c r="O36" s="151">
        <v>125000</v>
      </c>
      <c r="P36" s="150">
        <v>130000</v>
      </c>
      <c r="Q36" s="150">
        <v>175000</v>
      </c>
      <c r="R36" s="150">
        <v>175000</v>
      </c>
      <c r="S36" s="150">
        <v>175000</v>
      </c>
      <c r="T36" s="150">
        <v>175000</v>
      </c>
      <c r="V36" s="472"/>
    </row>
    <row r="37" spans="1:28" ht="24" customHeight="1">
      <c r="A37" s="281" t="s">
        <v>53</v>
      </c>
      <c r="B37" s="282"/>
      <c r="C37" s="282"/>
      <c r="D37" s="281" t="s">
        <v>927</v>
      </c>
      <c r="E37" s="282"/>
      <c r="F37" s="282"/>
      <c r="G37" s="282"/>
      <c r="H37" s="282"/>
      <c r="I37" s="282"/>
      <c r="J37" s="282"/>
      <c r="K37" s="282"/>
      <c r="L37" s="224">
        <v>45653</v>
      </c>
      <c r="M37" s="224">
        <v>49859</v>
      </c>
      <c r="N37" s="151">
        <v>45000</v>
      </c>
      <c r="O37" s="151">
        <v>45000</v>
      </c>
      <c r="P37" s="150">
        <v>45000</v>
      </c>
      <c r="Q37" s="150">
        <v>45000</v>
      </c>
      <c r="R37" s="150">
        <v>45000</v>
      </c>
      <c r="S37" s="150">
        <v>45000</v>
      </c>
      <c r="T37" s="150">
        <v>45000</v>
      </c>
      <c r="V37" s="472"/>
      <c r="W37" s="212"/>
      <c r="X37" s="212"/>
      <c r="Y37" s="212"/>
      <c r="Z37" s="212"/>
      <c r="AA37" s="212"/>
      <c r="AB37" s="212"/>
    </row>
    <row r="38" spans="1:28" ht="24" customHeight="1">
      <c r="A38" s="281" t="s">
        <v>52</v>
      </c>
      <c r="B38" s="215"/>
      <c r="C38" s="215"/>
      <c r="D38" s="281" t="s">
        <v>230</v>
      </c>
      <c r="E38" s="215"/>
      <c r="F38" s="215"/>
      <c r="G38" s="215"/>
      <c r="H38" s="215"/>
      <c r="I38" s="215"/>
      <c r="J38" s="215"/>
      <c r="K38" s="215"/>
      <c r="L38" s="224">
        <v>42430</v>
      </c>
      <c r="M38" s="224">
        <v>31507</v>
      </c>
      <c r="N38" s="151">
        <v>35000</v>
      </c>
      <c r="O38" s="151">
        <v>30000</v>
      </c>
      <c r="P38" s="150">
        <v>30000</v>
      </c>
      <c r="Q38" s="150">
        <v>30000</v>
      </c>
      <c r="R38" s="150">
        <v>30000</v>
      </c>
      <c r="S38" s="150">
        <v>30000</v>
      </c>
      <c r="T38" s="150">
        <v>30000</v>
      </c>
      <c r="U38" s="331"/>
      <c r="V38" s="472"/>
    </row>
    <row r="39" spans="1:28" ht="24" customHeight="1">
      <c r="A39" s="281" t="s">
        <v>1040</v>
      </c>
      <c r="B39" s="215"/>
      <c r="C39" s="215"/>
      <c r="D39" s="281" t="s">
        <v>743</v>
      </c>
      <c r="E39" s="215"/>
      <c r="F39" s="215"/>
      <c r="G39" s="215"/>
      <c r="H39" s="215"/>
      <c r="I39" s="215"/>
      <c r="J39" s="215"/>
      <c r="K39" s="215"/>
      <c r="L39" s="228">
        <v>215</v>
      </c>
      <c r="M39" s="228">
        <v>230</v>
      </c>
      <c r="N39" s="159">
        <v>250</v>
      </c>
      <c r="O39" s="159">
        <v>225</v>
      </c>
      <c r="P39" s="158">
        <v>225</v>
      </c>
      <c r="Q39" s="158">
        <v>225</v>
      </c>
      <c r="R39" s="158">
        <v>225</v>
      </c>
      <c r="S39" s="158">
        <v>225</v>
      </c>
      <c r="T39" s="158">
        <v>225</v>
      </c>
      <c r="U39" s="158"/>
      <c r="V39" s="472"/>
    </row>
    <row r="40" spans="1:28" ht="24" customHeight="1">
      <c r="A40" s="281" t="s">
        <v>51</v>
      </c>
      <c r="B40" s="282"/>
      <c r="C40" s="282"/>
      <c r="D40" s="281" t="s">
        <v>54</v>
      </c>
      <c r="E40" s="632"/>
      <c r="F40" s="632"/>
      <c r="G40" s="632"/>
      <c r="H40" s="632"/>
      <c r="I40" s="632"/>
      <c r="J40" s="632"/>
      <c r="K40" s="632"/>
      <c r="L40" s="224">
        <v>85656</v>
      </c>
      <c r="M40" s="224">
        <v>55656</v>
      </c>
      <c r="N40" s="151">
        <v>80000</v>
      </c>
      <c r="O40" s="151">
        <v>55000</v>
      </c>
      <c r="P40" s="150">
        <v>55000</v>
      </c>
      <c r="Q40" s="150">
        <v>60000</v>
      </c>
      <c r="R40" s="150">
        <v>60000</v>
      </c>
      <c r="S40" s="150">
        <v>60000</v>
      </c>
      <c r="T40" s="150">
        <v>60000</v>
      </c>
      <c r="V40" s="472"/>
    </row>
    <row r="41" spans="1:28" ht="24" customHeight="1">
      <c r="A41" s="281" t="s">
        <v>56</v>
      </c>
      <c r="B41" s="282"/>
      <c r="C41" s="282"/>
      <c r="D41" s="281" t="s">
        <v>58</v>
      </c>
      <c r="E41" s="282"/>
      <c r="F41" s="282"/>
      <c r="G41" s="282"/>
      <c r="H41" s="282"/>
      <c r="I41" s="282"/>
      <c r="J41" s="282"/>
      <c r="K41" s="282"/>
      <c r="L41" s="224">
        <v>1003263</v>
      </c>
      <c r="M41" s="224">
        <v>1117947</v>
      </c>
      <c r="N41" s="151">
        <v>1148450</v>
      </c>
      <c r="O41" s="151">
        <v>1215119</v>
      </c>
      <c r="P41" s="150">
        <f>P227</f>
        <v>1251675</v>
      </c>
      <c r="Q41" s="150">
        <f t="shared" ref="Q41:T41" si="9">Q227</f>
        <v>1289225</v>
      </c>
      <c r="R41" s="150">
        <f t="shared" si="9"/>
        <v>1327902</v>
      </c>
      <c r="S41" s="150">
        <f t="shared" si="9"/>
        <v>1367739</v>
      </c>
      <c r="T41" s="150">
        <f t="shared" si="9"/>
        <v>1408771</v>
      </c>
      <c r="U41" s="150"/>
      <c r="V41" s="472"/>
    </row>
    <row r="42" spans="1:28" ht="24" customHeight="1">
      <c r="A42" s="281" t="s">
        <v>55</v>
      </c>
      <c r="B42" s="215"/>
      <c r="C42" s="215"/>
      <c r="D42" s="662" t="s">
        <v>1271</v>
      </c>
      <c r="E42" s="663"/>
      <c r="F42" s="663"/>
      <c r="G42" s="663"/>
      <c r="H42" s="663"/>
      <c r="I42" s="663"/>
      <c r="J42" s="663"/>
      <c r="K42" s="663"/>
      <c r="L42" s="224">
        <v>150249</v>
      </c>
      <c r="M42" s="224">
        <v>151241</v>
      </c>
      <c r="N42" s="151">
        <v>150000</v>
      </c>
      <c r="O42" s="151">
        <v>150000</v>
      </c>
      <c r="P42" s="150">
        <v>150000</v>
      </c>
      <c r="Q42" s="150">
        <v>150000</v>
      </c>
      <c r="R42" s="150">
        <v>150000</v>
      </c>
      <c r="S42" s="150">
        <v>150000</v>
      </c>
      <c r="T42" s="150">
        <v>150000</v>
      </c>
      <c r="V42" s="472"/>
    </row>
    <row r="43" spans="1:28" ht="24" customHeight="1">
      <c r="A43" s="281" t="s">
        <v>1038</v>
      </c>
      <c r="B43" s="282"/>
      <c r="C43" s="282"/>
      <c r="D43" s="281" t="s">
        <v>993</v>
      </c>
      <c r="E43" s="282"/>
      <c r="F43" s="282"/>
      <c r="G43" s="282"/>
      <c r="H43" s="282"/>
      <c r="I43" s="282"/>
      <c r="J43" s="282"/>
      <c r="K43" s="282"/>
      <c r="L43" s="224">
        <v>21054</v>
      </c>
      <c r="M43" s="224">
        <v>21305</v>
      </c>
      <c r="N43" s="151">
        <v>21000</v>
      </c>
      <c r="O43" s="151">
        <v>21000</v>
      </c>
      <c r="P43" s="150">
        <v>21000</v>
      </c>
      <c r="Q43" s="150">
        <v>21000</v>
      </c>
      <c r="R43" s="150">
        <v>21000</v>
      </c>
      <c r="S43" s="150">
        <v>21000</v>
      </c>
      <c r="T43" s="150">
        <v>21000</v>
      </c>
      <c r="V43" s="472"/>
    </row>
    <row r="44" spans="1:28" ht="24" customHeight="1">
      <c r="A44" s="281" t="s">
        <v>244</v>
      </c>
      <c r="B44" s="215"/>
      <c r="C44" s="215"/>
      <c r="D44" s="281" t="s">
        <v>245</v>
      </c>
      <c r="E44" s="215"/>
      <c r="F44" s="215"/>
      <c r="G44" s="215"/>
      <c r="H44" s="215"/>
      <c r="I44" s="215"/>
      <c r="J44" s="215"/>
      <c r="K44" s="215"/>
      <c r="L44" s="228">
        <v>600</v>
      </c>
      <c r="M44" s="228">
        <v>0</v>
      </c>
      <c r="N44" s="159">
        <v>500</v>
      </c>
      <c r="O44" s="159">
        <v>2829</v>
      </c>
      <c r="P44" s="158">
        <v>500</v>
      </c>
      <c r="Q44" s="158">
        <v>500</v>
      </c>
      <c r="R44" s="158">
        <v>500</v>
      </c>
      <c r="S44" s="158">
        <v>500</v>
      </c>
      <c r="T44" s="158">
        <v>500</v>
      </c>
      <c r="V44" s="472"/>
      <c r="W44" s="351"/>
    </row>
    <row r="45" spans="1:28" ht="24" customHeight="1">
      <c r="A45" s="281" t="s">
        <v>59</v>
      </c>
      <c r="B45" s="282"/>
      <c r="C45" s="282"/>
      <c r="D45" s="770" t="s">
        <v>6</v>
      </c>
      <c r="E45" s="770"/>
      <c r="F45" s="770"/>
      <c r="G45" s="770"/>
      <c r="H45" s="770"/>
      <c r="I45" s="770"/>
      <c r="J45" s="770"/>
      <c r="K45" s="770"/>
      <c r="L45" s="224">
        <v>8792</v>
      </c>
      <c r="M45" s="224">
        <v>5458</v>
      </c>
      <c r="N45" s="151">
        <v>4000</v>
      </c>
      <c r="O45" s="151">
        <v>5000</v>
      </c>
      <c r="P45" s="150">
        <v>5000</v>
      </c>
      <c r="Q45" s="150">
        <v>3000</v>
      </c>
      <c r="R45" s="150">
        <v>2000</v>
      </c>
      <c r="S45" s="150">
        <v>2000</v>
      </c>
      <c r="T45" s="150">
        <v>2000</v>
      </c>
      <c r="V45" s="472"/>
    </row>
    <row r="46" spans="1:28" ht="24" customHeight="1">
      <c r="A46" s="281" t="s">
        <v>1372</v>
      </c>
      <c r="B46" s="586"/>
      <c r="C46" s="586"/>
      <c r="D46" s="770" t="s">
        <v>1373</v>
      </c>
      <c r="E46" s="770"/>
      <c r="F46" s="770"/>
      <c r="G46" s="770"/>
      <c r="H46" s="770"/>
      <c r="I46" s="770"/>
      <c r="J46" s="770"/>
      <c r="K46" s="770"/>
      <c r="L46" s="225">
        <v>0</v>
      </c>
      <c r="M46" s="225">
        <v>3451</v>
      </c>
      <c r="N46" s="157">
        <v>0</v>
      </c>
      <c r="O46" s="157">
        <v>0</v>
      </c>
      <c r="P46" s="154">
        <v>0</v>
      </c>
      <c r="Q46" s="154">
        <v>0</v>
      </c>
      <c r="R46" s="154">
        <v>0</v>
      </c>
      <c r="S46" s="154">
        <v>0</v>
      </c>
      <c r="T46" s="154">
        <v>0</v>
      </c>
      <c r="V46" s="472"/>
    </row>
    <row r="47" spans="1:28" ht="24" customHeight="1">
      <c r="A47" s="281" t="s">
        <v>62</v>
      </c>
      <c r="B47" s="282"/>
      <c r="C47" s="282"/>
      <c r="D47" s="281" t="s">
        <v>64</v>
      </c>
      <c r="E47" s="282"/>
      <c r="F47" s="282"/>
      <c r="G47" s="282"/>
      <c r="H47" s="282"/>
      <c r="I47" s="282"/>
      <c r="J47" s="282"/>
      <c r="K47" s="282"/>
      <c r="L47" s="228">
        <v>2629</v>
      </c>
      <c r="M47" s="228">
        <v>6099</v>
      </c>
      <c r="N47" s="159">
        <v>0</v>
      </c>
      <c r="O47" s="159">
        <v>0</v>
      </c>
      <c r="P47" s="158">
        <v>0</v>
      </c>
      <c r="Q47" s="158">
        <v>0</v>
      </c>
      <c r="R47" s="158">
        <v>0</v>
      </c>
      <c r="S47" s="158">
        <v>0</v>
      </c>
      <c r="T47" s="158">
        <v>0</v>
      </c>
      <c r="V47" s="472"/>
    </row>
    <row r="48" spans="1:28" ht="24" customHeight="1">
      <c r="A48" s="281" t="s">
        <v>711</v>
      </c>
      <c r="B48" s="282"/>
      <c r="C48" s="282"/>
      <c r="D48" s="281" t="s">
        <v>712</v>
      </c>
      <c r="E48" s="282"/>
      <c r="F48" s="282"/>
      <c r="G48" s="282"/>
      <c r="H48" s="282"/>
      <c r="I48" s="282"/>
      <c r="J48" s="282"/>
      <c r="K48" s="282"/>
      <c r="L48" s="228">
        <v>107193</v>
      </c>
      <c r="M48" s="228">
        <v>81686</v>
      </c>
      <c r="N48" s="159">
        <v>50000</v>
      </c>
      <c r="O48" s="159">
        <v>50000</v>
      </c>
      <c r="P48" s="158">
        <v>25000</v>
      </c>
      <c r="Q48" s="158">
        <v>25000</v>
      </c>
      <c r="R48" s="158">
        <v>25000</v>
      </c>
      <c r="S48" s="158">
        <v>25000</v>
      </c>
      <c r="T48" s="158">
        <v>25000</v>
      </c>
      <c r="V48" s="472"/>
    </row>
    <row r="49" spans="1:27" ht="24" customHeight="1">
      <c r="A49" s="281" t="s">
        <v>61</v>
      </c>
      <c r="B49" s="215"/>
      <c r="C49" s="215"/>
      <c r="D49" s="281" t="s">
        <v>231</v>
      </c>
      <c r="E49" s="215"/>
      <c r="F49" s="215"/>
      <c r="G49" s="215"/>
      <c r="H49" s="215"/>
      <c r="I49" s="215"/>
      <c r="J49" s="215"/>
      <c r="K49" s="215"/>
      <c r="L49" s="228">
        <v>4764</v>
      </c>
      <c r="M49" s="228">
        <v>4280</v>
      </c>
      <c r="N49" s="159">
        <v>5000</v>
      </c>
      <c r="O49" s="159">
        <v>5000</v>
      </c>
      <c r="P49" s="158">
        <v>5000</v>
      </c>
      <c r="Q49" s="158">
        <v>5000</v>
      </c>
      <c r="R49" s="158">
        <v>5000</v>
      </c>
      <c r="S49" s="158">
        <v>5000</v>
      </c>
      <c r="T49" s="158">
        <v>5000</v>
      </c>
      <c r="V49" s="472"/>
    </row>
    <row r="50" spans="1:27" ht="24" customHeight="1">
      <c r="A50" s="281" t="s">
        <v>250</v>
      </c>
      <c r="B50" s="215"/>
      <c r="C50" s="215"/>
      <c r="D50" s="281" t="s">
        <v>251</v>
      </c>
      <c r="E50" s="215"/>
      <c r="F50" s="215"/>
      <c r="G50" s="215"/>
      <c r="H50" s="215"/>
      <c r="I50" s="215"/>
      <c r="J50" s="215"/>
      <c r="K50" s="215"/>
      <c r="L50" s="228">
        <v>30788</v>
      </c>
      <c r="M50" s="228">
        <v>-224</v>
      </c>
      <c r="N50" s="159">
        <v>0</v>
      </c>
      <c r="O50" s="159">
        <v>0</v>
      </c>
      <c r="P50" s="158">
        <v>0</v>
      </c>
      <c r="Q50" s="158">
        <v>0</v>
      </c>
      <c r="R50" s="158">
        <v>0</v>
      </c>
      <c r="S50" s="158">
        <v>0</v>
      </c>
      <c r="T50" s="158">
        <v>0</v>
      </c>
      <c r="V50" s="472"/>
    </row>
    <row r="51" spans="1:27" ht="24" customHeight="1">
      <c r="A51" s="281" t="s">
        <v>219</v>
      </c>
      <c r="B51" s="215"/>
      <c r="C51" s="215"/>
      <c r="D51" s="281" t="s">
        <v>220</v>
      </c>
      <c r="E51" s="215"/>
      <c r="F51" s="215"/>
      <c r="G51" s="215"/>
      <c r="H51" s="215"/>
      <c r="I51" s="215"/>
      <c r="J51" s="215"/>
      <c r="K51" s="215"/>
      <c r="L51" s="228">
        <v>18932</v>
      </c>
      <c r="M51" s="228">
        <v>69693</v>
      </c>
      <c r="N51" s="159">
        <v>20000</v>
      </c>
      <c r="O51" s="159">
        <v>20000</v>
      </c>
      <c r="P51" s="158">
        <v>20000</v>
      </c>
      <c r="Q51" s="158">
        <v>20000</v>
      </c>
      <c r="R51" s="158">
        <v>20000</v>
      </c>
      <c r="S51" s="158">
        <v>20000</v>
      </c>
      <c r="T51" s="158">
        <v>20000</v>
      </c>
      <c r="V51" s="472"/>
    </row>
    <row r="52" spans="1:27" ht="24" customHeight="1">
      <c r="A52" s="281" t="s">
        <v>60</v>
      </c>
      <c r="B52" s="282"/>
      <c r="C52" s="282"/>
      <c r="D52" s="281" t="s">
        <v>63</v>
      </c>
      <c r="E52" s="282"/>
      <c r="F52" s="282"/>
      <c r="G52" s="282"/>
      <c r="H52" s="282"/>
      <c r="I52" s="282"/>
      <c r="J52" s="282"/>
      <c r="K52" s="282"/>
      <c r="L52" s="228">
        <v>4668</v>
      </c>
      <c r="M52" s="228">
        <v>6648</v>
      </c>
      <c r="N52" s="159">
        <v>5000</v>
      </c>
      <c r="O52" s="159">
        <v>11000</v>
      </c>
      <c r="P52" s="158">
        <v>5000</v>
      </c>
      <c r="Q52" s="158">
        <v>5000</v>
      </c>
      <c r="R52" s="158">
        <v>5000</v>
      </c>
      <c r="S52" s="158">
        <v>5000</v>
      </c>
      <c r="T52" s="158">
        <v>5000</v>
      </c>
      <c r="V52" s="472"/>
      <c r="Z52" s="152"/>
    </row>
    <row r="53" spans="1:27" ht="24" customHeight="1">
      <c r="A53" s="281" t="s">
        <v>232</v>
      </c>
      <c r="B53" s="284"/>
      <c r="C53" s="284"/>
      <c r="D53" s="282" t="s">
        <v>233</v>
      </c>
      <c r="E53" s="284"/>
      <c r="F53" s="284"/>
      <c r="G53" s="284"/>
      <c r="H53" s="284"/>
      <c r="I53" s="284"/>
      <c r="J53" s="284"/>
      <c r="K53" s="284"/>
      <c r="L53" s="228">
        <v>7495</v>
      </c>
      <c r="M53" s="228">
        <v>6715</v>
      </c>
      <c r="N53" s="159">
        <v>7500</v>
      </c>
      <c r="O53" s="159">
        <v>7000</v>
      </c>
      <c r="P53" s="158">
        <v>7000</v>
      </c>
      <c r="Q53" s="158">
        <v>7000</v>
      </c>
      <c r="R53" s="158">
        <v>7000</v>
      </c>
      <c r="S53" s="158">
        <v>7000</v>
      </c>
      <c r="T53" s="158">
        <v>7000</v>
      </c>
      <c r="V53" s="472"/>
    </row>
    <row r="54" spans="1:27" ht="24" customHeight="1">
      <c r="A54" s="281" t="s">
        <v>225</v>
      </c>
      <c r="B54" s="215"/>
      <c r="C54" s="215"/>
      <c r="D54" s="281" t="s">
        <v>226</v>
      </c>
      <c r="E54" s="467"/>
      <c r="F54" s="467"/>
      <c r="G54" s="467"/>
      <c r="H54" s="467"/>
      <c r="I54" s="467"/>
      <c r="J54" s="467"/>
      <c r="K54" s="467"/>
      <c r="L54" s="228">
        <v>0</v>
      </c>
      <c r="M54" s="228">
        <v>900</v>
      </c>
      <c r="N54" s="159">
        <v>0</v>
      </c>
      <c r="O54" s="159">
        <v>0</v>
      </c>
      <c r="P54" s="158">
        <f>P217</f>
        <v>2000</v>
      </c>
      <c r="Q54" s="158">
        <f t="shared" ref="Q54:T54" si="10">Q217</f>
        <v>2000</v>
      </c>
      <c r="R54" s="158">
        <f t="shared" si="10"/>
        <v>2000</v>
      </c>
      <c r="S54" s="158">
        <f t="shared" si="10"/>
        <v>2000</v>
      </c>
      <c r="T54" s="158">
        <f t="shared" si="10"/>
        <v>2000</v>
      </c>
      <c r="V54" s="472"/>
      <c r="Z54" s="149"/>
    </row>
    <row r="55" spans="1:27" ht="24" customHeight="1">
      <c r="A55" s="281" t="s">
        <v>65</v>
      </c>
      <c r="B55" s="215"/>
      <c r="C55" s="215"/>
      <c r="D55" s="281" t="s">
        <v>7</v>
      </c>
      <c r="E55" s="215"/>
      <c r="F55" s="215"/>
      <c r="G55" s="215"/>
      <c r="H55" s="215"/>
      <c r="I55" s="215"/>
      <c r="J55" s="215"/>
      <c r="K55" s="215"/>
      <c r="L55" s="224">
        <v>11840</v>
      </c>
      <c r="M55" s="224">
        <v>15198</v>
      </c>
      <c r="N55" s="151">
        <v>15000</v>
      </c>
      <c r="O55" s="151">
        <v>15000</v>
      </c>
      <c r="P55" s="150">
        <v>15000</v>
      </c>
      <c r="Q55" s="150">
        <v>15000</v>
      </c>
      <c r="R55" s="150">
        <v>15000</v>
      </c>
      <c r="S55" s="150">
        <v>15000</v>
      </c>
      <c r="T55" s="150">
        <v>15000</v>
      </c>
      <c r="V55" s="472"/>
    </row>
    <row r="56" spans="1:27" ht="24" customHeight="1">
      <c r="A56" s="281" t="s">
        <v>1294</v>
      </c>
      <c r="B56" s="483"/>
      <c r="C56" s="483"/>
      <c r="D56" s="281" t="s">
        <v>1101</v>
      </c>
      <c r="E56" s="483"/>
      <c r="F56" s="483"/>
      <c r="G56" s="483"/>
      <c r="H56" s="483"/>
      <c r="I56" s="483"/>
      <c r="J56" s="483"/>
      <c r="K56" s="483"/>
      <c r="L56" s="228">
        <v>0</v>
      </c>
      <c r="M56" s="228">
        <v>0</v>
      </c>
      <c r="N56" s="159">
        <f>ROUND(36*150,0)</f>
        <v>5400</v>
      </c>
      <c r="O56" s="159">
        <v>0</v>
      </c>
      <c r="P56" s="158">
        <v>0</v>
      </c>
      <c r="Q56" s="158">
        <v>0</v>
      </c>
      <c r="R56" s="158">
        <v>0</v>
      </c>
      <c r="S56" s="158">
        <v>0</v>
      </c>
      <c r="T56" s="158">
        <v>0</v>
      </c>
      <c r="V56" s="472"/>
      <c r="Z56" s="149"/>
    </row>
    <row r="57" spans="1:27" ht="24" customHeight="1">
      <c r="A57" s="281" t="s">
        <v>1039</v>
      </c>
      <c r="B57" s="215"/>
      <c r="C57" s="215"/>
      <c r="D57" s="444" t="s">
        <v>1199</v>
      </c>
      <c r="E57" s="215"/>
      <c r="F57" s="215"/>
      <c r="G57" s="215"/>
      <c r="H57" s="215"/>
      <c r="I57" s="215"/>
      <c r="J57" s="215"/>
      <c r="K57" s="215"/>
      <c r="L57" s="230">
        <v>2479</v>
      </c>
      <c r="M57" s="230">
        <v>2209</v>
      </c>
      <c r="N57" s="164">
        <v>2500</v>
      </c>
      <c r="O57" s="164">
        <f>O402</f>
        <v>5000</v>
      </c>
      <c r="P57" s="163">
        <f t="shared" ref="P57:T57" si="11">P402</f>
        <v>3000</v>
      </c>
      <c r="Q57" s="163">
        <f t="shared" si="11"/>
        <v>3000</v>
      </c>
      <c r="R57" s="163">
        <f t="shared" si="11"/>
        <v>3000</v>
      </c>
      <c r="S57" s="163">
        <f t="shared" si="11"/>
        <v>3000</v>
      </c>
      <c r="T57" s="163">
        <f t="shared" si="11"/>
        <v>3000</v>
      </c>
      <c r="U57" s="339"/>
      <c r="V57" s="473"/>
    </row>
    <row r="58" spans="1:27" ht="15" customHeight="1">
      <c r="A58" s="215"/>
      <c r="B58" s="215"/>
      <c r="C58" s="215"/>
      <c r="D58" s="284"/>
      <c r="E58" s="284"/>
      <c r="F58" s="284"/>
      <c r="G58" s="284"/>
      <c r="H58" s="284"/>
      <c r="I58" s="284"/>
      <c r="J58" s="284"/>
      <c r="K58" s="284"/>
      <c r="L58" s="231"/>
      <c r="M58" s="231"/>
      <c r="N58" s="166"/>
      <c r="O58" s="166"/>
      <c r="P58" s="165"/>
      <c r="Q58" s="165"/>
      <c r="R58" s="165"/>
      <c r="S58" s="165"/>
      <c r="T58" s="165"/>
    </row>
    <row r="59" spans="1:27" s="215" customFormat="1" ht="24" customHeight="1">
      <c r="K59" s="285" t="s">
        <v>545</v>
      </c>
      <c r="L59" s="233">
        <f t="shared" ref="L59:T59" si="12">SUM(L9:L58)</f>
        <v>13445145</v>
      </c>
      <c r="M59" s="233">
        <f>SUM(M9:M58)</f>
        <v>14150910</v>
      </c>
      <c r="N59" s="234">
        <f t="shared" si="12"/>
        <v>14200637</v>
      </c>
      <c r="O59" s="234">
        <f t="shared" si="12"/>
        <v>14426376</v>
      </c>
      <c r="P59" s="233">
        <f t="shared" si="12"/>
        <v>14516822</v>
      </c>
      <c r="Q59" s="233">
        <f t="shared" si="12"/>
        <v>14850532</v>
      </c>
      <c r="R59" s="233">
        <f t="shared" si="12"/>
        <v>15140233</v>
      </c>
      <c r="S59" s="233">
        <f t="shared" si="12"/>
        <v>15436033</v>
      </c>
      <c r="T59" s="233">
        <f t="shared" si="12"/>
        <v>15737049</v>
      </c>
      <c r="U59" s="470"/>
      <c r="V59" s="747"/>
      <c r="W59" s="713"/>
      <c r="X59" s="713"/>
      <c r="Y59" s="713"/>
      <c r="Z59" s="713"/>
      <c r="AA59" s="713"/>
    </row>
    <row r="60" spans="1:27" ht="15" customHeight="1">
      <c r="A60" s="476"/>
      <c r="B60" s="476"/>
      <c r="C60" s="476"/>
      <c r="D60" s="476"/>
      <c r="E60" s="476"/>
      <c r="F60" s="476"/>
      <c r="G60" s="476"/>
      <c r="H60" s="476"/>
      <c r="I60" s="476"/>
      <c r="J60" s="476"/>
      <c r="K60" s="476"/>
      <c r="L60" s="231"/>
      <c r="M60" s="231"/>
      <c r="N60" s="166"/>
      <c r="O60" s="166"/>
      <c r="P60" s="165"/>
      <c r="Q60" s="165"/>
      <c r="R60" s="165"/>
      <c r="S60" s="165"/>
      <c r="T60" s="165"/>
    </row>
    <row r="61" spans="1:27" ht="24" customHeight="1">
      <c r="A61" s="285" t="s">
        <v>559</v>
      </c>
      <c r="B61" s="215"/>
      <c r="C61" s="215"/>
      <c r="D61" s="215"/>
      <c r="E61" s="215"/>
      <c r="F61" s="215"/>
      <c r="G61" s="215"/>
      <c r="H61" s="215"/>
      <c r="I61" s="215"/>
      <c r="J61" s="215"/>
      <c r="K61" s="215"/>
      <c r="L61" s="231"/>
      <c r="M61" s="231"/>
      <c r="N61" s="166"/>
      <c r="O61" s="166"/>
      <c r="P61" s="165"/>
      <c r="Q61" s="165"/>
      <c r="R61" s="165"/>
      <c r="S61" s="165"/>
      <c r="T61" s="165"/>
      <c r="X61" s="463"/>
      <c r="Y61" s="457"/>
      <c r="Z61" s="580"/>
      <c r="AA61" s="381"/>
    </row>
    <row r="62" spans="1:27" ht="24" customHeight="1">
      <c r="A62" s="281" t="s">
        <v>71</v>
      </c>
      <c r="B62" s="215"/>
      <c r="C62" s="215"/>
      <c r="D62" s="281" t="s">
        <v>78</v>
      </c>
      <c r="E62" s="215"/>
      <c r="F62" s="215"/>
      <c r="G62" s="215"/>
      <c r="H62" s="215"/>
      <c r="I62" s="215"/>
      <c r="J62" s="215"/>
      <c r="K62" s="215"/>
      <c r="L62" s="228">
        <v>9535</v>
      </c>
      <c r="M62" s="228">
        <v>9570</v>
      </c>
      <c r="N62" s="159">
        <v>11000</v>
      </c>
      <c r="O62" s="159">
        <v>11000</v>
      </c>
      <c r="P62" s="158">
        <v>11000</v>
      </c>
      <c r="Q62" s="158">
        <v>11000</v>
      </c>
      <c r="R62" s="158">
        <v>11000</v>
      </c>
      <c r="S62" s="158">
        <v>11000</v>
      </c>
      <c r="T62" s="158">
        <v>11000</v>
      </c>
      <c r="V62" s="418"/>
      <c r="W62" s="419"/>
      <c r="X62" s="737"/>
      <c r="Y62" s="749"/>
      <c r="Z62" s="544"/>
      <c r="AA62" s="381"/>
    </row>
    <row r="63" spans="1:27" ht="24" customHeight="1">
      <c r="A63" s="281" t="s">
        <v>70</v>
      </c>
      <c r="B63" s="215"/>
      <c r="C63" s="215"/>
      <c r="D63" s="281" t="s">
        <v>77</v>
      </c>
      <c r="E63" s="215"/>
      <c r="F63" s="215"/>
      <c r="G63" s="215"/>
      <c r="H63" s="215"/>
      <c r="I63" s="215"/>
      <c r="J63" s="215"/>
      <c r="K63" s="215"/>
      <c r="L63" s="228">
        <v>1000</v>
      </c>
      <c r="M63" s="228">
        <v>1000</v>
      </c>
      <c r="N63" s="159">
        <v>1000</v>
      </c>
      <c r="O63" s="159">
        <v>1000</v>
      </c>
      <c r="P63" s="158">
        <v>1000</v>
      </c>
      <c r="Q63" s="158">
        <v>1000</v>
      </c>
      <c r="R63" s="158">
        <v>1000</v>
      </c>
      <c r="S63" s="158">
        <v>1000</v>
      </c>
      <c r="T63" s="158">
        <v>1000</v>
      </c>
      <c r="V63" s="418"/>
      <c r="W63" s="419"/>
      <c r="X63" s="737"/>
      <c r="Y63" s="750"/>
      <c r="Z63" s="544"/>
      <c r="AA63" s="381"/>
    </row>
    <row r="64" spans="1:27" ht="24" customHeight="1">
      <c r="A64" s="281" t="s">
        <v>69</v>
      </c>
      <c r="B64" s="215"/>
      <c r="C64" s="215"/>
      <c r="D64" s="281" t="s">
        <v>76</v>
      </c>
      <c r="E64" s="215"/>
      <c r="F64" s="215"/>
      <c r="G64" s="215"/>
      <c r="H64" s="215"/>
      <c r="I64" s="215"/>
      <c r="J64" s="215"/>
      <c r="K64" s="215"/>
      <c r="L64" s="228">
        <v>7268</v>
      </c>
      <c r="M64" s="228">
        <v>6905</v>
      </c>
      <c r="N64" s="159">
        <v>11000</v>
      </c>
      <c r="O64" s="159">
        <v>11000</v>
      </c>
      <c r="P64" s="158">
        <v>11000</v>
      </c>
      <c r="Q64" s="158">
        <v>11000</v>
      </c>
      <c r="R64" s="158">
        <v>11000</v>
      </c>
      <c r="S64" s="158">
        <v>11000</v>
      </c>
      <c r="T64" s="158">
        <v>11000</v>
      </c>
      <c r="V64" s="418"/>
      <c r="W64" s="419"/>
      <c r="X64" s="737"/>
      <c r="Y64" s="750"/>
      <c r="Z64" s="544"/>
      <c r="AA64" s="381"/>
    </row>
    <row r="65" spans="1:58" ht="24" customHeight="1">
      <c r="A65" s="281" t="s">
        <v>68</v>
      </c>
      <c r="B65" s="215"/>
      <c r="C65" s="215"/>
      <c r="D65" s="281" t="s">
        <v>75</v>
      </c>
      <c r="E65" s="215"/>
      <c r="F65" s="215"/>
      <c r="G65" s="215"/>
      <c r="H65" s="215"/>
      <c r="I65" s="215"/>
      <c r="J65" s="215"/>
      <c r="K65" s="215"/>
      <c r="L65" s="228">
        <v>1031</v>
      </c>
      <c r="M65" s="228">
        <v>968</v>
      </c>
      <c r="N65" s="159">
        <v>6500</v>
      </c>
      <c r="O65" s="159">
        <v>1000</v>
      </c>
      <c r="P65" s="158">
        <v>6500</v>
      </c>
      <c r="Q65" s="158">
        <v>6500</v>
      </c>
      <c r="R65" s="158">
        <v>6500</v>
      </c>
      <c r="S65" s="158">
        <v>6500</v>
      </c>
      <c r="T65" s="158">
        <v>6500</v>
      </c>
      <c r="V65" s="418"/>
      <c r="W65" s="419"/>
      <c r="X65" s="737"/>
      <c r="Y65" s="750"/>
      <c r="Z65" s="544"/>
      <c r="AA65" s="381"/>
    </row>
    <row r="66" spans="1:58" ht="24" customHeight="1">
      <c r="A66" s="281" t="s">
        <v>67</v>
      </c>
      <c r="B66" s="215"/>
      <c r="C66" s="215"/>
      <c r="D66" s="281" t="s">
        <v>74</v>
      </c>
      <c r="E66" s="215"/>
      <c r="F66" s="215"/>
      <c r="G66" s="215"/>
      <c r="H66" s="215"/>
      <c r="I66" s="215"/>
      <c r="J66" s="215"/>
      <c r="K66" s="215"/>
      <c r="L66" s="228">
        <v>47190</v>
      </c>
      <c r="M66" s="228">
        <v>47960</v>
      </c>
      <c r="N66" s="159">
        <v>52000</v>
      </c>
      <c r="O66" s="159">
        <v>52000</v>
      </c>
      <c r="P66" s="158">
        <v>52000</v>
      </c>
      <c r="Q66" s="158">
        <v>52000</v>
      </c>
      <c r="R66" s="158">
        <v>52000</v>
      </c>
      <c r="S66" s="158">
        <v>52000</v>
      </c>
      <c r="T66" s="158">
        <v>52000</v>
      </c>
      <c r="V66" s="418"/>
      <c r="W66" s="419"/>
      <c r="X66" s="419"/>
      <c r="Y66" s="419"/>
      <c r="Z66" s="544"/>
      <c r="AA66" s="381"/>
    </row>
    <row r="67" spans="1:58" ht="24" customHeight="1">
      <c r="A67" s="281" t="s">
        <v>1091</v>
      </c>
      <c r="B67" s="215"/>
      <c r="C67" s="215"/>
      <c r="D67" s="281" t="s">
        <v>73</v>
      </c>
      <c r="E67" s="215"/>
      <c r="F67" s="215"/>
      <c r="G67" s="215"/>
      <c r="H67" s="215"/>
      <c r="I67" s="215"/>
      <c r="J67" s="215"/>
      <c r="K67" s="215"/>
      <c r="L67" s="228">
        <v>275169</v>
      </c>
      <c r="M67" s="228">
        <v>294157</v>
      </c>
      <c r="N67" s="159">
        <v>308487</v>
      </c>
      <c r="O67" s="159">
        <v>308487</v>
      </c>
      <c r="P67" s="158">
        <v>336039</v>
      </c>
      <c r="Q67" s="158">
        <v>347582</v>
      </c>
      <c r="R67" s="158">
        <v>358009</v>
      </c>
      <c r="S67" s="158">
        <v>368749</v>
      </c>
      <c r="T67" s="158">
        <v>379811</v>
      </c>
      <c r="V67" s="418"/>
      <c r="W67" s="419"/>
      <c r="X67" s="457"/>
      <c r="Y67" s="457"/>
      <c r="Z67" s="544"/>
      <c r="AA67" s="381"/>
      <c r="AB67" s="170"/>
    </row>
    <row r="68" spans="1:58" s="144" customFormat="1" ht="24" customHeight="1">
      <c r="A68" s="281" t="s">
        <v>934</v>
      </c>
      <c r="B68" s="215"/>
      <c r="C68" s="215"/>
      <c r="D68" s="281" t="s">
        <v>72</v>
      </c>
      <c r="E68" s="596"/>
      <c r="F68" s="596"/>
      <c r="G68" s="596"/>
      <c r="H68" s="596"/>
      <c r="I68" s="596"/>
      <c r="J68" s="596"/>
      <c r="K68" s="596"/>
      <c r="L68" s="228">
        <v>22646</v>
      </c>
      <c r="M68" s="228">
        <v>4158</v>
      </c>
      <c r="N68" s="159">
        <v>30000</v>
      </c>
      <c r="O68" s="159">
        <v>30000</v>
      </c>
      <c r="P68" s="158">
        <v>7800</v>
      </c>
      <c r="Q68" s="158">
        <v>30000</v>
      </c>
      <c r="R68" s="158">
        <v>30000</v>
      </c>
      <c r="S68" s="158">
        <v>30000</v>
      </c>
      <c r="T68" s="158">
        <v>30000</v>
      </c>
      <c r="U68" s="211"/>
      <c r="V68" s="418"/>
      <c r="W68" s="419"/>
      <c r="X68" s="737"/>
      <c r="Y68" s="751"/>
      <c r="Z68" s="544"/>
      <c r="AA68" s="381"/>
      <c r="AB68" s="213"/>
      <c r="AC68" s="213"/>
      <c r="AD68" s="213"/>
      <c r="AE68" s="213"/>
      <c r="AF68" s="213"/>
      <c r="AG68" s="213"/>
      <c r="AH68" s="213"/>
      <c r="AI68" s="213"/>
      <c r="AJ68" s="213"/>
      <c r="AK68" s="213"/>
      <c r="AL68" s="213"/>
      <c r="AM68" s="213"/>
      <c r="AN68" s="213"/>
      <c r="AO68" s="213"/>
      <c r="AP68" s="213"/>
      <c r="AQ68" s="213"/>
      <c r="AR68" s="213"/>
      <c r="AS68" s="213"/>
      <c r="AT68" s="213"/>
      <c r="AU68" s="213"/>
      <c r="AV68" s="213"/>
      <c r="AW68" s="213"/>
      <c r="AX68" s="213"/>
      <c r="AY68" s="213"/>
      <c r="AZ68" s="213"/>
      <c r="BA68" s="213"/>
      <c r="BB68" s="213"/>
      <c r="BC68" s="213"/>
      <c r="BD68" s="213"/>
      <c r="BE68" s="213"/>
      <c r="BF68" s="213"/>
    </row>
    <row r="69" spans="1:58" ht="24" customHeight="1">
      <c r="A69" s="281" t="s">
        <v>66</v>
      </c>
      <c r="B69" s="215"/>
      <c r="C69" s="215"/>
      <c r="D69" s="281" t="s">
        <v>14</v>
      </c>
      <c r="E69" s="215"/>
      <c r="F69" s="215"/>
      <c r="G69" s="215"/>
      <c r="H69" s="215"/>
      <c r="I69" s="215"/>
      <c r="J69" s="215"/>
      <c r="K69" s="215"/>
      <c r="L69" s="224">
        <v>244</v>
      </c>
      <c r="M69" s="224">
        <v>0</v>
      </c>
      <c r="N69" s="151">
        <v>500</v>
      </c>
      <c r="O69" s="151">
        <v>500</v>
      </c>
      <c r="P69" s="150">
        <v>500</v>
      </c>
      <c r="Q69" s="150">
        <v>500</v>
      </c>
      <c r="R69" s="150">
        <v>500</v>
      </c>
      <c r="S69" s="150">
        <v>500</v>
      </c>
      <c r="T69" s="150">
        <v>500</v>
      </c>
      <c r="V69" s="418"/>
      <c r="W69" s="419"/>
      <c r="X69" s="737"/>
      <c r="Y69" s="751"/>
      <c r="Z69" s="544"/>
      <c r="AA69" s="381"/>
    </row>
    <row r="70" spans="1:58" ht="24" customHeight="1">
      <c r="A70" s="281" t="s">
        <v>80</v>
      </c>
      <c r="B70" s="215"/>
      <c r="C70" s="215"/>
      <c r="D70" s="281" t="s">
        <v>8</v>
      </c>
      <c r="E70" s="215"/>
      <c r="F70" s="215"/>
      <c r="G70" s="215"/>
      <c r="H70" s="215"/>
      <c r="I70" s="215"/>
      <c r="J70" s="215"/>
      <c r="K70" s="215"/>
      <c r="L70" s="224">
        <v>36794</v>
      </c>
      <c r="M70" s="224">
        <v>37723</v>
      </c>
      <c r="N70" s="151">
        <v>42886</v>
      </c>
      <c r="O70" s="151">
        <v>42886</v>
      </c>
      <c r="P70" s="158">
        <v>37405</v>
      </c>
      <c r="Q70" s="150">
        <v>42289</v>
      </c>
      <c r="R70" s="150">
        <v>45203</v>
      </c>
      <c r="S70" s="150">
        <v>48328</v>
      </c>
      <c r="T70" s="150">
        <v>51636</v>
      </c>
      <c r="V70" s="418"/>
      <c r="W70" s="419"/>
      <c r="X70" s="737"/>
      <c r="Y70" s="751"/>
      <c r="Z70" s="544"/>
      <c r="AA70" s="381"/>
    </row>
    <row r="71" spans="1:58" ht="24" customHeight="1">
      <c r="A71" s="281" t="s">
        <v>79</v>
      </c>
      <c r="B71" s="215"/>
      <c r="C71" s="215"/>
      <c r="D71" s="281" t="s">
        <v>9</v>
      </c>
      <c r="E71" s="215"/>
      <c r="F71" s="215"/>
      <c r="G71" s="215"/>
      <c r="H71" s="215"/>
      <c r="I71" s="215"/>
      <c r="J71" s="215"/>
      <c r="K71" s="215"/>
      <c r="L71" s="224">
        <v>25473</v>
      </c>
      <c r="M71" s="224">
        <v>24296</v>
      </c>
      <c r="N71" s="159">
        <v>31014</v>
      </c>
      <c r="O71" s="151">
        <v>31014</v>
      </c>
      <c r="P71" s="158">
        <v>28931</v>
      </c>
      <c r="Q71" s="158">
        <v>31623</v>
      </c>
      <c r="R71" s="158">
        <v>32572</v>
      </c>
      <c r="S71" s="158">
        <v>33549</v>
      </c>
      <c r="T71" s="158">
        <v>34555</v>
      </c>
      <c r="V71" s="418"/>
      <c r="W71" s="419"/>
      <c r="X71" s="737"/>
      <c r="Y71" s="751"/>
      <c r="Z71" s="544"/>
      <c r="AA71" s="381"/>
    </row>
    <row r="72" spans="1:58" ht="24" customHeight="1">
      <c r="A72" s="281" t="s">
        <v>576</v>
      </c>
      <c r="B72" s="215"/>
      <c r="C72" s="215"/>
      <c r="D72" s="281" t="s">
        <v>13</v>
      </c>
      <c r="E72" s="594"/>
      <c r="F72" s="594"/>
      <c r="G72" s="594"/>
      <c r="H72" s="594"/>
      <c r="I72" s="594"/>
      <c r="J72" s="594"/>
      <c r="K72" s="594"/>
      <c r="L72" s="226">
        <v>69776</v>
      </c>
      <c r="M72" s="226">
        <v>85215</v>
      </c>
      <c r="N72" s="156">
        <v>85972</v>
      </c>
      <c r="O72" s="156">
        <f>ROUND(28111.11+(7*(5786.48-717.28))+(18*9)+15+16000,0)</f>
        <v>79773</v>
      </c>
      <c r="P72" s="158">
        <v>91653</v>
      </c>
      <c r="Q72" s="155">
        <v>98985</v>
      </c>
      <c r="R72" s="155">
        <v>106904</v>
      </c>
      <c r="S72" s="155">
        <v>115456</v>
      </c>
      <c r="T72" s="155">
        <v>124692</v>
      </c>
      <c r="V72" s="418"/>
      <c r="W72" s="419"/>
      <c r="X72" s="418"/>
      <c r="Y72" s="419"/>
      <c r="Z72" s="152"/>
      <c r="AA72" s="152"/>
      <c r="AB72" s="170"/>
    </row>
    <row r="73" spans="1:58" ht="24" customHeight="1">
      <c r="A73" s="281" t="s">
        <v>577</v>
      </c>
      <c r="B73" s="215"/>
      <c r="C73" s="215"/>
      <c r="D73" s="281" t="s">
        <v>182</v>
      </c>
      <c r="E73" s="594"/>
      <c r="F73" s="594"/>
      <c r="G73" s="594"/>
      <c r="H73" s="594"/>
      <c r="I73" s="594"/>
      <c r="J73" s="594"/>
      <c r="K73" s="594"/>
      <c r="L73" s="226">
        <v>403</v>
      </c>
      <c r="M73" s="226">
        <v>443</v>
      </c>
      <c r="N73" s="156">
        <v>447</v>
      </c>
      <c r="O73" s="156">
        <f>ROUND(199.68+(8*(76.92-36)),0)</f>
        <v>527</v>
      </c>
      <c r="P73" s="158">
        <v>445</v>
      </c>
      <c r="Q73" s="155">
        <v>445</v>
      </c>
      <c r="R73" s="155">
        <v>449</v>
      </c>
      <c r="S73" s="155">
        <v>453</v>
      </c>
      <c r="T73" s="155">
        <v>458</v>
      </c>
      <c r="V73" s="418"/>
      <c r="W73" s="419"/>
      <c r="X73" s="418"/>
      <c r="Y73" s="419"/>
      <c r="Z73" s="149"/>
      <c r="AA73" s="149"/>
      <c r="AB73" s="170"/>
    </row>
    <row r="74" spans="1:58" ht="24" customHeight="1">
      <c r="A74" s="281" t="s">
        <v>578</v>
      </c>
      <c r="B74" s="215"/>
      <c r="C74" s="215"/>
      <c r="D74" s="281" t="s">
        <v>600</v>
      </c>
      <c r="E74" s="594"/>
      <c r="F74" s="594"/>
      <c r="G74" s="594"/>
      <c r="H74" s="594"/>
      <c r="I74" s="594"/>
      <c r="J74" s="594"/>
      <c r="K74" s="594"/>
      <c r="L74" s="226">
        <v>4252</v>
      </c>
      <c r="M74" s="226">
        <v>5387</v>
      </c>
      <c r="N74" s="156">
        <v>5139</v>
      </c>
      <c r="O74" s="156">
        <f>ROUND(1876.24+(8*469.06),0)</f>
        <v>5629</v>
      </c>
      <c r="P74" s="158">
        <v>6178</v>
      </c>
      <c r="Q74" s="155">
        <v>6487</v>
      </c>
      <c r="R74" s="155">
        <v>6811</v>
      </c>
      <c r="S74" s="155">
        <v>7152</v>
      </c>
      <c r="T74" s="155">
        <v>7510</v>
      </c>
      <c r="V74" s="418"/>
      <c r="W74" s="419"/>
      <c r="X74" s="418"/>
      <c r="Y74" s="419"/>
      <c r="Z74" s="149"/>
      <c r="AA74" s="149"/>
      <c r="AB74" s="170"/>
    </row>
    <row r="75" spans="1:58" ht="24" customHeight="1">
      <c r="A75" s="281" t="s">
        <v>601</v>
      </c>
      <c r="B75" s="215"/>
      <c r="C75" s="215"/>
      <c r="D75" s="281" t="s">
        <v>602</v>
      </c>
      <c r="E75" s="594"/>
      <c r="F75" s="594"/>
      <c r="G75" s="594"/>
      <c r="H75" s="594"/>
      <c r="I75" s="594"/>
      <c r="J75" s="594"/>
      <c r="K75" s="594"/>
      <c r="L75" s="226">
        <v>550</v>
      </c>
      <c r="M75" s="226">
        <v>576</v>
      </c>
      <c r="N75" s="156">
        <v>549</v>
      </c>
      <c r="O75" s="156">
        <f>ROUND(240.32+(8*60.08),0)</f>
        <v>721</v>
      </c>
      <c r="P75" s="158">
        <v>721</v>
      </c>
      <c r="Q75" s="155">
        <v>743</v>
      </c>
      <c r="R75" s="155">
        <v>765</v>
      </c>
      <c r="S75" s="155">
        <v>788</v>
      </c>
      <c r="T75" s="155">
        <v>812</v>
      </c>
      <c r="V75" s="418"/>
      <c r="W75" s="419"/>
      <c r="X75" s="418"/>
      <c r="Y75" s="419"/>
      <c r="Z75" s="149"/>
      <c r="AA75" s="149"/>
      <c r="AB75" s="170"/>
    </row>
    <row r="76" spans="1:58" ht="24" customHeight="1">
      <c r="A76" s="281" t="s">
        <v>730</v>
      </c>
      <c r="B76" s="215"/>
      <c r="C76" s="215"/>
      <c r="D76" s="780" t="s">
        <v>744</v>
      </c>
      <c r="E76" s="780"/>
      <c r="F76" s="780"/>
      <c r="G76" s="780"/>
      <c r="H76" s="780"/>
      <c r="I76" s="780"/>
      <c r="J76" s="780"/>
      <c r="K76" s="780"/>
      <c r="L76" s="225">
        <v>76151</v>
      </c>
      <c r="M76" s="225">
        <v>82691</v>
      </c>
      <c r="N76" s="156">
        <v>0</v>
      </c>
      <c r="O76" s="156">
        <f>2232</f>
        <v>2232</v>
      </c>
      <c r="P76" s="155">
        <v>0</v>
      </c>
      <c r="Q76" s="155">
        <v>0</v>
      </c>
      <c r="R76" s="155">
        <v>0</v>
      </c>
      <c r="S76" s="155">
        <v>0</v>
      </c>
      <c r="T76" s="155">
        <v>0</v>
      </c>
      <c r="V76" s="418"/>
      <c r="W76" s="419"/>
      <c r="X76" s="418"/>
      <c r="Y76" s="419"/>
      <c r="Z76" s="149"/>
      <c r="AA76" s="149"/>
    </row>
    <row r="77" spans="1:58" ht="24" customHeight="1">
      <c r="A77" s="281" t="s">
        <v>731</v>
      </c>
      <c r="B77" s="215"/>
      <c r="C77" s="215"/>
      <c r="D77" s="777" t="s">
        <v>745</v>
      </c>
      <c r="E77" s="777"/>
      <c r="F77" s="777"/>
      <c r="G77" s="777"/>
      <c r="H77" s="777"/>
      <c r="I77" s="777"/>
      <c r="J77" s="777"/>
      <c r="K77" s="777"/>
      <c r="L77" s="225">
        <v>643</v>
      </c>
      <c r="M77" s="225">
        <v>633</v>
      </c>
      <c r="N77" s="156">
        <v>559</v>
      </c>
      <c r="O77" s="156">
        <f>14</f>
        <v>14</v>
      </c>
      <c r="P77" s="158">
        <v>0</v>
      </c>
      <c r="Q77" s="155">
        <v>0</v>
      </c>
      <c r="R77" s="155">
        <v>0</v>
      </c>
      <c r="S77" s="155">
        <v>0</v>
      </c>
      <c r="T77" s="155">
        <v>0</v>
      </c>
      <c r="V77" s="418"/>
      <c r="W77" s="419"/>
      <c r="X77" s="418"/>
      <c r="Y77" s="419"/>
      <c r="Z77" s="149"/>
      <c r="AA77" s="149"/>
    </row>
    <row r="78" spans="1:58" ht="24" customHeight="1">
      <c r="A78" s="281" t="s">
        <v>732</v>
      </c>
      <c r="B78" s="215"/>
      <c r="C78" s="215"/>
      <c r="D78" s="777" t="s">
        <v>746</v>
      </c>
      <c r="E78" s="777"/>
      <c r="F78" s="777"/>
      <c r="G78" s="777"/>
      <c r="H78" s="777"/>
      <c r="I78" s="777"/>
      <c r="J78" s="777"/>
      <c r="K78" s="777"/>
      <c r="L78" s="225">
        <v>4432</v>
      </c>
      <c r="M78" s="225">
        <v>5205</v>
      </c>
      <c r="N78" s="156">
        <v>0</v>
      </c>
      <c r="O78" s="156">
        <v>1</v>
      </c>
      <c r="P78" s="155">
        <v>0</v>
      </c>
      <c r="Q78" s="155">
        <v>0</v>
      </c>
      <c r="R78" s="155">
        <v>0</v>
      </c>
      <c r="S78" s="155">
        <v>0</v>
      </c>
      <c r="T78" s="155">
        <v>0</v>
      </c>
      <c r="V78" s="418"/>
      <c r="W78" s="419"/>
      <c r="X78" s="418"/>
      <c r="Y78" s="419"/>
      <c r="Z78" s="149"/>
      <c r="AA78" s="149"/>
    </row>
    <row r="79" spans="1:58" ht="24" customHeight="1">
      <c r="A79" s="281" t="s">
        <v>733</v>
      </c>
      <c r="B79" s="215"/>
      <c r="C79" s="215"/>
      <c r="D79" s="777" t="s">
        <v>747</v>
      </c>
      <c r="E79" s="777"/>
      <c r="F79" s="777"/>
      <c r="G79" s="777"/>
      <c r="H79" s="777"/>
      <c r="I79" s="777"/>
      <c r="J79" s="777"/>
      <c r="K79" s="777"/>
      <c r="L79" s="225">
        <v>568</v>
      </c>
      <c r="M79" s="225">
        <v>541</v>
      </c>
      <c r="N79" s="156">
        <v>0</v>
      </c>
      <c r="O79" s="156">
        <v>61</v>
      </c>
      <c r="P79" s="155">
        <v>0</v>
      </c>
      <c r="Q79" s="155">
        <f t="shared" ref="Q79:T79" si="13">ROUND(P79*1.03,0)</f>
        <v>0</v>
      </c>
      <c r="R79" s="155">
        <f t="shared" si="13"/>
        <v>0</v>
      </c>
      <c r="S79" s="155">
        <f t="shared" si="13"/>
        <v>0</v>
      </c>
      <c r="T79" s="155">
        <f t="shared" si="13"/>
        <v>0</v>
      </c>
      <c r="V79" s="418"/>
      <c r="W79" s="419"/>
      <c r="X79" s="418"/>
      <c r="Y79" s="419"/>
      <c r="Z79" s="149"/>
      <c r="AA79" s="149"/>
    </row>
    <row r="80" spans="1:58" ht="24" customHeight="1">
      <c r="A80" s="650" t="s">
        <v>1408</v>
      </c>
      <c r="B80" s="649"/>
      <c r="C80" s="649"/>
      <c r="D80" s="661" t="s">
        <v>96</v>
      </c>
      <c r="E80" s="660"/>
      <c r="F80" s="660"/>
      <c r="G80" s="660"/>
      <c r="H80" s="660"/>
      <c r="I80" s="660"/>
      <c r="J80" s="660"/>
      <c r="K80" s="660"/>
      <c r="L80" s="225">
        <v>0</v>
      </c>
      <c r="M80" s="225">
        <v>0</v>
      </c>
      <c r="N80" s="157">
        <v>0</v>
      </c>
      <c r="O80" s="157">
        <v>0</v>
      </c>
      <c r="P80" s="154">
        <v>15000</v>
      </c>
      <c r="Q80" s="154">
        <v>10000</v>
      </c>
      <c r="R80" s="154">
        <v>0</v>
      </c>
      <c r="S80" s="154">
        <v>0</v>
      </c>
      <c r="T80" s="154">
        <v>0</v>
      </c>
      <c r="V80" s="418"/>
      <c r="W80" s="419"/>
      <c r="X80" s="418"/>
      <c r="Y80" s="419"/>
      <c r="Z80" s="149"/>
      <c r="AA80" s="149"/>
    </row>
    <row r="81" spans="1:24" ht="24" customHeight="1">
      <c r="A81" s="281" t="s">
        <v>89</v>
      </c>
      <c r="B81" s="215"/>
      <c r="C81" s="215"/>
      <c r="D81" s="281" t="s">
        <v>95</v>
      </c>
      <c r="E81" s="615"/>
      <c r="F81" s="615"/>
      <c r="G81" s="615"/>
      <c r="H81" s="615"/>
      <c r="I81" s="615"/>
      <c r="J81" s="615"/>
      <c r="K81" s="615"/>
      <c r="L81" s="228">
        <v>4624</v>
      </c>
      <c r="M81" s="228">
        <v>10636</v>
      </c>
      <c r="N81" s="159">
        <f t="shared" ref="N81" si="14">4000+1100</f>
        <v>5100</v>
      </c>
      <c r="O81" s="159">
        <v>5100</v>
      </c>
      <c r="P81" s="158">
        <v>12000</v>
      </c>
      <c r="Q81" s="158">
        <v>12000</v>
      </c>
      <c r="R81" s="158">
        <v>12000</v>
      </c>
      <c r="S81" s="158">
        <v>12000</v>
      </c>
      <c r="T81" s="158">
        <v>12000</v>
      </c>
    </row>
    <row r="82" spans="1:24" ht="24" customHeight="1">
      <c r="A82" s="281" t="s">
        <v>88</v>
      </c>
      <c r="B82" s="215"/>
      <c r="C82" s="215"/>
      <c r="D82" s="281" t="s">
        <v>1075</v>
      </c>
      <c r="E82" s="615"/>
      <c r="F82" s="615"/>
      <c r="G82" s="615"/>
      <c r="H82" s="615"/>
      <c r="I82" s="615"/>
      <c r="J82" s="615"/>
      <c r="K82" s="615"/>
      <c r="L82" s="228">
        <v>7843</v>
      </c>
      <c r="M82" s="228">
        <v>3356</v>
      </c>
      <c r="N82" s="159">
        <f t="shared" ref="N82" si="15">9000+2000</f>
        <v>11000</v>
      </c>
      <c r="O82" s="159">
        <v>11000</v>
      </c>
      <c r="P82" s="158">
        <v>9000</v>
      </c>
      <c r="Q82" s="158">
        <v>9000</v>
      </c>
      <c r="R82" s="158">
        <v>9000</v>
      </c>
      <c r="S82" s="158">
        <v>9000</v>
      </c>
      <c r="T82" s="158">
        <v>9000</v>
      </c>
      <c r="V82" s="418"/>
      <c r="W82" s="419"/>
      <c r="X82" s="727"/>
    </row>
    <row r="83" spans="1:24" ht="24" customHeight="1">
      <c r="A83" s="281" t="s">
        <v>87</v>
      </c>
      <c r="B83" s="215"/>
      <c r="C83" s="215"/>
      <c r="D83" s="281" t="s">
        <v>94</v>
      </c>
      <c r="E83" s="215"/>
      <c r="F83" s="215"/>
      <c r="G83" s="215"/>
      <c r="H83" s="215"/>
      <c r="I83" s="215"/>
      <c r="J83" s="215"/>
      <c r="K83" s="215"/>
      <c r="L83" s="228">
        <v>765</v>
      </c>
      <c r="M83" s="228">
        <v>740</v>
      </c>
      <c r="N83" s="159">
        <v>1000</v>
      </c>
      <c r="O83" s="159">
        <v>1000</v>
      </c>
      <c r="P83" s="158">
        <v>1000</v>
      </c>
      <c r="Q83" s="158">
        <v>1000</v>
      </c>
      <c r="R83" s="158">
        <v>1000</v>
      </c>
      <c r="S83" s="158">
        <v>1000</v>
      </c>
      <c r="T83" s="158">
        <v>1000</v>
      </c>
    </row>
    <row r="84" spans="1:24" ht="24" customHeight="1">
      <c r="A84" s="281" t="s">
        <v>86</v>
      </c>
      <c r="B84" s="215"/>
      <c r="C84" s="215"/>
      <c r="D84" s="281" t="s">
        <v>1076</v>
      </c>
      <c r="E84" s="215"/>
      <c r="F84" s="215"/>
      <c r="G84" s="215"/>
      <c r="H84" s="215"/>
      <c r="I84" s="215"/>
      <c r="J84" s="215"/>
      <c r="K84" s="215"/>
      <c r="L84" s="228">
        <v>3503</v>
      </c>
      <c r="M84" s="228">
        <v>4094</v>
      </c>
      <c r="N84" s="159">
        <v>5500</v>
      </c>
      <c r="O84" s="159">
        <v>5500</v>
      </c>
      <c r="P84" s="158">
        <v>5500</v>
      </c>
      <c r="Q84" s="158">
        <v>5500</v>
      </c>
      <c r="R84" s="158">
        <v>5500</v>
      </c>
      <c r="S84" s="158">
        <v>5500</v>
      </c>
      <c r="T84" s="158">
        <v>5500</v>
      </c>
    </row>
    <row r="85" spans="1:24" ht="24" customHeight="1">
      <c r="A85" s="281" t="s">
        <v>1148</v>
      </c>
      <c r="B85" s="384"/>
      <c r="C85" s="384"/>
      <c r="D85" s="281" t="s">
        <v>1149</v>
      </c>
      <c r="E85" s="384"/>
      <c r="F85" s="384"/>
      <c r="G85" s="384"/>
      <c r="H85" s="384"/>
      <c r="I85" s="384"/>
      <c r="J85" s="384"/>
      <c r="K85" s="384"/>
      <c r="L85" s="158">
        <v>11033</v>
      </c>
      <c r="M85" s="158">
        <v>0</v>
      </c>
      <c r="N85" s="159">
        <v>0</v>
      </c>
      <c r="O85" s="159">
        <v>0</v>
      </c>
      <c r="P85" s="158">
        <v>0</v>
      </c>
      <c r="Q85" s="158">
        <v>0</v>
      </c>
      <c r="R85" s="158">
        <v>0</v>
      </c>
      <c r="S85" s="158">
        <v>0</v>
      </c>
      <c r="T85" s="158">
        <v>0</v>
      </c>
      <c r="V85" s="149"/>
    </row>
    <row r="86" spans="1:24" ht="24" customHeight="1">
      <c r="A86" s="281" t="s">
        <v>85</v>
      </c>
      <c r="B86" s="215"/>
      <c r="C86" s="215"/>
      <c r="D86" s="281" t="s">
        <v>234</v>
      </c>
      <c r="E86" s="215"/>
      <c r="F86" s="215"/>
      <c r="G86" s="215"/>
      <c r="H86" s="215"/>
      <c r="I86" s="215"/>
      <c r="J86" s="215"/>
      <c r="K86" s="215"/>
      <c r="L86" s="228">
        <v>13143</v>
      </c>
      <c r="M86" s="228">
        <v>13097</v>
      </c>
      <c r="N86" s="159">
        <v>20000</v>
      </c>
      <c r="O86" s="159">
        <v>20000</v>
      </c>
      <c r="P86" s="158">
        <v>16000</v>
      </c>
      <c r="Q86" s="158">
        <v>16000</v>
      </c>
      <c r="R86" s="158">
        <v>16000</v>
      </c>
      <c r="S86" s="158">
        <v>16000</v>
      </c>
      <c r="T86" s="158">
        <v>16000</v>
      </c>
      <c r="V86" s="149"/>
    </row>
    <row r="87" spans="1:24" ht="24" customHeight="1">
      <c r="A87" s="281" t="s">
        <v>713</v>
      </c>
      <c r="B87" s="215"/>
      <c r="C87" s="215"/>
      <c r="D87" s="281" t="s">
        <v>49</v>
      </c>
      <c r="E87" s="215"/>
      <c r="F87" s="215"/>
      <c r="G87" s="215"/>
      <c r="H87" s="215"/>
      <c r="I87" s="215"/>
      <c r="J87" s="215"/>
      <c r="K87" s="215"/>
      <c r="L87" s="228">
        <v>181</v>
      </c>
      <c r="M87" s="228">
        <v>70</v>
      </c>
      <c r="N87" s="159">
        <v>500</v>
      </c>
      <c r="O87" s="159">
        <v>500</v>
      </c>
      <c r="P87" s="158">
        <v>500</v>
      </c>
      <c r="Q87" s="158">
        <v>500</v>
      </c>
      <c r="R87" s="158">
        <v>500</v>
      </c>
      <c r="S87" s="158">
        <v>500</v>
      </c>
      <c r="T87" s="158">
        <v>500</v>
      </c>
    </row>
    <row r="88" spans="1:24" ht="24" customHeight="1">
      <c r="A88" s="281" t="s">
        <v>204</v>
      </c>
      <c r="B88" s="215"/>
      <c r="C88" s="215"/>
      <c r="D88" s="281" t="s">
        <v>92</v>
      </c>
      <c r="E88" s="215"/>
      <c r="F88" s="215"/>
      <c r="G88" s="215"/>
      <c r="H88" s="215"/>
      <c r="I88" s="215"/>
      <c r="J88" s="215"/>
      <c r="K88" s="215"/>
      <c r="L88" s="228">
        <v>2468</v>
      </c>
      <c r="M88" s="228">
        <v>3003</v>
      </c>
      <c r="N88" s="159">
        <v>5000</v>
      </c>
      <c r="O88" s="159">
        <v>5000</v>
      </c>
      <c r="P88" s="158">
        <v>5000</v>
      </c>
      <c r="Q88" s="158">
        <v>5000</v>
      </c>
      <c r="R88" s="158">
        <v>5000</v>
      </c>
      <c r="S88" s="158">
        <v>5000</v>
      </c>
      <c r="T88" s="158">
        <v>5000</v>
      </c>
    </row>
    <row r="89" spans="1:24" ht="24" customHeight="1">
      <c r="A89" s="281" t="s">
        <v>84</v>
      </c>
      <c r="B89" s="215"/>
      <c r="C89" s="215"/>
      <c r="D89" s="281" t="s">
        <v>93</v>
      </c>
      <c r="E89" s="362"/>
      <c r="F89" s="362"/>
      <c r="G89" s="362"/>
      <c r="H89" s="362"/>
      <c r="I89" s="362"/>
      <c r="J89" s="362"/>
      <c r="K89" s="362"/>
      <c r="L89" s="228">
        <v>2225</v>
      </c>
      <c r="M89" s="228">
        <v>2932</v>
      </c>
      <c r="N89" s="159">
        <v>4000</v>
      </c>
      <c r="O89" s="159">
        <v>4000</v>
      </c>
      <c r="P89" s="158">
        <v>4000</v>
      </c>
      <c r="Q89" s="158">
        <v>4000</v>
      </c>
      <c r="R89" s="158">
        <v>4000</v>
      </c>
      <c r="S89" s="158">
        <v>4000</v>
      </c>
      <c r="T89" s="158">
        <v>4000</v>
      </c>
    </row>
    <row r="90" spans="1:24" ht="24" customHeight="1">
      <c r="A90" s="281" t="s">
        <v>984</v>
      </c>
      <c r="B90" s="282"/>
      <c r="C90" s="282"/>
      <c r="D90" s="281" t="s">
        <v>1077</v>
      </c>
      <c r="E90" s="282"/>
      <c r="F90" s="282"/>
      <c r="G90" s="282"/>
      <c r="H90" s="282"/>
      <c r="I90" s="282"/>
      <c r="J90" s="282"/>
      <c r="K90" s="282"/>
      <c r="L90" s="224">
        <v>14004</v>
      </c>
      <c r="M90" s="224">
        <v>15981</v>
      </c>
      <c r="N90" s="151">
        <v>17000</v>
      </c>
      <c r="O90" s="151">
        <v>17000</v>
      </c>
      <c r="P90" s="150">
        <v>17000</v>
      </c>
      <c r="Q90" s="150">
        <v>17000</v>
      </c>
      <c r="R90" s="150">
        <v>17000</v>
      </c>
      <c r="S90" s="150">
        <v>17000</v>
      </c>
      <c r="T90" s="150">
        <v>17000</v>
      </c>
    </row>
    <row r="91" spans="1:24" ht="24" customHeight="1">
      <c r="A91" s="281" t="s">
        <v>83</v>
      </c>
      <c r="B91" s="215"/>
      <c r="C91" s="215"/>
      <c r="D91" s="661" t="s">
        <v>10</v>
      </c>
      <c r="E91" s="660"/>
      <c r="F91" s="660"/>
      <c r="G91" s="660"/>
      <c r="H91" s="660"/>
      <c r="I91" s="660"/>
      <c r="J91" s="660"/>
      <c r="K91" s="660"/>
      <c r="L91" s="228">
        <v>8355</v>
      </c>
      <c r="M91" s="228">
        <v>9112</v>
      </c>
      <c r="N91" s="159">
        <v>14000</v>
      </c>
      <c r="O91" s="159">
        <v>14000</v>
      </c>
      <c r="P91" s="158">
        <f>ROUND(14000+(1300*12),0)</f>
        <v>29600</v>
      </c>
      <c r="Q91" s="158">
        <v>14000</v>
      </c>
      <c r="R91" s="158">
        <v>14000</v>
      </c>
      <c r="S91" s="158">
        <v>14000</v>
      </c>
      <c r="T91" s="158">
        <v>14000</v>
      </c>
    </row>
    <row r="92" spans="1:24" ht="24" customHeight="1">
      <c r="A92" s="281" t="s">
        <v>82</v>
      </c>
      <c r="B92" s="215"/>
      <c r="C92" s="215"/>
      <c r="D92" s="281" t="s">
        <v>1162</v>
      </c>
      <c r="E92" s="215"/>
      <c r="F92" s="215"/>
      <c r="G92" s="215"/>
      <c r="H92" s="215"/>
      <c r="I92" s="215"/>
      <c r="J92" s="215"/>
      <c r="K92" s="215"/>
      <c r="L92" s="228">
        <v>23550</v>
      </c>
      <c r="M92" s="228">
        <v>23550</v>
      </c>
      <c r="N92" s="159">
        <v>25000</v>
      </c>
      <c r="O92" s="159">
        <v>25000</v>
      </c>
      <c r="P92" s="158">
        <v>25000</v>
      </c>
      <c r="Q92" s="158">
        <v>25000</v>
      </c>
      <c r="R92" s="158">
        <v>25000</v>
      </c>
      <c r="S92" s="158">
        <v>25000</v>
      </c>
      <c r="T92" s="158">
        <v>25000</v>
      </c>
    </row>
    <row r="93" spans="1:24" ht="24" customHeight="1">
      <c r="A93" s="281" t="s">
        <v>81</v>
      </c>
      <c r="B93" s="215"/>
      <c r="C93" s="215"/>
      <c r="D93" s="281" t="s">
        <v>17</v>
      </c>
      <c r="E93" s="355"/>
      <c r="F93" s="355"/>
      <c r="G93" s="355"/>
      <c r="H93" s="355"/>
      <c r="I93" s="355"/>
      <c r="J93" s="355"/>
      <c r="K93" s="355"/>
      <c r="L93" s="228">
        <v>27883</v>
      </c>
      <c r="M93" s="228">
        <v>23131</v>
      </c>
      <c r="N93" s="159">
        <v>23039</v>
      </c>
      <c r="O93" s="159">
        <v>23039</v>
      </c>
      <c r="P93" s="158">
        <f>ROUND(O93*1.06,0)</f>
        <v>24421</v>
      </c>
      <c r="Q93" s="158">
        <f t="shared" ref="Q93:T93" si="16">ROUND(P93*1.06,0)</f>
        <v>25886</v>
      </c>
      <c r="R93" s="158">
        <f t="shared" si="16"/>
        <v>27439</v>
      </c>
      <c r="S93" s="158">
        <f t="shared" si="16"/>
        <v>29085</v>
      </c>
      <c r="T93" s="158">
        <f t="shared" si="16"/>
        <v>30830</v>
      </c>
      <c r="V93" s="152"/>
    </row>
    <row r="94" spans="1:24" ht="24" customHeight="1">
      <c r="A94" s="281" t="s">
        <v>660</v>
      </c>
      <c r="B94" s="215"/>
      <c r="C94" s="215"/>
      <c r="D94" s="281" t="s">
        <v>90</v>
      </c>
      <c r="E94" s="631"/>
      <c r="F94" s="631"/>
      <c r="G94" s="631"/>
      <c r="H94" s="631"/>
      <c r="I94" s="631"/>
      <c r="J94" s="631"/>
      <c r="K94" s="631"/>
      <c r="L94" s="228">
        <v>2508</v>
      </c>
      <c r="M94" s="228">
        <v>2347</v>
      </c>
      <c r="N94" s="159">
        <v>2400</v>
      </c>
      <c r="O94" s="159">
        <v>2400</v>
      </c>
      <c r="P94" s="158">
        <v>2400</v>
      </c>
      <c r="Q94" s="158">
        <v>2400</v>
      </c>
      <c r="R94" s="158">
        <v>2400</v>
      </c>
      <c r="S94" s="158">
        <v>2400</v>
      </c>
      <c r="T94" s="158">
        <v>2400</v>
      </c>
      <c r="V94" s="149"/>
    </row>
    <row r="95" spans="1:24" ht="24" customHeight="1">
      <c r="A95" s="281" t="s">
        <v>205</v>
      </c>
      <c r="B95" s="215"/>
      <c r="C95" s="215"/>
      <c r="D95" s="281" t="s">
        <v>91</v>
      </c>
      <c r="E95" s="215"/>
      <c r="F95" s="215"/>
      <c r="G95" s="215"/>
      <c r="H95" s="215"/>
      <c r="I95" s="215"/>
      <c r="J95" s="215"/>
      <c r="K95" s="215"/>
      <c r="L95" s="228">
        <v>14648</v>
      </c>
      <c r="M95" s="228">
        <v>14796</v>
      </c>
      <c r="N95" s="159">
        <v>17500</v>
      </c>
      <c r="O95" s="159">
        <v>17500</v>
      </c>
      <c r="P95" s="158">
        <v>17500</v>
      </c>
      <c r="Q95" s="158">
        <v>17500</v>
      </c>
      <c r="R95" s="158">
        <v>17500</v>
      </c>
      <c r="S95" s="158">
        <v>17500</v>
      </c>
      <c r="T95" s="158">
        <v>17500</v>
      </c>
    </row>
    <row r="96" spans="1:24" ht="24" customHeight="1">
      <c r="A96" s="281" t="s">
        <v>98</v>
      </c>
      <c r="B96" s="215"/>
      <c r="C96" s="215"/>
      <c r="D96" s="281" t="s">
        <v>11</v>
      </c>
      <c r="E96" s="215"/>
      <c r="F96" s="215"/>
      <c r="G96" s="215"/>
      <c r="H96" s="215"/>
      <c r="I96" s="215"/>
      <c r="J96" s="215"/>
      <c r="K96" s="215"/>
      <c r="L96" s="228">
        <v>8287</v>
      </c>
      <c r="M96" s="228">
        <v>7120</v>
      </c>
      <c r="N96" s="159">
        <v>11000</v>
      </c>
      <c r="O96" s="159">
        <v>11000</v>
      </c>
      <c r="P96" s="158">
        <v>10000</v>
      </c>
      <c r="Q96" s="158">
        <v>10000</v>
      </c>
      <c r="R96" s="158">
        <v>10000</v>
      </c>
      <c r="S96" s="158">
        <v>10000</v>
      </c>
      <c r="T96" s="158">
        <v>10000</v>
      </c>
    </row>
    <row r="97" spans="1:27" ht="24" customHeight="1">
      <c r="A97" s="281" t="s">
        <v>97</v>
      </c>
      <c r="B97" s="215"/>
      <c r="C97" s="215"/>
      <c r="D97" s="281" t="s">
        <v>243</v>
      </c>
      <c r="E97" s="215"/>
      <c r="F97" s="215"/>
      <c r="G97" s="215"/>
      <c r="H97" s="215"/>
      <c r="I97" s="215"/>
      <c r="J97" s="215"/>
      <c r="K97" s="215"/>
      <c r="L97" s="510">
        <v>0</v>
      </c>
      <c r="M97" s="510">
        <v>78</v>
      </c>
      <c r="N97" s="511">
        <v>850</v>
      </c>
      <c r="O97" s="511">
        <v>850</v>
      </c>
      <c r="P97" s="512">
        <v>850</v>
      </c>
      <c r="Q97" s="512">
        <v>850</v>
      </c>
      <c r="R97" s="512">
        <v>850</v>
      </c>
      <c r="S97" s="512">
        <v>850</v>
      </c>
      <c r="T97" s="512">
        <v>850</v>
      </c>
    </row>
    <row r="98" spans="1:27" s="215" customFormat="1" ht="24" customHeight="1">
      <c r="A98" s="281"/>
      <c r="D98" s="281"/>
      <c r="L98" s="235">
        <f t="shared" ref="L98:T98" si="17">SUM(L62:L97)</f>
        <v>728145</v>
      </c>
      <c r="M98" s="235">
        <f t="shared" si="17"/>
        <v>741471</v>
      </c>
      <c r="N98" s="236">
        <f t="shared" ref="N98" si="18">SUM(N62:N97)</f>
        <v>749942</v>
      </c>
      <c r="O98" s="236">
        <f t="shared" si="17"/>
        <v>740734</v>
      </c>
      <c r="P98" s="307">
        <f t="shared" si="17"/>
        <v>785943</v>
      </c>
      <c r="Q98" s="307">
        <f t="shared" si="17"/>
        <v>815790</v>
      </c>
      <c r="R98" s="307">
        <f t="shared" si="17"/>
        <v>829902</v>
      </c>
      <c r="S98" s="307">
        <f t="shared" si="17"/>
        <v>855310</v>
      </c>
      <c r="T98" s="307">
        <f t="shared" si="17"/>
        <v>882054</v>
      </c>
      <c r="U98" s="579"/>
    </row>
    <row r="99" spans="1:27" ht="15" customHeight="1">
      <c r="A99" s="281"/>
      <c r="B99" s="215"/>
      <c r="C99" s="215"/>
      <c r="D99" s="281"/>
      <c r="E99" s="215"/>
      <c r="F99" s="215"/>
      <c r="G99" s="215"/>
      <c r="H99" s="215"/>
      <c r="I99" s="215"/>
      <c r="J99" s="215"/>
      <c r="K99" s="215"/>
      <c r="L99" s="228"/>
      <c r="M99" s="228"/>
      <c r="N99" s="159"/>
      <c r="O99" s="159"/>
      <c r="P99" s="158"/>
      <c r="Q99" s="158"/>
      <c r="R99" s="158"/>
      <c r="S99" s="158"/>
      <c r="T99" s="158"/>
    </row>
    <row r="100" spans="1:27" ht="24" customHeight="1">
      <c r="A100" s="285" t="s">
        <v>546</v>
      </c>
      <c r="B100" s="215"/>
      <c r="C100" s="215"/>
      <c r="D100" s="215"/>
      <c r="E100" s="215"/>
      <c r="F100" s="215"/>
      <c r="G100" s="215"/>
      <c r="H100" s="215"/>
      <c r="I100" s="215"/>
      <c r="J100" s="215"/>
      <c r="K100" s="215"/>
      <c r="L100" s="231"/>
      <c r="M100" s="231"/>
      <c r="N100" s="166"/>
      <c r="O100" s="166"/>
      <c r="P100" s="165"/>
      <c r="Q100" s="165"/>
      <c r="R100" s="165"/>
      <c r="S100" s="165"/>
      <c r="T100" s="165"/>
    </row>
    <row r="101" spans="1:27" ht="24" customHeight="1">
      <c r="A101" s="281" t="s">
        <v>101</v>
      </c>
      <c r="B101" s="284"/>
      <c r="C101" s="284"/>
      <c r="D101" s="281" t="s">
        <v>933</v>
      </c>
      <c r="E101" s="284"/>
      <c r="F101" s="284"/>
      <c r="G101" s="284"/>
      <c r="H101" s="284"/>
      <c r="I101" s="284"/>
      <c r="J101" s="284"/>
      <c r="K101" s="284"/>
      <c r="L101" s="224">
        <v>193692</v>
      </c>
      <c r="M101" s="224">
        <v>206925</v>
      </c>
      <c r="N101" s="159">
        <v>217491</v>
      </c>
      <c r="O101" s="151">
        <v>217491</v>
      </c>
      <c r="P101" s="158">
        <v>233718</v>
      </c>
      <c r="Q101" s="158">
        <v>241746</v>
      </c>
      <c r="R101" s="158">
        <v>248998</v>
      </c>
      <c r="S101" s="158">
        <v>256468</v>
      </c>
      <c r="T101" s="158">
        <v>264162</v>
      </c>
      <c r="V101" s="418"/>
      <c r="W101" s="419"/>
      <c r="X101" s="419"/>
      <c r="Y101" s="419"/>
    </row>
    <row r="102" spans="1:27" ht="24" customHeight="1">
      <c r="A102" s="281" t="s">
        <v>103</v>
      </c>
      <c r="B102" s="282"/>
      <c r="C102" s="282"/>
      <c r="D102" s="281" t="s">
        <v>8</v>
      </c>
      <c r="E102" s="282"/>
      <c r="F102" s="282"/>
      <c r="G102" s="282"/>
      <c r="H102" s="282"/>
      <c r="I102" s="282"/>
      <c r="J102" s="282"/>
      <c r="K102" s="282"/>
      <c r="L102" s="224">
        <v>21792</v>
      </c>
      <c r="M102" s="224">
        <v>23900</v>
      </c>
      <c r="N102" s="151">
        <v>24196</v>
      </c>
      <c r="O102" s="151">
        <v>24196</v>
      </c>
      <c r="P102" s="158">
        <v>25242</v>
      </c>
      <c r="Q102" s="150">
        <v>27076</v>
      </c>
      <c r="R102" s="150">
        <v>29008</v>
      </c>
      <c r="S102" s="150">
        <v>31084</v>
      </c>
      <c r="T102" s="150">
        <v>33284</v>
      </c>
      <c r="V102" s="418"/>
      <c r="W102" s="419"/>
      <c r="X102" s="419"/>
      <c r="Y102" s="419"/>
    </row>
    <row r="103" spans="1:27" ht="24" customHeight="1">
      <c r="A103" s="281" t="s">
        <v>102</v>
      </c>
      <c r="B103" s="215"/>
      <c r="C103" s="215"/>
      <c r="D103" s="281" t="s">
        <v>9</v>
      </c>
      <c r="E103" s="215"/>
      <c r="F103" s="215"/>
      <c r="G103" s="215"/>
      <c r="H103" s="215"/>
      <c r="I103" s="215"/>
      <c r="J103" s="215"/>
      <c r="K103" s="215"/>
      <c r="L103" s="224">
        <v>14483</v>
      </c>
      <c r="M103" s="224">
        <v>15790</v>
      </c>
      <c r="N103" s="159">
        <v>16462</v>
      </c>
      <c r="O103" s="151">
        <v>16462</v>
      </c>
      <c r="P103" s="158">
        <v>17694</v>
      </c>
      <c r="Q103" s="158">
        <v>18302</v>
      </c>
      <c r="R103" s="158">
        <v>18851</v>
      </c>
      <c r="S103" s="158">
        <v>19417</v>
      </c>
      <c r="T103" s="158">
        <v>20000</v>
      </c>
      <c r="V103" s="418"/>
      <c r="W103" s="419"/>
      <c r="X103" s="419"/>
      <c r="Y103" s="419"/>
    </row>
    <row r="104" spans="1:27" ht="24" customHeight="1">
      <c r="A104" s="281" t="s">
        <v>579</v>
      </c>
      <c r="B104" s="215"/>
      <c r="C104" s="215"/>
      <c r="D104" s="281" t="s">
        <v>13</v>
      </c>
      <c r="E104" s="215"/>
      <c r="F104" s="215"/>
      <c r="G104" s="215"/>
      <c r="H104" s="215"/>
      <c r="I104" s="215"/>
      <c r="J104" s="215"/>
      <c r="K104" s="215"/>
      <c r="L104" s="224">
        <v>30766</v>
      </c>
      <c r="M104" s="224">
        <v>26965</v>
      </c>
      <c r="N104" s="156">
        <v>33854</v>
      </c>
      <c r="O104" s="156">
        <f>ROUND(9237.08+(7*(1742.52-201.82))+(300*8)+(9*9)+4+6000,0)</f>
        <v>28507</v>
      </c>
      <c r="P104" s="158">
        <v>34003</v>
      </c>
      <c r="Q104" s="155">
        <v>36723</v>
      </c>
      <c r="R104" s="155">
        <v>39661</v>
      </c>
      <c r="S104" s="155">
        <v>42834</v>
      </c>
      <c r="T104" s="155">
        <v>46261</v>
      </c>
      <c r="V104" s="418"/>
      <c r="W104" s="419"/>
      <c r="X104" s="418"/>
      <c r="Y104" s="419"/>
      <c r="AA104" s="149"/>
    </row>
    <row r="105" spans="1:27" ht="24" customHeight="1">
      <c r="A105" s="281" t="s">
        <v>580</v>
      </c>
      <c r="B105" s="215"/>
      <c r="C105" s="215"/>
      <c r="D105" s="281" t="s">
        <v>182</v>
      </c>
      <c r="E105" s="215"/>
      <c r="F105" s="215"/>
      <c r="G105" s="215"/>
      <c r="H105" s="215"/>
      <c r="I105" s="215"/>
      <c r="J105" s="215"/>
      <c r="K105" s="215"/>
      <c r="L105" s="224">
        <v>332</v>
      </c>
      <c r="M105" s="224">
        <v>332</v>
      </c>
      <c r="N105" s="156">
        <v>336</v>
      </c>
      <c r="O105" s="156">
        <f>ROUND(122.76+(8*(30.69)),0)</f>
        <v>368</v>
      </c>
      <c r="P105" s="158">
        <v>334</v>
      </c>
      <c r="Q105" s="155">
        <v>334</v>
      </c>
      <c r="R105" s="155">
        <v>337</v>
      </c>
      <c r="S105" s="155">
        <v>340</v>
      </c>
      <c r="T105" s="155">
        <v>343</v>
      </c>
      <c r="V105" s="418"/>
      <c r="W105" s="419"/>
      <c r="X105" s="418"/>
      <c r="Y105" s="419"/>
      <c r="AA105" s="149"/>
    </row>
    <row r="106" spans="1:27" ht="24" customHeight="1">
      <c r="A106" s="281" t="s">
        <v>581</v>
      </c>
      <c r="B106" s="215"/>
      <c r="C106" s="215"/>
      <c r="D106" s="281" t="s">
        <v>600</v>
      </c>
      <c r="E106" s="215"/>
      <c r="F106" s="215"/>
      <c r="G106" s="215"/>
      <c r="H106" s="215"/>
      <c r="I106" s="215"/>
      <c r="J106" s="215"/>
      <c r="K106" s="215"/>
      <c r="L106" s="224">
        <v>2749</v>
      </c>
      <c r="M106" s="224">
        <v>4778</v>
      </c>
      <c r="N106" s="156">
        <v>5017</v>
      </c>
      <c r="O106" s="156">
        <f>ROUND(1831.68+(8*457.92),0)</f>
        <v>5495</v>
      </c>
      <c r="P106" s="158">
        <v>6031</v>
      </c>
      <c r="Q106" s="155">
        <v>6333</v>
      </c>
      <c r="R106" s="155">
        <v>6650</v>
      </c>
      <c r="S106" s="155">
        <v>6983</v>
      </c>
      <c r="T106" s="155">
        <v>7332</v>
      </c>
      <c r="V106" s="418"/>
      <c r="W106" s="419"/>
      <c r="X106" s="418"/>
      <c r="Y106" s="419"/>
      <c r="AA106" s="149"/>
    </row>
    <row r="107" spans="1:27" ht="24" customHeight="1">
      <c r="A107" s="281" t="s">
        <v>603</v>
      </c>
      <c r="B107" s="215"/>
      <c r="C107" s="215"/>
      <c r="D107" s="281" t="s">
        <v>602</v>
      </c>
      <c r="E107" s="215"/>
      <c r="F107" s="215"/>
      <c r="G107" s="215"/>
      <c r="H107" s="215"/>
      <c r="I107" s="215"/>
      <c r="J107" s="215"/>
      <c r="K107" s="215"/>
      <c r="L107" s="224">
        <v>324</v>
      </c>
      <c r="M107" s="224">
        <v>486</v>
      </c>
      <c r="N107" s="156">
        <v>500</v>
      </c>
      <c r="O107" s="156">
        <f>ROUND(219+(8*54.75),0)</f>
        <v>657</v>
      </c>
      <c r="P107" s="158">
        <v>657</v>
      </c>
      <c r="Q107" s="155">
        <v>677</v>
      </c>
      <c r="R107" s="155">
        <v>697</v>
      </c>
      <c r="S107" s="155">
        <v>718</v>
      </c>
      <c r="T107" s="155">
        <v>740</v>
      </c>
      <c r="V107" s="418"/>
      <c r="W107" s="419"/>
      <c r="X107" s="418"/>
      <c r="Y107" s="419"/>
      <c r="AA107" s="149"/>
    </row>
    <row r="108" spans="1:27" ht="24" customHeight="1">
      <c r="A108" s="281" t="s">
        <v>110</v>
      </c>
      <c r="B108" s="282"/>
      <c r="C108" s="282"/>
      <c r="D108" s="281" t="s">
        <v>95</v>
      </c>
      <c r="E108" s="282"/>
      <c r="F108" s="282"/>
      <c r="G108" s="282"/>
      <c r="H108" s="282"/>
      <c r="I108" s="282"/>
      <c r="J108" s="282"/>
      <c r="K108" s="282"/>
      <c r="L108" s="224">
        <v>1462</v>
      </c>
      <c r="M108" s="224">
        <v>3392</v>
      </c>
      <c r="N108" s="151">
        <v>2500</v>
      </c>
      <c r="O108" s="151">
        <v>2500</v>
      </c>
      <c r="P108" s="150">
        <v>3000</v>
      </c>
      <c r="Q108" s="150">
        <v>3000</v>
      </c>
      <c r="R108" s="150">
        <v>3000</v>
      </c>
      <c r="S108" s="150">
        <v>3000</v>
      </c>
      <c r="T108" s="150">
        <v>3000</v>
      </c>
    </row>
    <row r="109" spans="1:27" ht="24" customHeight="1">
      <c r="A109" s="281" t="s">
        <v>206</v>
      </c>
      <c r="B109" s="215"/>
      <c r="C109" s="215"/>
      <c r="D109" s="281" t="s">
        <v>111</v>
      </c>
      <c r="E109" s="215"/>
      <c r="F109" s="215"/>
      <c r="G109" s="215"/>
      <c r="H109" s="215"/>
      <c r="I109" s="215"/>
      <c r="J109" s="215"/>
      <c r="K109" s="215"/>
      <c r="L109" s="224">
        <v>31000</v>
      </c>
      <c r="M109" s="224">
        <v>32000</v>
      </c>
      <c r="N109" s="151">
        <f>33000+3300</f>
        <v>36300</v>
      </c>
      <c r="O109" s="151">
        <v>33000</v>
      </c>
      <c r="P109" s="150">
        <v>37400</v>
      </c>
      <c r="Q109" s="150">
        <v>40000</v>
      </c>
      <c r="R109" s="150">
        <v>40000</v>
      </c>
      <c r="S109" s="150">
        <v>40000</v>
      </c>
      <c r="T109" s="150">
        <v>40000</v>
      </c>
      <c r="V109" s="418"/>
      <c r="W109" s="419"/>
      <c r="X109" s="727"/>
    </row>
    <row r="110" spans="1:27" ht="24" customHeight="1">
      <c r="A110" s="281" t="s">
        <v>109</v>
      </c>
      <c r="B110" s="215"/>
      <c r="C110" s="215"/>
      <c r="D110" s="281" t="s">
        <v>1075</v>
      </c>
      <c r="E110" s="215"/>
      <c r="F110" s="215"/>
      <c r="G110" s="215"/>
      <c r="H110" s="215"/>
      <c r="I110" s="215"/>
      <c r="J110" s="215"/>
      <c r="K110" s="215"/>
      <c r="L110" s="222">
        <v>72</v>
      </c>
      <c r="M110" s="222">
        <v>146</v>
      </c>
      <c r="N110" s="148">
        <f>2000-500</f>
        <v>1500</v>
      </c>
      <c r="O110" s="148">
        <v>1500</v>
      </c>
      <c r="P110" s="147">
        <f>2000-500</f>
        <v>1500</v>
      </c>
      <c r="Q110" s="147">
        <f t="shared" ref="Q110:T110" si="19">2000-500</f>
        <v>1500</v>
      </c>
      <c r="R110" s="147">
        <f t="shared" si="19"/>
        <v>1500</v>
      </c>
      <c r="S110" s="147">
        <f t="shared" si="19"/>
        <v>1500</v>
      </c>
      <c r="T110" s="147">
        <f t="shared" si="19"/>
        <v>1500</v>
      </c>
      <c r="V110" s="149"/>
    </row>
    <row r="111" spans="1:27" ht="24" customHeight="1">
      <c r="A111" s="281" t="s">
        <v>108</v>
      </c>
      <c r="B111" s="282"/>
      <c r="C111" s="282"/>
      <c r="D111" s="281" t="s">
        <v>1076</v>
      </c>
      <c r="E111" s="628"/>
      <c r="F111" s="628"/>
      <c r="G111" s="629"/>
      <c r="H111" s="629"/>
      <c r="I111" s="629"/>
      <c r="J111" s="629"/>
      <c r="K111" s="629"/>
      <c r="L111" s="222">
        <v>1123</v>
      </c>
      <c r="M111" s="222">
        <v>1365</v>
      </c>
      <c r="N111" s="148">
        <f>1800+2500</f>
        <v>4300</v>
      </c>
      <c r="O111" s="148">
        <v>4300</v>
      </c>
      <c r="P111" s="147">
        <v>5000</v>
      </c>
      <c r="Q111" s="147">
        <v>5000</v>
      </c>
      <c r="R111" s="147">
        <v>5000</v>
      </c>
      <c r="S111" s="147">
        <v>5000</v>
      </c>
      <c r="T111" s="147">
        <v>5000</v>
      </c>
      <c r="V111" s="149"/>
    </row>
    <row r="112" spans="1:27" ht="24" customHeight="1">
      <c r="A112" s="281" t="s">
        <v>107</v>
      </c>
      <c r="B112" s="215"/>
      <c r="C112" s="215"/>
      <c r="D112" s="281" t="s">
        <v>234</v>
      </c>
      <c r="E112" s="629"/>
      <c r="F112" s="629"/>
      <c r="G112" s="629"/>
      <c r="H112" s="629"/>
      <c r="I112" s="629"/>
      <c r="J112" s="629"/>
      <c r="K112" s="629"/>
      <c r="L112" s="222">
        <v>1082</v>
      </c>
      <c r="M112" s="222">
        <v>1061</v>
      </c>
      <c r="N112" s="148">
        <v>1200</v>
      </c>
      <c r="O112" s="148">
        <v>1200</v>
      </c>
      <c r="P112" s="147">
        <v>1200</v>
      </c>
      <c r="Q112" s="147">
        <v>1200</v>
      </c>
      <c r="R112" s="147">
        <v>1200</v>
      </c>
      <c r="S112" s="147">
        <v>1200</v>
      </c>
      <c r="T112" s="147">
        <v>1200</v>
      </c>
      <c r="V112" s="149"/>
    </row>
    <row r="113" spans="1:26" ht="24" customHeight="1">
      <c r="A113" s="281" t="s">
        <v>106</v>
      </c>
      <c r="B113" s="215"/>
      <c r="C113" s="215"/>
      <c r="D113" s="281" t="s">
        <v>93</v>
      </c>
      <c r="E113" s="629"/>
      <c r="F113" s="629"/>
      <c r="G113" s="628"/>
      <c r="H113" s="628"/>
      <c r="I113" s="628"/>
      <c r="J113" s="628"/>
      <c r="K113" s="628"/>
      <c r="L113" s="222">
        <v>509</v>
      </c>
      <c r="M113" s="222">
        <v>1141</v>
      </c>
      <c r="N113" s="148">
        <v>1200</v>
      </c>
      <c r="O113" s="148">
        <v>1200</v>
      </c>
      <c r="P113" s="147">
        <v>1300</v>
      </c>
      <c r="Q113" s="147">
        <v>1300</v>
      </c>
      <c r="R113" s="147">
        <v>1300</v>
      </c>
      <c r="S113" s="147">
        <v>1300</v>
      </c>
      <c r="T113" s="147">
        <v>1300</v>
      </c>
    </row>
    <row r="114" spans="1:26" ht="24" customHeight="1">
      <c r="A114" s="281" t="s">
        <v>207</v>
      </c>
      <c r="B114" s="282"/>
      <c r="C114" s="282"/>
      <c r="D114" s="281" t="s">
        <v>1077</v>
      </c>
      <c r="E114" s="282"/>
      <c r="F114" s="282"/>
      <c r="G114" s="282"/>
      <c r="H114" s="282"/>
      <c r="I114" s="282"/>
      <c r="J114" s="215"/>
      <c r="K114" s="215"/>
      <c r="L114" s="224">
        <v>500</v>
      </c>
      <c r="M114" s="224">
        <v>545</v>
      </c>
      <c r="N114" s="151">
        <v>800</v>
      </c>
      <c r="O114" s="151">
        <v>800</v>
      </c>
      <c r="P114" s="150">
        <v>800</v>
      </c>
      <c r="Q114" s="150">
        <v>800</v>
      </c>
      <c r="R114" s="150">
        <v>800</v>
      </c>
      <c r="S114" s="150">
        <v>800</v>
      </c>
      <c r="T114" s="150">
        <v>800</v>
      </c>
    </row>
    <row r="115" spans="1:26" ht="24" customHeight="1">
      <c r="A115" s="281" t="s">
        <v>105</v>
      </c>
      <c r="B115" s="282"/>
      <c r="C115" s="282"/>
      <c r="D115" s="281" t="s">
        <v>10</v>
      </c>
      <c r="E115" s="630"/>
      <c r="F115" s="630"/>
      <c r="G115" s="631"/>
      <c r="H115" s="631"/>
      <c r="I115" s="631"/>
      <c r="J115" s="631"/>
      <c r="K115" s="631"/>
      <c r="L115" s="237">
        <v>22340</v>
      </c>
      <c r="M115" s="237">
        <v>31984</v>
      </c>
      <c r="N115" s="172">
        <f>35000+2000</f>
        <v>37000</v>
      </c>
      <c r="O115" s="172">
        <v>37000</v>
      </c>
      <c r="P115" s="171">
        <v>40000</v>
      </c>
      <c r="Q115" s="171">
        <v>40000</v>
      </c>
      <c r="R115" s="171">
        <v>40000</v>
      </c>
      <c r="S115" s="171">
        <v>40000</v>
      </c>
      <c r="T115" s="171">
        <v>40000</v>
      </c>
    </row>
    <row r="116" spans="1:26" ht="24" customHeight="1">
      <c r="A116" s="281" t="s">
        <v>104</v>
      </c>
      <c r="B116" s="215"/>
      <c r="C116" s="215"/>
      <c r="D116" s="281" t="s">
        <v>90</v>
      </c>
      <c r="E116" s="631"/>
      <c r="F116" s="631"/>
      <c r="G116" s="631"/>
      <c r="H116" s="631"/>
      <c r="I116" s="631"/>
      <c r="J116" s="630"/>
      <c r="K116" s="630"/>
      <c r="L116" s="237">
        <v>2126</v>
      </c>
      <c r="M116" s="237">
        <v>2102</v>
      </c>
      <c r="N116" s="148">
        <v>2250</v>
      </c>
      <c r="O116" s="148">
        <v>2250</v>
      </c>
      <c r="P116" s="147">
        <v>2500</v>
      </c>
      <c r="Q116" s="147">
        <v>2500</v>
      </c>
      <c r="R116" s="147">
        <v>2500</v>
      </c>
      <c r="S116" s="147">
        <v>2500</v>
      </c>
      <c r="T116" s="147">
        <v>2500</v>
      </c>
    </row>
    <row r="117" spans="1:26" ht="24" customHeight="1">
      <c r="A117" s="281" t="s">
        <v>113</v>
      </c>
      <c r="B117" s="215"/>
      <c r="C117" s="215"/>
      <c r="D117" s="281" t="s">
        <v>11</v>
      </c>
      <c r="E117" s="215"/>
      <c r="F117" s="215"/>
      <c r="G117" s="215"/>
      <c r="H117" s="215"/>
      <c r="I117" s="215"/>
      <c r="J117" s="215"/>
      <c r="K117" s="215"/>
      <c r="L117" s="222">
        <v>2626</v>
      </c>
      <c r="M117" s="222">
        <v>2633</v>
      </c>
      <c r="N117" s="148">
        <v>2600</v>
      </c>
      <c r="O117" s="148">
        <v>2600</v>
      </c>
      <c r="P117" s="147">
        <v>2700</v>
      </c>
      <c r="Q117" s="147">
        <v>2700</v>
      </c>
      <c r="R117" s="147">
        <v>2700</v>
      </c>
      <c r="S117" s="147">
        <v>2700</v>
      </c>
      <c r="T117" s="147">
        <v>2700</v>
      </c>
    </row>
    <row r="118" spans="1:26" ht="24" customHeight="1">
      <c r="A118" s="281" t="s">
        <v>112</v>
      </c>
      <c r="B118" s="215"/>
      <c r="C118" s="215"/>
      <c r="D118" s="281" t="s">
        <v>243</v>
      </c>
      <c r="E118" s="215"/>
      <c r="F118" s="215"/>
      <c r="G118" s="215"/>
      <c r="H118" s="215"/>
      <c r="I118" s="215"/>
      <c r="J118" s="215"/>
      <c r="K118" s="215"/>
      <c r="L118" s="229">
        <v>710</v>
      </c>
      <c r="M118" s="229">
        <v>58</v>
      </c>
      <c r="N118" s="174">
        <v>1000</v>
      </c>
      <c r="O118" s="174">
        <v>1000</v>
      </c>
      <c r="P118" s="162">
        <v>750</v>
      </c>
      <c r="Q118" s="162">
        <v>750</v>
      </c>
      <c r="R118" s="162">
        <v>750</v>
      </c>
      <c r="S118" s="162">
        <v>750</v>
      </c>
      <c r="T118" s="162">
        <v>750</v>
      </c>
    </row>
    <row r="119" spans="1:26" s="215" customFormat="1" ht="24" customHeight="1">
      <c r="A119" s="281"/>
      <c r="D119" s="281"/>
      <c r="L119" s="235">
        <f t="shared" ref="L119:T119" si="20">SUM(L101:L118)</f>
        <v>327688</v>
      </c>
      <c r="M119" s="235">
        <f t="shared" si="20"/>
        <v>355603</v>
      </c>
      <c r="N119" s="238">
        <f t="shared" ref="N119" si="21">SUM(N101:N118)</f>
        <v>388506</v>
      </c>
      <c r="O119" s="238">
        <f t="shared" si="20"/>
        <v>380526</v>
      </c>
      <c r="P119" s="247">
        <f t="shared" si="20"/>
        <v>413829</v>
      </c>
      <c r="Q119" s="247">
        <f t="shared" si="20"/>
        <v>429941</v>
      </c>
      <c r="R119" s="247">
        <f t="shared" si="20"/>
        <v>442952</v>
      </c>
      <c r="S119" s="247">
        <f t="shared" si="20"/>
        <v>456594</v>
      </c>
      <c r="T119" s="247">
        <f t="shared" si="20"/>
        <v>470872</v>
      </c>
      <c r="U119" s="470"/>
    </row>
    <row r="120" spans="1:26" ht="15" customHeight="1">
      <c r="A120" s="281"/>
      <c r="B120" s="215"/>
      <c r="C120" s="215"/>
      <c r="D120" s="281"/>
      <c r="E120" s="215"/>
      <c r="F120" s="215"/>
      <c r="G120" s="215"/>
      <c r="H120" s="215"/>
      <c r="I120" s="215"/>
      <c r="J120" s="215"/>
      <c r="K120" s="215"/>
      <c r="L120" s="222"/>
      <c r="M120" s="222"/>
      <c r="N120" s="148"/>
      <c r="O120" s="148"/>
      <c r="P120" s="147"/>
      <c r="Q120" s="147"/>
      <c r="R120" s="147"/>
      <c r="S120" s="147"/>
      <c r="T120" s="147"/>
    </row>
    <row r="121" spans="1:26" ht="24" customHeight="1">
      <c r="A121" s="285" t="s">
        <v>547</v>
      </c>
      <c r="B121" s="215"/>
      <c r="C121" s="215"/>
      <c r="D121" s="215"/>
      <c r="E121" s="215"/>
      <c r="F121" s="215"/>
      <c r="G121" s="215"/>
      <c r="H121" s="215"/>
      <c r="I121" s="215"/>
      <c r="J121" s="215"/>
      <c r="K121" s="215"/>
      <c r="L121" s="231"/>
      <c r="M121" s="231"/>
      <c r="N121" s="166"/>
      <c r="O121" s="166"/>
      <c r="P121" s="165"/>
      <c r="Q121" s="165"/>
      <c r="R121" s="165"/>
      <c r="S121" s="165"/>
      <c r="T121" s="165"/>
    </row>
    <row r="122" spans="1:26" ht="24" customHeight="1">
      <c r="A122" s="281" t="s">
        <v>1066</v>
      </c>
      <c r="B122" s="284"/>
      <c r="C122" s="284"/>
      <c r="D122" s="281" t="s">
        <v>121</v>
      </c>
      <c r="E122" s="284"/>
      <c r="F122" s="284"/>
      <c r="G122" s="284"/>
      <c r="H122" s="284"/>
      <c r="I122" s="284"/>
      <c r="J122" s="284"/>
      <c r="K122" s="284"/>
      <c r="L122" s="225">
        <v>1307670</v>
      </c>
      <c r="M122" s="225">
        <v>1478093</v>
      </c>
      <c r="N122" s="159">
        <v>1614448</v>
      </c>
      <c r="O122" s="148">
        <v>1614448</v>
      </c>
      <c r="P122" s="158">
        <v>1730357</v>
      </c>
      <c r="Q122" s="158">
        <v>1789795</v>
      </c>
      <c r="R122" s="158">
        <v>1843489</v>
      </c>
      <c r="S122" s="158">
        <v>1898794</v>
      </c>
      <c r="T122" s="158">
        <v>1955758</v>
      </c>
      <c r="V122" s="418"/>
      <c r="W122" s="419"/>
      <c r="Z122" s="152"/>
    </row>
    <row r="123" spans="1:26" ht="24" customHeight="1">
      <c r="A123" s="281" t="s">
        <v>736</v>
      </c>
      <c r="B123" s="284"/>
      <c r="C123" s="284"/>
      <c r="D123" s="283" t="s">
        <v>737</v>
      </c>
      <c r="E123" s="284"/>
      <c r="F123" s="284"/>
      <c r="G123" s="284"/>
      <c r="H123" s="284"/>
      <c r="I123" s="284"/>
      <c r="J123" s="284"/>
      <c r="K123" s="284"/>
      <c r="L123" s="225">
        <v>295668</v>
      </c>
      <c r="M123" s="225">
        <v>322269</v>
      </c>
      <c r="N123" s="159">
        <v>346106</v>
      </c>
      <c r="O123" s="148">
        <v>346106</v>
      </c>
      <c r="P123" s="158">
        <v>358109</v>
      </c>
      <c r="Q123" s="158">
        <v>370410</v>
      </c>
      <c r="R123" s="158">
        <v>381522</v>
      </c>
      <c r="S123" s="158">
        <v>392968</v>
      </c>
      <c r="T123" s="158">
        <v>404757</v>
      </c>
      <c r="V123" s="418"/>
      <c r="W123" s="419"/>
      <c r="Z123" s="149"/>
    </row>
    <row r="124" spans="1:26" ht="24" customHeight="1">
      <c r="A124" s="281" t="s">
        <v>118</v>
      </c>
      <c r="B124" s="284"/>
      <c r="C124" s="284"/>
      <c r="D124" s="281" t="s">
        <v>738</v>
      </c>
      <c r="E124" s="284"/>
      <c r="F124" s="284"/>
      <c r="G124" s="284"/>
      <c r="H124" s="284"/>
      <c r="I124" s="284"/>
      <c r="J124" s="284"/>
      <c r="K124" s="284"/>
      <c r="L124" s="222">
        <v>426850</v>
      </c>
      <c r="M124" s="222">
        <v>433191</v>
      </c>
      <c r="N124" s="159">
        <v>466386</v>
      </c>
      <c r="O124" s="151">
        <v>466386</v>
      </c>
      <c r="P124" s="158">
        <v>475680</v>
      </c>
      <c r="Q124" s="158">
        <v>492020</v>
      </c>
      <c r="R124" s="158">
        <v>506781</v>
      </c>
      <c r="S124" s="158">
        <v>521984</v>
      </c>
      <c r="T124" s="158">
        <v>537644</v>
      </c>
      <c r="V124" s="418"/>
      <c r="W124" s="419"/>
    </row>
    <row r="125" spans="1:26" ht="24" customHeight="1">
      <c r="A125" s="281" t="s">
        <v>117</v>
      </c>
      <c r="B125" s="284"/>
      <c r="C125" s="284"/>
      <c r="D125" s="281" t="s">
        <v>120</v>
      </c>
      <c r="E125" s="284"/>
      <c r="F125" s="284"/>
      <c r="G125" s="284"/>
      <c r="H125" s="284"/>
      <c r="I125" s="284"/>
      <c r="J125" s="284"/>
      <c r="K125" s="284"/>
      <c r="L125" s="224">
        <v>116872</v>
      </c>
      <c r="M125" s="224">
        <v>121384</v>
      </c>
      <c r="N125" s="159">
        <v>130409</v>
      </c>
      <c r="O125" s="151">
        <v>130409</v>
      </c>
      <c r="P125" s="158">
        <v>141395</v>
      </c>
      <c r="Q125" s="158">
        <v>146252</v>
      </c>
      <c r="R125" s="158">
        <v>150640</v>
      </c>
      <c r="S125" s="158">
        <v>155159</v>
      </c>
      <c r="T125" s="158">
        <v>159814</v>
      </c>
      <c r="V125" s="418"/>
      <c r="W125" s="419"/>
    </row>
    <row r="126" spans="1:26" ht="24" customHeight="1">
      <c r="A126" s="281" t="s">
        <v>116</v>
      </c>
      <c r="B126" s="284"/>
      <c r="C126" s="284"/>
      <c r="D126" s="281" t="s">
        <v>119</v>
      </c>
      <c r="E126" s="284"/>
      <c r="F126" s="284"/>
      <c r="G126" s="284"/>
      <c r="H126" s="284"/>
      <c r="I126" s="284"/>
      <c r="J126" s="284"/>
      <c r="K126" s="284"/>
      <c r="L126" s="224">
        <v>21950</v>
      </c>
      <c r="M126" s="224">
        <v>21429</v>
      </c>
      <c r="N126" s="151">
        <v>20000</v>
      </c>
      <c r="O126" s="151">
        <v>20000</v>
      </c>
      <c r="P126" s="150">
        <v>20000</v>
      </c>
      <c r="Q126" s="150">
        <v>20000</v>
      </c>
      <c r="R126" s="150">
        <v>20000</v>
      </c>
      <c r="S126" s="150">
        <v>20000</v>
      </c>
      <c r="T126" s="150">
        <v>20000</v>
      </c>
      <c r="V126" s="418"/>
      <c r="W126" s="419"/>
    </row>
    <row r="127" spans="1:26" ht="24" customHeight="1">
      <c r="A127" s="281" t="s">
        <v>115</v>
      </c>
      <c r="B127" s="284"/>
      <c r="C127" s="284"/>
      <c r="D127" s="281" t="s">
        <v>72</v>
      </c>
      <c r="E127" s="284"/>
      <c r="F127" s="284"/>
      <c r="G127" s="284"/>
      <c r="H127" s="284"/>
      <c r="I127" s="284"/>
      <c r="J127" s="284"/>
      <c r="K127" s="284"/>
      <c r="L127" s="222">
        <v>57252</v>
      </c>
      <c r="M127" s="222">
        <v>57235</v>
      </c>
      <c r="N127" s="148">
        <v>70000</v>
      </c>
      <c r="O127" s="148">
        <v>70000</v>
      </c>
      <c r="P127" s="147">
        <v>70000</v>
      </c>
      <c r="Q127" s="147">
        <v>70000</v>
      </c>
      <c r="R127" s="147">
        <v>70000</v>
      </c>
      <c r="S127" s="147">
        <v>70000</v>
      </c>
      <c r="T127" s="147">
        <v>70000</v>
      </c>
      <c r="V127" s="418"/>
      <c r="W127" s="419"/>
    </row>
    <row r="128" spans="1:26" ht="24" customHeight="1">
      <c r="A128" s="281" t="s">
        <v>114</v>
      </c>
      <c r="B128" s="282"/>
      <c r="C128" s="282"/>
      <c r="D128" s="281" t="s">
        <v>14</v>
      </c>
      <c r="E128" s="282"/>
      <c r="F128" s="282"/>
      <c r="G128" s="282"/>
      <c r="H128" s="282"/>
      <c r="I128" s="282"/>
      <c r="J128" s="282"/>
      <c r="K128" s="282"/>
      <c r="L128" s="225">
        <v>95061</v>
      </c>
      <c r="M128" s="225">
        <v>77600</v>
      </c>
      <c r="N128" s="148">
        <v>111000</v>
      </c>
      <c r="O128" s="148">
        <v>111000</v>
      </c>
      <c r="P128" s="147">
        <v>111000</v>
      </c>
      <c r="Q128" s="147">
        <v>111000</v>
      </c>
      <c r="R128" s="147">
        <v>111000</v>
      </c>
      <c r="S128" s="147">
        <v>111000</v>
      </c>
      <c r="T128" s="147">
        <v>111000</v>
      </c>
      <c r="V128" s="418"/>
      <c r="W128" s="419"/>
    </row>
    <row r="129" spans="1:27" ht="24" customHeight="1">
      <c r="A129" s="281" t="s">
        <v>124</v>
      </c>
      <c r="B129" s="282"/>
      <c r="C129" s="282"/>
      <c r="D129" s="281" t="s">
        <v>8</v>
      </c>
      <c r="E129" s="282"/>
      <c r="F129" s="282"/>
      <c r="G129" s="282"/>
      <c r="H129" s="282"/>
      <c r="I129" s="282"/>
      <c r="J129" s="282"/>
      <c r="K129" s="282"/>
      <c r="L129" s="224">
        <v>12938</v>
      </c>
      <c r="M129" s="224">
        <v>13778</v>
      </c>
      <c r="N129" s="151">
        <v>14508</v>
      </c>
      <c r="O129" s="151">
        <v>14508</v>
      </c>
      <c r="P129" s="158">
        <v>15271</v>
      </c>
      <c r="Q129" s="150">
        <v>16380</v>
      </c>
      <c r="R129" s="150">
        <v>17550</v>
      </c>
      <c r="S129" s="150">
        <v>18805</v>
      </c>
      <c r="T129" s="150">
        <v>20137</v>
      </c>
      <c r="V129" s="418"/>
      <c r="W129" s="419"/>
    </row>
    <row r="130" spans="1:27" ht="24" customHeight="1">
      <c r="A130" s="281" t="s">
        <v>123</v>
      </c>
      <c r="B130" s="215"/>
      <c r="C130" s="215"/>
      <c r="D130" s="776" t="s">
        <v>1176</v>
      </c>
      <c r="E130" s="776"/>
      <c r="F130" s="776"/>
      <c r="G130" s="776"/>
      <c r="H130" s="776"/>
      <c r="I130" s="776"/>
      <c r="J130" s="776"/>
      <c r="K130" s="776"/>
      <c r="L130" s="224">
        <f t="shared" ref="L130" si="22">L10</f>
        <v>524120</v>
      </c>
      <c r="M130" s="224">
        <f t="shared" ref="M130" si="23">M10</f>
        <v>624168</v>
      </c>
      <c r="N130" s="541">
        <f t="shared" ref="N130" si="24">N10</f>
        <v>728477</v>
      </c>
      <c r="O130" s="541">
        <v>722940</v>
      </c>
      <c r="P130" s="224">
        <v>825413</v>
      </c>
      <c r="Q130" s="224">
        <v>875413</v>
      </c>
      <c r="R130" s="224">
        <v>925413</v>
      </c>
      <c r="S130" s="224">
        <v>975413</v>
      </c>
      <c r="T130" s="224">
        <v>1025413</v>
      </c>
      <c r="V130" s="149"/>
    </row>
    <row r="131" spans="1:27" ht="24" customHeight="1">
      <c r="A131" s="281" t="s">
        <v>122</v>
      </c>
      <c r="B131" s="282"/>
      <c r="C131" s="282"/>
      <c r="D131" s="281" t="s">
        <v>9</v>
      </c>
      <c r="E131" s="282"/>
      <c r="F131" s="282"/>
      <c r="G131" s="282"/>
      <c r="H131" s="282"/>
      <c r="I131" s="282"/>
      <c r="J131" s="282"/>
      <c r="K131" s="282"/>
      <c r="L131" s="224">
        <v>171085</v>
      </c>
      <c r="M131" s="224">
        <v>184653</v>
      </c>
      <c r="N131" s="159">
        <v>206817</v>
      </c>
      <c r="O131" s="151">
        <v>206817</v>
      </c>
      <c r="P131" s="158">
        <v>216838</v>
      </c>
      <c r="Q131" s="158">
        <v>224286</v>
      </c>
      <c r="R131" s="158">
        <v>231015</v>
      </c>
      <c r="S131" s="158">
        <v>237945</v>
      </c>
      <c r="T131" s="158">
        <v>245083</v>
      </c>
      <c r="V131" s="418"/>
      <c r="W131" s="419"/>
      <c r="X131" s="419"/>
      <c r="Y131" s="419"/>
    </row>
    <row r="132" spans="1:27" ht="24" customHeight="1">
      <c r="A132" s="281" t="s">
        <v>582</v>
      </c>
      <c r="B132" s="282"/>
      <c r="C132" s="282"/>
      <c r="D132" s="281" t="s">
        <v>13</v>
      </c>
      <c r="E132" s="282"/>
      <c r="F132" s="282"/>
      <c r="G132" s="282"/>
      <c r="H132" s="282"/>
      <c r="I132" s="282"/>
      <c r="J132" s="282"/>
      <c r="K132" s="282"/>
      <c r="L132" s="225">
        <v>462711</v>
      </c>
      <c r="M132" s="225">
        <v>541667</v>
      </c>
      <c r="N132" s="156">
        <v>639914</v>
      </c>
      <c r="O132" s="156">
        <f>ROUND(228243.06+(7*(44804.21-4736.38))+(300*9)+(90*9)+85+65000,0)</f>
        <v>577313</v>
      </c>
      <c r="P132" s="158">
        <v>709489</v>
      </c>
      <c r="Q132" s="155">
        <v>766248</v>
      </c>
      <c r="R132" s="155">
        <v>827548</v>
      </c>
      <c r="S132" s="155">
        <v>893752</v>
      </c>
      <c r="T132" s="155">
        <v>965252</v>
      </c>
      <c r="V132" s="418"/>
      <c r="W132" s="419"/>
      <c r="X132" s="418"/>
      <c r="Y132" s="419"/>
      <c r="AA132" s="149"/>
    </row>
    <row r="133" spans="1:27" ht="24" customHeight="1">
      <c r="A133" s="281" t="s">
        <v>583</v>
      </c>
      <c r="B133" s="282"/>
      <c r="C133" s="282"/>
      <c r="D133" s="281" t="s">
        <v>182</v>
      </c>
      <c r="E133" s="282"/>
      <c r="F133" s="282"/>
      <c r="G133" s="282"/>
      <c r="H133" s="282"/>
      <c r="I133" s="282"/>
      <c r="J133" s="282"/>
      <c r="K133" s="282"/>
      <c r="L133" s="225">
        <v>3050</v>
      </c>
      <c r="M133" s="225">
        <v>3338</v>
      </c>
      <c r="N133" s="156">
        <v>3556</v>
      </c>
      <c r="O133" s="156">
        <f>ROUND(1542.01+(8*(600.07-256.42)),0)</f>
        <v>4291</v>
      </c>
      <c r="P133" s="158">
        <v>3541</v>
      </c>
      <c r="Q133" s="155">
        <v>3541</v>
      </c>
      <c r="R133" s="155">
        <v>3576</v>
      </c>
      <c r="S133" s="155">
        <v>3612</v>
      </c>
      <c r="T133" s="155">
        <v>3648</v>
      </c>
      <c r="V133" s="418"/>
      <c r="W133" s="419"/>
      <c r="X133" s="418"/>
      <c r="Y133" s="419"/>
      <c r="AA133" s="149"/>
    </row>
    <row r="134" spans="1:27" ht="24" customHeight="1">
      <c r="A134" s="281" t="s">
        <v>584</v>
      </c>
      <c r="B134" s="282"/>
      <c r="C134" s="282"/>
      <c r="D134" s="281" t="s">
        <v>600</v>
      </c>
      <c r="E134" s="282"/>
      <c r="F134" s="282"/>
      <c r="G134" s="282"/>
      <c r="H134" s="282"/>
      <c r="I134" s="282"/>
      <c r="J134" s="282"/>
      <c r="K134" s="282"/>
      <c r="L134" s="225">
        <v>30626</v>
      </c>
      <c r="M134" s="225">
        <v>39727</v>
      </c>
      <c r="N134" s="156">
        <v>43519</v>
      </c>
      <c r="O134" s="156">
        <f>ROUND(15720.1+(8*4262.02),0)</f>
        <v>49816</v>
      </c>
      <c r="P134" s="158">
        <v>56584</v>
      </c>
      <c r="Q134" s="155">
        <v>59413</v>
      </c>
      <c r="R134" s="155">
        <v>62384</v>
      </c>
      <c r="S134" s="155">
        <v>65503</v>
      </c>
      <c r="T134" s="155">
        <v>68778</v>
      </c>
      <c r="V134" s="418"/>
      <c r="W134" s="419"/>
      <c r="X134" s="418"/>
      <c r="Y134" s="419"/>
      <c r="AA134" s="149"/>
    </row>
    <row r="135" spans="1:27" ht="24" customHeight="1">
      <c r="A135" s="281" t="s">
        <v>604</v>
      </c>
      <c r="B135" s="282"/>
      <c r="C135" s="282"/>
      <c r="D135" s="281" t="s">
        <v>602</v>
      </c>
      <c r="E135" s="282"/>
      <c r="F135" s="282"/>
      <c r="G135" s="282"/>
      <c r="H135" s="282"/>
      <c r="I135" s="282"/>
      <c r="J135" s="282"/>
      <c r="K135" s="282"/>
      <c r="L135" s="225">
        <v>3787</v>
      </c>
      <c r="M135" s="225">
        <v>4236</v>
      </c>
      <c r="N135" s="156">
        <v>4494</v>
      </c>
      <c r="O135" s="156">
        <f>ROUND(1974.03+(8*534.57),0)</f>
        <v>6251</v>
      </c>
      <c r="P135" s="158">
        <v>6279</v>
      </c>
      <c r="Q135" s="155">
        <v>6467</v>
      </c>
      <c r="R135" s="155">
        <v>6661</v>
      </c>
      <c r="S135" s="155">
        <v>6861</v>
      </c>
      <c r="T135" s="155">
        <v>7067</v>
      </c>
      <c r="V135" s="418"/>
      <c r="W135" s="419"/>
      <c r="X135" s="418"/>
      <c r="Y135" s="419"/>
      <c r="AA135" s="149"/>
    </row>
    <row r="136" spans="1:27" ht="24" customHeight="1">
      <c r="A136" s="281" t="s">
        <v>208</v>
      </c>
      <c r="B136" s="215"/>
      <c r="C136" s="215"/>
      <c r="D136" s="668" t="s">
        <v>96</v>
      </c>
      <c r="E136" s="669"/>
      <c r="F136" s="669"/>
      <c r="G136" s="669"/>
      <c r="H136" s="669"/>
      <c r="I136" s="669"/>
      <c r="J136" s="669"/>
      <c r="K136" s="669"/>
      <c r="L136" s="222">
        <v>0</v>
      </c>
      <c r="M136" s="222">
        <v>0</v>
      </c>
      <c r="N136" s="148">
        <v>2800</v>
      </c>
      <c r="O136" s="148">
        <v>2800</v>
      </c>
      <c r="P136" s="147">
        <f>ROUND(48*402,0)+2800+9000</f>
        <v>31096</v>
      </c>
      <c r="Q136" s="147">
        <f>ROUND(24*402,0)+2800+5400</f>
        <v>17848</v>
      </c>
      <c r="R136" s="147">
        <v>2800</v>
      </c>
      <c r="S136" s="147">
        <v>2800</v>
      </c>
      <c r="T136" s="147">
        <v>2800</v>
      </c>
    </row>
    <row r="137" spans="1:27" ht="24" customHeight="1">
      <c r="A137" s="281" t="s">
        <v>241</v>
      </c>
      <c r="B137" s="215"/>
      <c r="C137" s="215"/>
      <c r="D137" s="281" t="s">
        <v>240</v>
      </c>
      <c r="E137" s="215"/>
      <c r="F137" s="215"/>
      <c r="G137" s="215"/>
      <c r="H137" s="215"/>
      <c r="I137" s="215"/>
      <c r="J137" s="215"/>
      <c r="K137" s="215"/>
      <c r="L137" s="222">
        <v>4590</v>
      </c>
      <c r="M137" s="222">
        <v>12633</v>
      </c>
      <c r="N137" s="148">
        <v>4000</v>
      </c>
      <c r="O137" s="148">
        <v>4000</v>
      </c>
      <c r="P137" s="147">
        <v>4000</v>
      </c>
      <c r="Q137" s="147">
        <v>15000</v>
      </c>
      <c r="R137" s="147">
        <v>4000</v>
      </c>
      <c r="S137" s="147">
        <v>4000</v>
      </c>
      <c r="T137" s="147">
        <v>15000</v>
      </c>
      <c r="V137" s="418"/>
      <c r="W137" s="419"/>
      <c r="X137" s="727"/>
    </row>
    <row r="138" spans="1:27" ht="24" customHeight="1">
      <c r="A138" s="281" t="s">
        <v>209</v>
      </c>
      <c r="B138" s="215"/>
      <c r="C138" s="215"/>
      <c r="D138" s="281" t="s">
        <v>135</v>
      </c>
      <c r="E138" s="215"/>
      <c r="F138" s="215"/>
      <c r="G138" s="215"/>
      <c r="H138" s="215"/>
      <c r="I138" s="215"/>
      <c r="J138" s="215"/>
      <c r="K138" s="215"/>
      <c r="L138" s="225">
        <v>12935</v>
      </c>
      <c r="M138" s="225">
        <v>11184</v>
      </c>
      <c r="N138" s="148">
        <v>18000</v>
      </c>
      <c r="O138" s="148">
        <v>18000</v>
      </c>
      <c r="P138" s="147">
        <v>18000</v>
      </c>
      <c r="Q138" s="147">
        <v>18000</v>
      </c>
      <c r="R138" s="147">
        <v>18000</v>
      </c>
      <c r="S138" s="147">
        <v>18000</v>
      </c>
      <c r="T138" s="147">
        <v>18000</v>
      </c>
    </row>
    <row r="139" spans="1:27" ht="24" customHeight="1">
      <c r="A139" s="281" t="s">
        <v>133</v>
      </c>
      <c r="B139" s="215"/>
      <c r="C139" s="215"/>
      <c r="D139" s="281" t="s">
        <v>1075</v>
      </c>
      <c r="E139" s="215"/>
      <c r="F139" s="215"/>
      <c r="G139" s="215"/>
      <c r="H139" s="215"/>
      <c r="I139" s="215"/>
      <c r="J139" s="215"/>
      <c r="K139" s="215"/>
      <c r="L139" s="224">
        <v>3963</v>
      </c>
      <c r="M139" s="224">
        <v>2400</v>
      </c>
      <c r="N139" s="151">
        <v>10000</v>
      </c>
      <c r="O139" s="151">
        <v>10000</v>
      </c>
      <c r="P139" s="150">
        <v>10000</v>
      </c>
      <c r="Q139" s="150">
        <v>10000</v>
      </c>
      <c r="R139" s="150">
        <v>10000</v>
      </c>
      <c r="S139" s="150">
        <v>10000</v>
      </c>
      <c r="T139" s="150">
        <v>10000</v>
      </c>
    </row>
    <row r="140" spans="1:27" ht="24" customHeight="1">
      <c r="A140" s="281" t="s">
        <v>1027</v>
      </c>
      <c r="B140" s="215"/>
      <c r="C140" s="215"/>
      <c r="D140" s="281" t="s">
        <v>1028</v>
      </c>
      <c r="E140" s="355"/>
      <c r="F140" s="355"/>
      <c r="G140" s="355"/>
      <c r="H140" s="355"/>
      <c r="I140" s="355"/>
      <c r="J140" s="355"/>
      <c r="K140" s="355"/>
      <c r="L140" s="222">
        <v>0</v>
      </c>
      <c r="M140" s="222">
        <v>63777</v>
      </c>
      <c r="N140" s="148">
        <v>203647</v>
      </c>
      <c r="O140" s="148">
        <f>O458</f>
        <v>200158</v>
      </c>
      <c r="P140" s="147">
        <f t="shared" ref="P140:S140" si="25">P458</f>
        <v>53633</v>
      </c>
      <c r="Q140" s="147">
        <f t="shared" si="25"/>
        <v>44633</v>
      </c>
      <c r="R140" s="147">
        <f t="shared" si="25"/>
        <v>44633</v>
      </c>
      <c r="S140" s="147">
        <f t="shared" si="25"/>
        <v>44633</v>
      </c>
      <c r="T140" s="147">
        <f t="shared" ref="T140" si="26">T458</f>
        <v>44633</v>
      </c>
      <c r="V140" s="149"/>
    </row>
    <row r="141" spans="1:27" ht="24" customHeight="1">
      <c r="A141" s="281" t="s">
        <v>132</v>
      </c>
      <c r="B141" s="215"/>
      <c r="C141" s="215"/>
      <c r="D141" s="281" t="s">
        <v>94</v>
      </c>
      <c r="E141" s="215"/>
      <c r="F141" s="215"/>
      <c r="G141" s="215"/>
      <c r="H141" s="215"/>
      <c r="I141" s="215"/>
      <c r="J141" s="215"/>
      <c r="K141" s="215"/>
      <c r="L141" s="224">
        <v>517</v>
      </c>
      <c r="M141" s="224">
        <v>0</v>
      </c>
      <c r="N141" s="151">
        <v>200</v>
      </c>
      <c r="O141" s="151">
        <v>200</v>
      </c>
      <c r="P141" s="150">
        <v>200</v>
      </c>
      <c r="Q141" s="150">
        <v>200</v>
      </c>
      <c r="R141" s="150">
        <v>200</v>
      </c>
      <c r="S141" s="150">
        <v>200</v>
      </c>
      <c r="T141" s="150">
        <v>200</v>
      </c>
    </row>
    <row r="142" spans="1:27" ht="24" customHeight="1">
      <c r="A142" s="281" t="s">
        <v>131</v>
      </c>
      <c r="B142" s="215"/>
      <c r="C142" s="215"/>
      <c r="D142" s="281" t="s">
        <v>1076</v>
      </c>
      <c r="E142" s="215"/>
      <c r="F142" s="215"/>
      <c r="G142" s="215"/>
      <c r="H142" s="215"/>
      <c r="I142" s="215"/>
      <c r="J142" s="215"/>
      <c r="K142" s="215"/>
      <c r="L142" s="222">
        <v>2370</v>
      </c>
      <c r="M142" s="222">
        <v>3222</v>
      </c>
      <c r="N142" s="148">
        <v>4500</v>
      </c>
      <c r="O142" s="148">
        <v>4500</v>
      </c>
      <c r="P142" s="147">
        <v>4500</v>
      </c>
      <c r="Q142" s="147">
        <v>4500</v>
      </c>
      <c r="R142" s="147">
        <v>4500</v>
      </c>
      <c r="S142" s="147">
        <v>4500</v>
      </c>
      <c r="T142" s="147">
        <v>4500</v>
      </c>
    </row>
    <row r="143" spans="1:27" ht="24" customHeight="1">
      <c r="A143" s="281" t="s">
        <v>130</v>
      </c>
      <c r="B143" s="215"/>
      <c r="C143" s="215"/>
      <c r="D143" s="281" t="s">
        <v>234</v>
      </c>
      <c r="E143" s="350"/>
      <c r="F143" s="350"/>
      <c r="G143" s="350"/>
      <c r="H143" s="350"/>
      <c r="I143" s="350"/>
      <c r="J143" s="350"/>
      <c r="K143" s="350"/>
      <c r="L143" s="224">
        <v>24048</v>
      </c>
      <c r="M143" s="224">
        <v>25663</v>
      </c>
      <c r="N143" s="151">
        <f t="shared" ref="N143:T143" si="27">21500+15000</f>
        <v>36500</v>
      </c>
      <c r="O143" s="151">
        <v>36500</v>
      </c>
      <c r="P143" s="150">
        <f t="shared" si="27"/>
        <v>36500</v>
      </c>
      <c r="Q143" s="150">
        <f t="shared" si="27"/>
        <v>36500</v>
      </c>
      <c r="R143" s="150">
        <f t="shared" si="27"/>
        <v>36500</v>
      </c>
      <c r="S143" s="150">
        <f t="shared" si="27"/>
        <v>36500</v>
      </c>
      <c r="T143" s="150">
        <f t="shared" si="27"/>
        <v>36500</v>
      </c>
      <c r="V143" s="149"/>
    </row>
    <row r="144" spans="1:27" ht="24" customHeight="1">
      <c r="A144" s="281" t="s">
        <v>129</v>
      </c>
      <c r="B144" s="215"/>
      <c r="C144" s="215"/>
      <c r="D144" s="281" t="s">
        <v>93</v>
      </c>
      <c r="E144" s="215"/>
      <c r="F144" s="215"/>
      <c r="G144" s="215"/>
      <c r="H144" s="215"/>
      <c r="I144" s="215"/>
      <c r="J144" s="215"/>
      <c r="K144" s="215"/>
      <c r="L144" s="222">
        <v>1218</v>
      </c>
      <c r="M144" s="222">
        <v>987</v>
      </c>
      <c r="N144" s="148">
        <v>1600</v>
      </c>
      <c r="O144" s="148">
        <v>1600</v>
      </c>
      <c r="P144" s="147">
        <v>1600</v>
      </c>
      <c r="Q144" s="147">
        <v>1600</v>
      </c>
      <c r="R144" s="147">
        <v>1600</v>
      </c>
      <c r="S144" s="147">
        <v>1600</v>
      </c>
      <c r="T144" s="147">
        <v>1600</v>
      </c>
    </row>
    <row r="145" spans="1:27" ht="24" customHeight="1">
      <c r="A145" s="281" t="s">
        <v>211</v>
      </c>
      <c r="B145" s="215"/>
      <c r="C145" s="215"/>
      <c r="D145" s="281" t="s">
        <v>1077</v>
      </c>
      <c r="E145" s="624"/>
      <c r="F145" s="624"/>
      <c r="G145" s="624"/>
      <c r="H145" s="624"/>
      <c r="I145" s="624"/>
      <c r="J145" s="624"/>
      <c r="K145" s="624"/>
      <c r="L145" s="224">
        <v>4315</v>
      </c>
      <c r="M145" s="224">
        <v>2175</v>
      </c>
      <c r="N145" s="151">
        <f t="shared" ref="N145:T145" si="28">1000+350</f>
        <v>1350</v>
      </c>
      <c r="O145" s="151">
        <v>1350</v>
      </c>
      <c r="P145" s="150">
        <f t="shared" si="28"/>
        <v>1350</v>
      </c>
      <c r="Q145" s="150">
        <f t="shared" si="28"/>
        <v>1350</v>
      </c>
      <c r="R145" s="150">
        <f t="shared" si="28"/>
        <v>1350</v>
      </c>
      <c r="S145" s="150">
        <f t="shared" si="28"/>
        <v>1350</v>
      </c>
      <c r="T145" s="150">
        <f t="shared" si="28"/>
        <v>1350</v>
      </c>
    </row>
    <row r="146" spans="1:27" ht="24" customHeight="1">
      <c r="A146" s="281" t="s">
        <v>128</v>
      </c>
      <c r="B146" s="624"/>
      <c r="C146" s="624"/>
      <c r="D146" s="281" t="s">
        <v>10</v>
      </c>
      <c r="E146" s="624"/>
      <c r="F146" s="624"/>
      <c r="G146" s="624"/>
      <c r="H146" s="624"/>
      <c r="I146" s="624"/>
      <c r="J146" s="624"/>
      <c r="K146" s="624"/>
      <c r="L146" s="224">
        <v>11249</v>
      </c>
      <c r="M146" s="224">
        <v>15288</v>
      </c>
      <c r="N146" s="151">
        <v>20000</v>
      </c>
      <c r="O146" s="151">
        <v>20000</v>
      </c>
      <c r="P146" s="150">
        <f>20000+15000</f>
        <v>35000</v>
      </c>
      <c r="Q146" s="150">
        <f>20000+9000</f>
        <v>29000</v>
      </c>
      <c r="R146" s="150">
        <f t="shared" ref="R146:T146" si="29">20000+9000</f>
        <v>29000</v>
      </c>
      <c r="S146" s="150">
        <f t="shared" si="29"/>
        <v>29000</v>
      </c>
      <c r="T146" s="150">
        <f t="shared" si="29"/>
        <v>29000</v>
      </c>
    </row>
    <row r="147" spans="1:27" ht="24" customHeight="1">
      <c r="A147" s="281" t="s">
        <v>127</v>
      </c>
      <c r="B147" s="215"/>
      <c r="C147" s="215"/>
      <c r="D147" s="281" t="s">
        <v>134</v>
      </c>
      <c r="E147" s="215"/>
      <c r="F147" s="215"/>
      <c r="G147" s="215"/>
      <c r="H147" s="215"/>
      <c r="I147" s="215"/>
      <c r="J147" s="215"/>
      <c r="K147" s="215"/>
      <c r="L147" s="225">
        <v>0</v>
      </c>
      <c r="M147" s="225">
        <v>0</v>
      </c>
      <c r="N147" s="148">
        <v>10000</v>
      </c>
      <c r="O147" s="148">
        <v>10000</v>
      </c>
      <c r="P147" s="147">
        <v>5000</v>
      </c>
      <c r="Q147" s="147">
        <v>5000</v>
      </c>
      <c r="R147" s="147">
        <v>5000</v>
      </c>
      <c r="S147" s="147">
        <v>5000</v>
      </c>
      <c r="T147" s="147">
        <v>5000</v>
      </c>
      <c r="V147" s="182"/>
      <c r="AA147" s="160"/>
    </row>
    <row r="148" spans="1:27" ht="24" customHeight="1">
      <c r="A148" s="281" t="s">
        <v>126</v>
      </c>
      <c r="B148" s="215"/>
      <c r="C148" s="215"/>
      <c r="D148" s="281" t="s">
        <v>1013</v>
      </c>
      <c r="E148" s="215"/>
      <c r="F148" s="215"/>
      <c r="G148" s="215"/>
      <c r="H148" s="215"/>
      <c r="I148" s="215"/>
      <c r="J148" s="215"/>
      <c r="K148" s="215"/>
      <c r="L148" s="222">
        <v>16132</v>
      </c>
      <c r="M148" s="222">
        <v>17215</v>
      </c>
      <c r="N148" s="148">
        <v>20000</v>
      </c>
      <c r="O148" s="148">
        <v>20000</v>
      </c>
      <c r="P148" s="147">
        <v>20000</v>
      </c>
      <c r="Q148" s="147">
        <v>20000</v>
      </c>
      <c r="R148" s="147">
        <v>20000</v>
      </c>
      <c r="S148" s="147">
        <v>20000</v>
      </c>
      <c r="T148" s="147">
        <v>20000</v>
      </c>
      <c r="V148" s="182"/>
    </row>
    <row r="149" spans="1:27" ht="24" customHeight="1">
      <c r="A149" s="281" t="s">
        <v>125</v>
      </c>
      <c r="B149" s="215"/>
      <c r="C149" s="215"/>
      <c r="D149" s="704" t="s">
        <v>1421</v>
      </c>
      <c r="E149" s="215"/>
      <c r="F149" s="282"/>
      <c r="G149" s="282"/>
      <c r="H149" s="282"/>
      <c r="I149" s="282"/>
      <c r="J149" s="282"/>
      <c r="K149" s="282"/>
      <c r="L149" s="222">
        <v>12434</v>
      </c>
      <c r="M149" s="222">
        <v>13269</v>
      </c>
      <c r="N149" s="148">
        <v>15000</v>
      </c>
      <c r="O149" s="148">
        <v>15000</v>
      </c>
      <c r="P149" s="147">
        <f>15000+2500</f>
        <v>17500</v>
      </c>
      <c r="Q149" s="147">
        <f t="shared" ref="Q149:T149" si="30">15000+2500</f>
        <v>17500</v>
      </c>
      <c r="R149" s="147">
        <f t="shared" si="30"/>
        <v>17500</v>
      </c>
      <c r="S149" s="147">
        <f t="shared" si="30"/>
        <v>17500</v>
      </c>
      <c r="T149" s="147">
        <f t="shared" si="30"/>
        <v>17500</v>
      </c>
    </row>
    <row r="150" spans="1:27" ht="24" customHeight="1">
      <c r="A150" s="281" t="s">
        <v>255</v>
      </c>
      <c r="B150" s="215"/>
      <c r="C150" s="215"/>
      <c r="D150" s="281" t="s">
        <v>1388</v>
      </c>
      <c r="E150" s="215"/>
      <c r="F150" s="215"/>
      <c r="G150" s="215"/>
      <c r="H150" s="215"/>
      <c r="I150" s="215"/>
      <c r="J150" s="215"/>
      <c r="K150" s="215"/>
      <c r="L150" s="222">
        <v>3118</v>
      </c>
      <c r="M150" s="222">
        <v>2609</v>
      </c>
      <c r="N150" s="148">
        <v>4000</v>
      </c>
      <c r="O150" s="148">
        <v>4000</v>
      </c>
      <c r="P150" s="147">
        <v>4000</v>
      </c>
      <c r="Q150" s="147">
        <v>4000</v>
      </c>
      <c r="R150" s="147">
        <v>4000</v>
      </c>
      <c r="S150" s="147">
        <v>4000</v>
      </c>
      <c r="T150" s="147">
        <v>4000</v>
      </c>
    </row>
    <row r="151" spans="1:27" ht="24" customHeight="1">
      <c r="A151" s="281" t="s">
        <v>210</v>
      </c>
      <c r="B151" s="282"/>
      <c r="C151" s="282"/>
      <c r="D151" s="129" t="s">
        <v>740</v>
      </c>
      <c r="E151" s="282"/>
      <c r="F151" s="215"/>
      <c r="G151" s="215"/>
      <c r="H151" s="215"/>
      <c r="I151" s="215"/>
      <c r="J151" s="215"/>
      <c r="K151" s="215"/>
      <c r="L151" s="224">
        <v>6660</v>
      </c>
      <c r="M151" s="224">
        <v>6660</v>
      </c>
      <c r="N151" s="151">
        <v>7000</v>
      </c>
      <c r="O151" s="151">
        <v>7000</v>
      </c>
      <c r="P151" s="150">
        <v>7000</v>
      </c>
      <c r="Q151" s="150">
        <v>7000</v>
      </c>
      <c r="R151" s="150">
        <v>7000</v>
      </c>
      <c r="S151" s="150">
        <v>7000</v>
      </c>
      <c r="T151" s="150">
        <v>7000</v>
      </c>
    </row>
    <row r="152" spans="1:27" ht="24" customHeight="1">
      <c r="A152" s="281" t="s">
        <v>661</v>
      </c>
      <c r="B152" s="282"/>
      <c r="C152" s="282"/>
      <c r="D152" s="281" t="s">
        <v>90</v>
      </c>
      <c r="E152" s="630"/>
      <c r="F152" s="631"/>
      <c r="G152" s="631"/>
      <c r="H152" s="631"/>
      <c r="I152" s="631"/>
      <c r="J152" s="631"/>
      <c r="K152" s="631"/>
      <c r="L152" s="226">
        <v>6384</v>
      </c>
      <c r="M152" s="226">
        <v>6344</v>
      </c>
      <c r="N152" s="156">
        <v>7000</v>
      </c>
      <c r="O152" s="156">
        <v>7000</v>
      </c>
      <c r="P152" s="155">
        <v>7000</v>
      </c>
      <c r="Q152" s="155">
        <v>7000</v>
      </c>
      <c r="R152" s="155">
        <v>7000</v>
      </c>
      <c r="S152" s="155">
        <v>7000</v>
      </c>
      <c r="T152" s="155">
        <v>7000</v>
      </c>
    </row>
    <row r="153" spans="1:27" ht="24" customHeight="1">
      <c r="A153" s="281" t="s">
        <v>222</v>
      </c>
      <c r="B153" s="215"/>
      <c r="C153" s="215"/>
      <c r="D153" s="281" t="s">
        <v>1079</v>
      </c>
      <c r="E153" s="627"/>
      <c r="F153" s="627"/>
      <c r="G153" s="627"/>
      <c r="H153" s="627"/>
      <c r="I153" s="627"/>
      <c r="J153" s="627"/>
      <c r="K153" s="627"/>
      <c r="L153" s="226">
        <v>39976</v>
      </c>
      <c r="M153" s="226">
        <v>54303</v>
      </c>
      <c r="N153" s="156">
        <v>55000</v>
      </c>
      <c r="O153" s="156">
        <v>55000</v>
      </c>
      <c r="P153" s="155">
        <v>55000</v>
      </c>
      <c r="Q153" s="155">
        <v>55000</v>
      </c>
      <c r="R153" s="155">
        <v>55000</v>
      </c>
      <c r="S153" s="155">
        <v>55000</v>
      </c>
      <c r="T153" s="155">
        <v>55000</v>
      </c>
      <c r="V153" s="149"/>
      <c r="Y153" s="149"/>
    </row>
    <row r="154" spans="1:27" ht="24" customHeight="1">
      <c r="A154" s="281" t="s">
        <v>141</v>
      </c>
      <c r="B154" s="215"/>
      <c r="C154" s="215"/>
      <c r="D154" s="281" t="s">
        <v>100</v>
      </c>
      <c r="E154" s="215"/>
      <c r="F154" s="215"/>
      <c r="G154" s="215"/>
      <c r="H154" s="215"/>
      <c r="I154" s="215"/>
      <c r="J154" s="215"/>
      <c r="K154" s="215"/>
      <c r="L154" s="222">
        <v>18424</v>
      </c>
      <c r="M154" s="222">
        <v>9775</v>
      </c>
      <c r="N154" s="156">
        <v>20000</v>
      </c>
      <c r="O154" s="156">
        <v>20000</v>
      </c>
      <c r="P154" s="155">
        <v>20000</v>
      </c>
      <c r="Q154" s="155">
        <v>20000</v>
      </c>
      <c r="R154" s="155">
        <v>20000</v>
      </c>
      <c r="S154" s="155">
        <v>20000</v>
      </c>
      <c r="T154" s="155">
        <v>20000</v>
      </c>
      <c r="V154" s="182"/>
    </row>
    <row r="155" spans="1:27" ht="24" customHeight="1">
      <c r="A155" s="281" t="s">
        <v>140</v>
      </c>
      <c r="B155" s="215"/>
      <c r="C155" s="215"/>
      <c r="D155" s="281" t="s">
        <v>11</v>
      </c>
      <c r="E155" s="215"/>
      <c r="F155" s="215"/>
      <c r="G155" s="215"/>
      <c r="H155" s="215"/>
      <c r="I155" s="215"/>
      <c r="J155" s="215"/>
      <c r="K155" s="215"/>
      <c r="L155" s="222">
        <v>2495</v>
      </c>
      <c r="M155" s="222">
        <v>2676</v>
      </c>
      <c r="N155" s="148">
        <f>4500</f>
        <v>4500</v>
      </c>
      <c r="O155" s="148">
        <v>4500</v>
      </c>
      <c r="P155" s="147">
        <f>4500</f>
        <v>4500</v>
      </c>
      <c r="Q155" s="147">
        <v>4500</v>
      </c>
      <c r="R155" s="147">
        <v>4500</v>
      </c>
      <c r="S155" s="147">
        <v>4500</v>
      </c>
      <c r="T155" s="147">
        <v>4500</v>
      </c>
    </row>
    <row r="156" spans="1:27" ht="24" customHeight="1">
      <c r="A156" s="281" t="s">
        <v>139</v>
      </c>
      <c r="B156" s="215"/>
      <c r="C156" s="215"/>
      <c r="D156" s="281" t="s">
        <v>12</v>
      </c>
      <c r="E156" s="215"/>
      <c r="F156" s="215"/>
      <c r="G156" s="215"/>
      <c r="H156" s="215"/>
      <c r="I156" s="215"/>
      <c r="J156" s="215"/>
      <c r="K156" s="215"/>
      <c r="L156" s="222">
        <v>5168</v>
      </c>
      <c r="M156" s="222">
        <v>43711</v>
      </c>
      <c r="N156" s="148">
        <f>10000+25000-25000</f>
        <v>10000</v>
      </c>
      <c r="O156" s="148">
        <v>10000</v>
      </c>
      <c r="P156" s="147">
        <f>10000+55000</f>
        <v>65000</v>
      </c>
      <c r="Q156" s="147">
        <v>10000</v>
      </c>
      <c r="R156" s="147">
        <v>10000</v>
      </c>
      <c r="S156" s="147">
        <v>10000</v>
      </c>
      <c r="T156" s="147">
        <v>10000</v>
      </c>
    </row>
    <row r="157" spans="1:27" ht="24" customHeight="1">
      <c r="A157" s="281" t="s">
        <v>138</v>
      </c>
      <c r="B157" s="619"/>
      <c r="C157" s="619"/>
      <c r="D157" s="281" t="s">
        <v>243</v>
      </c>
      <c r="E157" s="619"/>
      <c r="F157" s="619"/>
      <c r="G157" s="619"/>
      <c r="H157" s="619"/>
      <c r="I157" s="619"/>
      <c r="J157" s="619"/>
      <c r="K157" s="619"/>
      <c r="L157" s="222">
        <v>7792</v>
      </c>
      <c r="M157" s="222">
        <v>12959</v>
      </c>
      <c r="N157" s="148">
        <v>12000</v>
      </c>
      <c r="O157" s="148">
        <v>12000</v>
      </c>
      <c r="P157" s="147">
        <v>12000</v>
      </c>
      <c r="Q157" s="147">
        <v>12000</v>
      </c>
      <c r="R157" s="147">
        <v>12000</v>
      </c>
      <c r="S157" s="147">
        <v>12000</v>
      </c>
      <c r="T157" s="147">
        <v>12000</v>
      </c>
    </row>
    <row r="158" spans="1:27" ht="24" customHeight="1">
      <c r="A158" s="281" t="s">
        <v>221</v>
      </c>
      <c r="B158" s="215"/>
      <c r="C158" s="215"/>
      <c r="D158" s="281" t="s">
        <v>1078</v>
      </c>
      <c r="E158" s="215"/>
      <c r="F158" s="215"/>
      <c r="G158" s="215"/>
      <c r="H158" s="215"/>
      <c r="I158" s="215"/>
      <c r="J158" s="215"/>
      <c r="K158" s="215"/>
      <c r="L158" s="224">
        <v>1479</v>
      </c>
      <c r="M158" s="224">
        <v>242</v>
      </c>
      <c r="N158" s="151">
        <v>6500</v>
      </c>
      <c r="O158" s="151">
        <v>6500</v>
      </c>
      <c r="P158" s="150">
        <v>6500</v>
      </c>
      <c r="Q158" s="150">
        <v>6500</v>
      </c>
      <c r="R158" s="150">
        <v>6500</v>
      </c>
      <c r="S158" s="150">
        <v>6500</v>
      </c>
      <c r="T158" s="150">
        <v>6500</v>
      </c>
    </row>
    <row r="159" spans="1:27" ht="24" customHeight="1">
      <c r="A159" s="281" t="s">
        <v>741</v>
      </c>
      <c r="B159" s="215"/>
      <c r="C159" s="215"/>
      <c r="D159" s="281" t="s">
        <v>742</v>
      </c>
      <c r="E159" s="215"/>
      <c r="F159" s="215"/>
      <c r="G159" s="215"/>
      <c r="H159" s="215"/>
      <c r="I159" s="215"/>
      <c r="J159" s="215"/>
      <c r="K159" s="215"/>
      <c r="L159" s="224">
        <v>7311</v>
      </c>
      <c r="M159" s="224">
        <v>0</v>
      </c>
      <c r="N159" s="151">
        <v>3000</v>
      </c>
      <c r="O159" s="151">
        <v>3000</v>
      </c>
      <c r="P159" s="150">
        <v>3000</v>
      </c>
      <c r="Q159" s="150">
        <v>3000</v>
      </c>
      <c r="R159" s="150">
        <v>3000</v>
      </c>
      <c r="S159" s="150">
        <v>3000</v>
      </c>
      <c r="T159" s="150">
        <v>3000</v>
      </c>
    </row>
    <row r="160" spans="1:27" ht="24" customHeight="1">
      <c r="A160" s="281" t="s">
        <v>229</v>
      </c>
      <c r="B160" s="215"/>
      <c r="C160" s="215"/>
      <c r="D160" s="281" t="s">
        <v>1293</v>
      </c>
      <c r="E160" s="483"/>
      <c r="F160" s="483"/>
      <c r="G160" s="483"/>
      <c r="H160" s="483"/>
      <c r="I160" s="483"/>
      <c r="J160" s="483"/>
      <c r="K160" s="483"/>
      <c r="L160" s="222">
        <v>8009</v>
      </c>
      <c r="M160" s="222">
        <v>3035</v>
      </c>
      <c r="N160" s="148">
        <v>4200</v>
      </c>
      <c r="O160" s="148">
        <v>4200</v>
      </c>
      <c r="P160" s="147">
        <v>4200</v>
      </c>
      <c r="Q160" s="147">
        <v>4200</v>
      </c>
      <c r="R160" s="147">
        <v>4200</v>
      </c>
      <c r="S160" s="147">
        <v>4200</v>
      </c>
      <c r="T160" s="147">
        <v>4200</v>
      </c>
    </row>
    <row r="161" spans="1:30" ht="24" customHeight="1">
      <c r="A161" s="281" t="s">
        <v>137</v>
      </c>
      <c r="B161" s="215"/>
      <c r="C161" s="215"/>
      <c r="D161" s="657" t="s">
        <v>143</v>
      </c>
      <c r="E161" s="656"/>
      <c r="F161" s="656"/>
      <c r="G161" s="656"/>
      <c r="H161" s="656"/>
      <c r="I161" s="656"/>
      <c r="J161" s="656"/>
      <c r="K161" s="656"/>
      <c r="L161" s="224">
        <v>78917</v>
      </c>
      <c r="M161" s="224">
        <v>65888</v>
      </c>
      <c r="N161" s="151">
        <v>90000</v>
      </c>
      <c r="O161" s="151">
        <v>90000</v>
      </c>
      <c r="P161" s="150">
        <f>ROUND(75000*1.07,0)</f>
        <v>80250</v>
      </c>
      <c r="Q161" s="150">
        <f>ROUND(P161*1.07,0)</f>
        <v>85868</v>
      </c>
      <c r="R161" s="150">
        <f>ROUND(Q161*1.07,0)</f>
        <v>91879</v>
      </c>
      <c r="S161" s="150">
        <f>ROUND(R161*1.07,0)</f>
        <v>98311</v>
      </c>
      <c r="T161" s="150">
        <f>ROUND(S161*1.07,0)</f>
        <v>105193</v>
      </c>
      <c r="V161" s="152"/>
    </row>
    <row r="162" spans="1:30" ht="24" customHeight="1">
      <c r="A162" s="281" t="s">
        <v>136</v>
      </c>
      <c r="B162" s="215"/>
      <c r="C162" s="215"/>
      <c r="D162" s="281" t="s">
        <v>142</v>
      </c>
      <c r="E162" s="215"/>
      <c r="F162" s="215"/>
      <c r="G162" s="215"/>
      <c r="H162" s="215"/>
      <c r="I162" s="215"/>
      <c r="J162" s="215"/>
      <c r="K162" s="215"/>
      <c r="L162" s="229">
        <v>2990</v>
      </c>
      <c r="M162" s="229">
        <v>16368</v>
      </c>
      <c r="N162" s="174">
        <v>8000</v>
      </c>
      <c r="O162" s="174">
        <v>8000</v>
      </c>
      <c r="P162" s="162">
        <v>8000</v>
      </c>
      <c r="Q162" s="162">
        <v>8000</v>
      </c>
      <c r="R162" s="162">
        <v>8000</v>
      </c>
      <c r="S162" s="162">
        <v>8000</v>
      </c>
      <c r="T162" s="162">
        <v>8000</v>
      </c>
    </row>
    <row r="163" spans="1:30" s="215" customFormat="1" ht="24" customHeight="1">
      <c r="A163" s="281"/>
      <c r="D163" s="281"/>
      <c r="L163" s="244">
        <f t="shared" ref="L163" si="31">SUM(L122:L162)</f>
        <v>3812134</v>
      </c>
      <c r="M163" s="244">
        <f t="shared" ref="M163:T163" si="32">SUM(M122:M162)</f>
        <v>4315151</v>
      </c>
      <c r="N163" s="243">
        <f t="shared" si="32"/>
        <v>4978431</v>
      </c>
      <c r="O163" s="243">
        <f t="shared" ref="O163" si="33">SUM(O122:O162)</f>
        <v>4915593</v>
      </c>
      <c r="P163" s="244">
        <f t="shared" ref="P163:S163" si="34">SUM(P122:P162)</f>
        <v>5254785</v>
      </c>
      <c r="Q163" s="244">
        <f t="shared" si="34"/>
        <v>5399424</v>
      </c>
      <c r="R163" s="244">
        <f t="shared" si="34"/>
        <v>5585741</v>
      </c>
      <c r="S163" s="244">
        <f t="shared" si="34"/>
        <v>5806390</v>
      </c>
      <c r="T163" s="244">
        <f t="shared" si="32"/>
        <v>6046827</v>
      </c>
      <c r="U163" s="470"/>
    </row>
    <row r="164" spans="1:30" ht="15" customHeight="1">
      <c r="A164" s="281"/>
      <c r="B164" s="215"/>
      <c r="C164" s="215"/>
      <c r="D164" s="281"/>
      <c r="E164" s="215"/>
      <c r="F164" s="215"/>
      <c r="G164" s="215"/>
      <c r="H164" s="215"/>
      <c r="I164" s="215"/>
      <c r="J164" s="215"/>
      <c r="K164" s="215"/>
      <c r="L164" s="222"/>
      <c r="M164" s="222"/>
      <c r="N164" s="148"/>
      <c r="O164" s="148"/>
      <c r="P164" s="147"/>
      <c r="Q164" s="147"/>
      <c r="R164" s="147"/>
      <c r="S164" s="147"/>
      <c r="T164" s="147"/>
    </row>
    <row r="165" spans="1:30" ht="24" customHeight="1">
      <c r="A165" s="285" t="s">
        <v>615</v>
      </c>
      <c r="B165" s="654"/>
      <c r="C165" s="654"/>
      <c r="D165" s="654"/>
      <c r="E165" s="215"/>
      <c r="F165" s="215"/>
      <c r="G165" s="215"/>
      <c r="H165" s="215"/>
      <c r="I165" s="215"/>
      <c r="J165" s="215"/>
      <c r="K165" s="215"/>
      <c r="L165" s="231"/>
      <c r="M165" s="231"/>
      <c r="N165" s="166"/>
      <c r="O165" s="166"/>
      <c r="P165" s="165"/>
      <c r="Q165" s="165"/>
      <c r="R165" s="165"/>
      <c r="S165" s="165"/>
      <c r="T165" s="165"/>
    </row>
    <row r="166" spans="1:30" ht="24" customHeight="1">
      <c r="A166" s="281" t="s">
        <v>144</v>
      </c>
      <c r="B166" s="282"/>
      <c r="C166" s="282"/>
      <c r="D166" s="281" t="s">
        <v>933</v>
      </c>
      <c r="E166" s="356"/>
      <c r="F166" s="356"/>
      <c r="G166" s="356"/>
      <c r="H166" s="356"/>
      <c r="I166" s="356"/>
      <c r="J166" s="356"/>
      <c r="K166" s="356"/>
      <c r="L166" s="224">
        <v>218262</v>
      </c>
      <c r="M166" s="224">
        <v>292601</v>
      </c>
      <c r="N166" s="159">
        <v>309873</v>
      </c>
      <c r="O166" s="151">
        <v>309873</v>
      </c>
      <c r="P166" s="158">
        <v>333980</v>
      </c>
      <c r="Q166" s="158">
        <v>345452</v>
      </c>
      <c r="R166" s="158">
        <v>355816</v>
      </c>
      <c r="S166" s="158">
        <v>366490</v>
      </c>
      <c r="T166" s="158">
        <v>377485</v>
      </c>
      <c r="V166" s="418"/>
      <c r="W166" s="419"/>
      <c r="X166" s="419"/>
      <c r="Y166" s="419"/>
    </row>
    <row r="167" spans="1:30" ht="24" customHeight="1">
      <c r="A167" s="281" t="s">
        <v>625</v>
      </c>
      <c r="B167" s="284"/>
      <c r="C167" s="284"/>
      <c r="D167" s="281" t="s">
        <v>72</v>
      </c>
      <c r="E167" s="284"/>
      <c r="F167" s="284"/>
      <c r="G167" s="356"/>
      <c r="H167" s="356"/>
      <c r="I167" s="356"/>
      <c r="J167" s="356"/>
      <c r="K167" s="356"/>
      <c r="L167" s="224">
        <v>11575</v>
      </c>
      <c r="M167" s="224">
        <v>17821</v>
      </c>
      <c r="N167" s="151">
        <v>48000</v>
      </c>
      <c r="O167" s="151">
        <v>48000</v>
      </c>
      <c r="P167" s="150">
        <v>48000</v>
      </c>
      <c r="Q167" s="150">
        <v>48000</v>
      </c>
      <c r="R167" s="150">
        <v>48000</v>
      </c>
      <c r="S167" s="150">
        <v>48000</v>
      </c>
      <c r="T167" s="150">
        <v>48000</v>
      </c>
      <c r="V167" s="418"/>
      <c r="W167" s="419"/>
      <c r="X167" s="419"/>
      <c r="Y167" s="419"/>
      <c r="Z167" s="149"/>
      <c r="AD167" s="183"/>
    </row>
    <row r="168" spans="1:30" ht="24" customHeight="1">
      <c r="A168" s="281" t="s">
        <v>146</v>
      </c>
      <c r="B168" s="282"/>
      <c r="C168" s="282"/>
      <c r="D168" s="281" t="s">
        <v>8</v>
      </c>
      <c r="E168" s="356"/>
      <c r="F168" s="356"/>
      <c r="G168" s="356"/>
      <c r="H168" s="356"/>
      <c r="I168" s="356"/>
      <c r="J168" s="356"/>
      <c r="K168" s="356"/>
      <c r="L168" s="224">
        <v>24323</v>
      </c>
      <c r="M168" s="224">
        <v>33222</v>
      </c>
      <c r="N168" s="151">
        <v>34474</v>
      </c>
      <c r="O168" s="151">
        <v>34474</v>
      </c>
      <c r="P168" s="158">
        <v>36070</v>
      </c>
      <c r="Q168" s="150">
        <v>38691</v>
      </c>
      <c r="R168" s="150">
        <v>41453</v>
      </c>
      <c r="S168" s="150">
        <v>44419</v>
      </c>
      <c r="T168" s="150">
        <v>47563</v>
      </c>
      <c r="V168" s="418"/>
      <c r="W168" s="419"/>
      <c r="X168" s="419"/>
      <c r="Y168" s="419"/>
    </row>
    <row r="169" spans="1:30" ht="24" customHeight="1">
      <c r="A169" s="281" t="s">
        <v>145</v>
      </c>
      <c r="B169" s="215"/>
      <c r="C169" s="215"/>
      <c r="D169" s="281" t="s">
        <v>9</v>
      </c>
      <c r="E169" s="357"/>
      <c r="F169" s="357"/>
      <c r="G169" s="357"/>
      <c r="H169" s="357"/>
      <c r="I169" s="357"/>
      <c r="J169" s="357"/>
      <c r="K169" s="357"/>
      <c r="L169" s="224">
        <v>16823</v>
      </c>
      <c r="M169" s="224">
        <v>22825</v>
      </c>
      <c r="N169" s="159">
        <v>26784</v>
      </c>
      <c r="O169" s="151">
        <v>26784</v>
      </c>
      <c r="P169" s="158">
        <v>28597</v>
      </c>
      <c r="Q169" s="158">
        <v>29579</v>
      </c>
      <c r="R169" s="158">
        <v>30466</v>
      </c>
      <c r="S169" s="158">
        <v>31380</v>
      </c>
      <c r="T169" s="158">
        <v>32321</v>
      </c>
      <c r="V169" s="418"/>
      <c r="W169" s="419"/>
      <c r="X169" s="419"/>
      <c r="Y169" s="419"/>
    </row>
    <row r="170" spans="1:30" ht="24" customHeight="1">
      <c r="A170" s="281" t="s">
        <v>585</v>
      </c>
      <c r="B170" s="215"/>
      <c r="C170" s="215"/>
      <c r="D170" s="281" t="s">
        <v>13</v>
      </c>
      <c r="E170" s="357"/>
      <c r="F170" s="357"/>
      <c r="G170" s="357"/>
      <c r="H170" s="357"/>
      <c r="I170" s="357"/>
      <c r="J170" s="357"/>
      <c r="K170" s="357"/>
      <c r="L170" s="225">
        <v>59831</v>
      </c>
      <c r="M170" s="225">
        <v>76809</v>
      </c>
      <c r="N170" s="156">
        <v>82828</v>
      </c>
      <c r="O170" s="156">
        <f>ROUND(32414.86+(7*(5765.95-680.36))+(9*15)+16+14500,0)</f>
        <v>82665</v>
      </c>
      <c r="P170" s="155">
        <v>90833</v>
      </c>
      <c r="Q170" s="155">
        <v>98100</v>
      </c>
      <c r="R170" s="155">
        <v>105948</v>
      </c>
      <c r="S170" s="155">
        <v>114424</v>
      </c>
      <c r="T170" s="155">
        <v>123578</v>
      </c>
      <c r="V170" s="418"/>
      <c r="W170" s="419"/>
      <c r="X170" s="418"/>
      <c r="Y170" s="419"/>
      <c r="AA170" s="149"/>
    </row>
    <row r="171" spans="1:30" ht="24" customHeight="1">
      <c r="A171" s="281" t="s">
        <v>586</v>
      </c>
      <c r="B171" s="215"/>
      <c r="C171" s="215"/>
      <c r="D171" s="281" t="s">
        <v>182</v>
      </c>
      <c r="E171" s="357"/>
      <c r="F171" s="357"/>
      <c r="G171" s="357"/>
      <c r="H171" s="357"/>
      <c r="I171" s="357"/>
      <c r="J171" s="357"/>
      <c r="K171" s="357"/>
      <c r="L171" s="225">
        <v>359</v>
      </c>
      <c r="M171" s="225">
        <v>443</v>
      </c>
      <c r="N171" s="156">
        <v>447</v>
      </c>
      <c r="O171" s="156">
        <f>ROUND(163.68+(8*(40.92)),0)</f>
        <v>491</v>
      </c>
      <c r="P171" s="155">
        <v>445</v>
      </c>
      <c r="Q171" s="155">
        <v>445</v>
      </c>
      <c r="R171" s="155">
        <v>449</v>
      </c>
      <c r="S171" s="155">
        <v>453</v>
      </c>
      <c r="T171" s="155">
        <v>458</v>
      </c>
      <c r="V171" s="418"/>
      <c r="W171" s="419"/>
      <c r="X171" s="418"/>
      <c r="Y171" s="419"/>
      <c r="AA171" s="149"/>
    </row>
    <row r="172" spans="1:30" ht="24" customHeight="1">
      <c r="A172" s="281" t="s">
        <v>587</v>
      </c>
      <c r="B172" s="215"/>
      <c r="C172" s="215"/>
      <c r="D172" s="281" t="s">
        <v>600</v>
      </c>
      <c r="E172" s="357"/>
      <c r="F172" s="357"/>
      <c r="G172" s="357"/>
      <c r="H172" s="357"/>
      <c r="I172" s="357"/>
      <c r="J172" s="357"/>
      <c r="K172" s="357"/>
      <c r="L172" s="225">
        <v>3036</v>
      </c>
      <c r="M172" s="225">
        <v>5205</v>
      </c>
      <c r="N172" s="156">
        <v>5465</v>
      </c>
      <c r="O172" s="156">
        <f>ROUND(1995.32+(8*498.83),0)</f>
        <v>5986</v>
      </c>
      <c r="P172" s="155">
        <v>6570</v>
      </c>
      <c r="Q172" s="155">
        <v>6899</v>
      </c>
      <c r="R172" s="155">
        <v>7244</v>
      </c>
      <c r="S172" s="155">
        <v>7606</v>
      </c>
      <c r="T172" s="155">
        <v>7986</v>
      </c>
      <c r="V172" s="418"/>
      <c r="W172" s="419"/>
      <c r="X172" s="418"/>
      <c r="Y172" s="419"/>
      <c r="AA172" s="149"/>
    </row>
    <row r="173" spans="1:30" ht="24" customHeight="1">
      <c r="A173" s="281" t="s">
        <v>605</v>
      </c>
      <c r="B173" s="215"/>
      <c r="C173" s="215"/>
      <c r="D173" s="281" t="s">
        <v>602</v>
      </c>
      <c r="E173" s="357"/>
      <c r="F173" s="357"/>
      <c r="G173" s="357"/>
      <c r="H173" s="357"/>
      <c r="I173" s="357"/>
      <c r="J173" s="357"/>
      <c r="K173" s="357"/>
      <c r="L173" s="225">
        <v>379</v>
      </c>
      <c r="M173" s="225">
        <v>541</v>
      </c>
      <c r="N173" s="156">
        <v>557</v>
      </c>
      <c r="O173" s="156">
        <f>ROUND(243.84+(8*60.96),0)</f>
        <v>732</v>
      </c>
      <c r="P173" s="155">
        <v>732</v>
      </c>
      <c r="Q173" s="155">
        <v>754</v>
      </c>
      <c r="R173" s="155">
        <v>777</v>
      </c>
      <c r="S173" s="155">
        <v>800</v>
      </c>
      <c r="T173" s="155">
        <v>824</v>
      </c>
      <c r="V173" s="418"/>
      <c r="W173" s="419"/>
      <c r="X173" s="418"/>
      <c r="Y173" s="419"/>
      <c r="AA173" s="149"/>
    </row>
    <row r="174" spans="1:30" ht="24" customHeight="1">
      <c r="A174" s="281" t="s">
        <v>154</v>
      </c>
      <c r="B174" s="282"/>
      <c r="C174" s="282"/>
      <c r="D174" s="281" t="s">
        <v>95</v>
      </c>
      <c r="E174" s="282"/>
      <c r="F174" s="282"/>
      <c r="G174" s="282"/>
      <c r="H174" s="282"/>
      <c r="I174" s="282"/>
      <c r="J174" s="282"/>
      <c r="K174" s="282"/>
      <c r="L174" s="222">
        <v>1213</v>
      </c>
      <c r="M174" s="222">
        <v>2666</v>
      </c>
      <c r="N174" s="148">
        <v>5500</v>
      </c>
      <c r="O174" s="148">
        <v>5500</v>
      </c>
      <c r="P174" s="147">
        <v>6500</v>
      </c>
      <c r="Q174" s="147">
        <v>6500</v>
      </c>
      <c r="R174" s="147">
        <v>6500</v>
      </c>
      <c r="S174" s="147">
        <v>6500</v>
      </c>
      <c r="T174" s="147">
        <v>6500</v>
      </c>
      <c r="U174" s="147"/>
      <c r="V174" s="149"/>
    </row>
    <row r="175" spans="1:30" ht="24" customHeight="1">
      <c r="A175" s="281" t="s">
        <v>153</v>
      </c>
      <c r="B175" s="215"/>
      <c r="C175" s="215"/>
      <c r="D175" s="281" t="s">
        <v>1075</v>
      </c>
      <c r="E175" s="215"/>
      <c r="F175" s="215"/>
      <c r="G175" s="215"/>
      <c r="H175" s="215"/>
      <c r="I175" s="215"/>
      <c r="J175" s="215"/>
      <c r="K175" s="215"/>
      <c r="L175" s="222">
        <v>281</v>
      </c>
      <c r="M175" s="222">
        <v>1670</v>
      </c>
      <c r="N175" s="148">
        <v>4000</v>
      </c>
      <c r="O175" s="148">
        <v>4000</v>
      </c>
      <c r="P175" s="147">
        <v>4000</v>
      </c>
      <c r="Q175" s="147">
        <v>4000</v>
      </c>
      <c r="R175" s="147">
        <v>4000</v>
      </c>
      <c r="S175" s="147">
        <v>4000</v>
      </c>
      <c r="T175" s="147">
        <v>4000</v>
      </c>
      <c r="V175" s="418"/>
      <c r="W175" s="419"/>
      <c r="X175" s="727"/>
    </row>
    <row r="176" spans="1:30" ht="24" customHeight="1">
      <c r="A176" s="281" t="s">
        <v>152</v>
      </c>
      <c r="B176" s="282"/>
      <c r="C176" s="282"/>
      <c r="D176" s="281" t="s">
        <v>94</v>
      </c>
      <c r="E176" s="282"/>
      <c r="F176" s="282"/>
      <c r="G176" s="282"/>
      <c r="H176" s="282"/>
      <c r="I176" s="282"/>
      <c r="J176" s="282"/>
      <c r="K176" s="282"/>
      <c r="L176" s="222">
        <v>1371</v>
      </c>
      <c r="M176" s="222">
        <v>218</v>
      </c>
      <c r="N176" s="148">
        <v>1000</v>
      </c>
      <c r="O176" s="148">
        <v>1000</v>
      </c>
      <c r="P176" s="147">
        <v>1000</v>
      </c>
      <c r="Q176" s="147">
        <v>1000</v>
      </c>
      <c r="R176" s="147">
        <v>1000</v>
      </c>
      <c r="S176" s="147">
        <v>1000</v>
      </c>
      <c r="T176" s="147">
        <v>1000</v>
      </c>
    </row>
    <row r="177" spans="1:28" ht="24" customHeight="1">
      <c r="A177" s="281" t="s">
        <v>151</v>
      </c>
      <c r="B177" s="215"/>
      <c r="C177" s="215"/>
      <c r="D177" s="281" t="s">
        <v>1076</v>
      </c>
      <c r="E177" s="215"/>
      <c r="F177" s="215"/>
      <c r="G177" s="215"/>
      <c r="H177" s="215"/>
      <c r="I177" s="215"/>
      <c r="J177" s="215"/>
      <c r="K177" s="215"/>
      <c r="L177" s="224">
        <v>1400</v>
      </c>
      <c r="M177" s="224">
        <v>1609</v>
      </c>
      <c r="N177" s="151">
        <v>2500</v>
      </c>
      <c r="O177" s="151">
        <v>2500</v>
      </c>
      <c r="P177" s="150">
        <v>2500</v>
      </c>
      <c r="Q177" s="150">
        <v>2500</v>
      </c>
      <c r="R177" s="150">
        <v>2500</v>
      </c>
      <c r="S177" s="150">
        <v>2500</v>
      </c>
      <c r="T177" s="150">
        <v>2500</v>
      </c>
    </row>
    <row r="178" spans="1:28" ht="24" customHeight="1">
      <c r="A178" s="281" t="s">
        <v>150</v>
      </c>
      <c r="B178" s="282"/>
      <c r="C178" s="282"/>
      <c r="D178" s="281" t="s">
        <v>234</v>
      </c>
      <c r="E178" s="282"/>
      <c r="F178" s="282"/>
      <c r="G178" s="282"/>
      <c r="H178" s="282"/>
      <c r="I178" s="282"/>
      <c r="J178" s="282"/>
      <c r="K178" s="282"/>
      <c r="L178" s="222">
        <v>2198</v>
      </c>
      <c r="M178" s="222">
        <v>2533</v>
      </c>
      <c r="N178" s="148">
        <v>3000</v>
      </c>
      <c r="O178" s="148">
        <v>3000</v>
      </c>
      <c r="P178" s="147">
        <v>3000</v>
      </c>
      <c r="Q178" s="147">
        <v>3000</v>
      </c>
      <c r="R178" s="147">
        <v>3000</v>
      </c>
      <c r="S178" s="147">
        <v>3000</v>
      </c>
      <c r="T178" s="147">
        <v>3000</v>
      </c>
      <c r="V178" s="149"/>
      <c r="AB178" s="183"/>
    </row>
    <row r="179" spans="1:28" ht="24" customHeight="1">
      <c r="A179" s="281" t="s">
        <v>149</v>
      </c>
      <c r="B179" s="215"/>
      <c r="C179" s="215"/>
      <c r="D179" s="281" t="s">
        <v>93</v>
      </c>
      <c r="E179" s="215"/>
      <c r="F179" s="215"/>
      <c r="G179" s="215"/>
      <c r="H179" s="215"/>
      <c r="I179" s="215"/>
      <c r="J179" s="215"/>
      <c r="K179" s="215"/>
      <c r="L179" s="224">
        <v>906</v>
      </c>
      <c r="M179" s="224">
        <v>265</v>
      </c>
      <c r="N179" s="151">
        <v>1000</v>
      </c>
      <c r="O179" s="151">
        <v>1000</v>
      </c>
      <c r="P179" s="150">
        <v>1000</v>
      </c>
      <c r="Q179" s="150">
        <v>1000</v>
      </c>
      <c r="R179" s="150">
        <v>1000</v>
      </c>
      <c r="S179" s="150">
        <v>1000</v>
      </c>
      <c r="T179" s="150">
        <v>1000</v>
      </c>
    </row>
    <row r="180" spans="1:28" ht="24" customHeight="1">
      <c r="A180" s="281" t="s">
        <v>236</v>
      </c>
      <c r="B180" s="215"/>
      <c r="C180" s="215"/>
      <c r="D180" s="645" t="s">
        <v>237</v>
      </c>
      <c r="E180" s="646"/>
      <c r="F180" s="646"/>
      <c r="G180" s="646"/>
      <c r="H180" s="646"/>
      <c r="I180" s="646"/>
      <c r="J180" s="646"/>
      <c r="K180" s="646"/>
      <c r="L180" s="222">
        <v>680</v>
      </c>
      <c r="M180" s="222">
        <v>1840</v>
      </c>
      <c r="N180" s="148">
        <v>5000</v>
      </c>
      <c r="O180" s="148">
        <v>5000</v>
      </c>
      <c r="P180" s="147">
        <v>5000</v>
      </c>
      <c r="Q180" s="147">
        <v>5000</v>
      </c>
      <c r="R180" s="147">
        <v>5000</v>
      </c>
      <c r="S180" s="147">
        <v>5000</v>
      </c>
      <c r="T180" s="147">
        <v>5000</v>
      </c>
    </row>
    <row r="181" spans="1:28" ht="24" customHeight="1">
      <c r="A181" s="281" t="s">
        <v>212</v>
      </c>
      <c r="B181" s="282"/>
      <c r="C181" s="282"/>
      <c r="D181" s="281" t="s">
        <v>1077</v>
      </c>
      <c r="E181" s="282"/>
      <c r="F181" s="282"/>
      <c r="G181" s="215"/>
      <c r="H181" s="215"/>
      <c r="I181" s="215"/>
      <c r="J181" s="215"/>
      <c r="K181" s="215"/>
      <c r="L181" s="222">
        <v>1943</v>
      </c>
      <c r="M181" s="222">
        <v>1701</v>
      </c>
      <c r="N181" s="148">
        <v>2000</v>
      </c>
      <c r="O181" s="148">
        <v>2000</v>
      </c>
      <c r="P181" s="147">
        <v>2000</v>
      </c>
      <c r="Q181" s="147">
        <v>2000</v>
      </c>
      <c r="R181" s="147">
        <v>2000</v>
      </c>
      <c r="S181" s="147">
        <v>2000</v>
      </c>
      <c r="T181" s="147">
        <v>2000</v>
      </c>
    </row>
    <row r="182" spans="1:28" ht="24" customHeight="1">
      <c r="A182" s="281" t="s">
        <v>148</v>
      </c>
      <c r="B182" s="215"/>
      <c r="C182" s="215"/>
      <c r="D182" s="281" t="s">
        <v>10</v>
      </c>
      <c r="E182" s="215"/>
      <c r="F182" s="215"/>
      <c r="G182" s="215"/>
      <c r="H182" s="215"/>
      <c r="I182" s="215"/>
      <c r="J182" s="215"/>
      <c r="K182" s="215"/>
      <c r="L182" s="222">
        <v>5030</v>
      </c>
      <c r="M182" s="222">
        <v>73607</v>
      </c>
      <c r="N182" s="148">
        <f>50000+6000+5000</f>
        <v>61000</v>
      </c>
      <c r="O182" s="148">
        <f>36000+25000</f>
        <v>61000</v>
      </c>
      <c r="P182" s="147">
        <f>36000+5000</f>
        <v>41000</v>
      </c>
      <c r="Q182" s="147">
        <f>10000+5000</f>
        <v>15000</v>
      </c>
      <c r="R182" s="147">
        <f t="shared" ref="R182:T182" si="35">10000+5000</f>
        <v>15000</v>
      </c>
      <c r="S182" s="147">
        <f t="shared" si="35"/>
        <v>15000</v>
      </c>
      <c r="T182" s="147">
        <f t="shared" si="35"/>
        <v>15000</v>
      </c>
    </row>
    <row r="183" spans="1:28" ht="24" customHeight="1">
      <c r="A183" s="281" t="s">
        <v>147</v>
      </c>
      <c r="B183" s="282"/>
      <c r="C183" s="282"/>
      <c r="D183" s="281" t="s">
        <v>134</v>
      </c>
      <c r="E183" s="282"/>
      <c r="F183" s="282"/>
      <c r="G183" s="282"/>
      <c r="H183" s="282"/>
      <c r="I183" s="282"/>
      <c r="J183" s="282"/>
      <c r="K183" s="282"/>
      <c r="L183" s="222">
        <v>485</v>
      </c>
      <c r="M183" s="222">
        <v>277</v>
      </c>
      <c r="N183" s="148">
        <v>2000</v>
      </c>
      <c r="O183" s="148">
        <v>2000</v>
      </c>
      <c r="P183" s="147">
        <v>2500</v>
      </c>
      <c r="Q183" s="147">
        <v>2500</v>
      </c>
      <c r="R183" s="147">
        <v>2500</v>
      </c>
      <c r="S183" s="147">
        <v>2500</v>
      </c>
      <c r="T183" s="147">
        <v>2500</v>
      </c>
    </row>
    <row r="184" spans="1:28" ht="24" customHeight="1">
      <c r="A184" s="281" t="s">
        <v>662</v>
      </c>
      <c r="B184" s="282"/>
      <c r="C184" s="282"/>
      <c r="D184" s="281" t="s">
        <v>90</v>
      </c>
      <c r="E184" s="282"/>
      <c r="F184" s="282"/>
      <c r="G184" s="282"/>
      <c r="H184" s="282"/>
      <c r="I184" s="282"/>
      <c r="J184" s="282"/>
      <c r="K184" s="282"/>
      <c r="L184" s="222">
        <v>2601</v>
      </c>
      <c r="M184" s="222">
        <v>3468</v>
      </c>
      <c r="N184" s="148">
        <v>2900</v>
      </c>
      <c r="O184" s="148">
        <v>2900</v>
      </c>
      <c r="P184" s="147">
        <v>3000</v>
      </c>
      <c r="Q184" s="147">
        <v>3000</v>
      </c>
      <c r="R184" s="147">
        <v>3000</v>
      </c>
      <c r="S184" s="147">
        <v>3000</v>
      </c>
      <c r="T184" s="147">
        <v>3000</v>
      </c>
    </row>
    <row r="185" spans="1:28" ht="24" customHeight="1">
      <c r="A185" s="707" t="s">
        <v>1422</v>
      </c>
      <c r="B185" s="706"/>
      <c r="C185" s="706"/>
      <c r="D185" s="707" t="s">
        <v>15</v>
      </c>
      <c r="E185" s="706"/>
      <c r="F185" s="706"/>
      <c r="G185" s="705"/>
      <c r="H185" s="705"/>
      <c r="I185" s="705"/>
      <c r="J185" s="705"/>
      <c r="K185" s="705"/>
      <c r="L185" s="224">
        <v>46800</v>
      </c>
      <c r="M185" s="224">
        <v>46800</v>
      </c>
      <c r="N185" s="151">
        <v>75000</v>
      </c>
      <c r="O185" s="151">
        <v>75000</v>
      </c>
      <c r="P185" s="150">
        <f>ROUND((15*52)*145,0)</f>
        <v>113100</v>
      </c>
      <c r="Q185" s="150">
        <f t="shared" ref="Q185:R185" si="36">ROUND((15*52)*145,0)</f>
        <v>113100</v>
      </c>
      <c r="R185" s="150">
        <f t="shared" si="36"/>
        <v>113100</v>
      </c>
      <c r="S185" s="150">
        <v>120000</v>
      </c>
      <c r="T185" s="150">
        <v>120000</v>
      </c>
    </row>
    <row r="186" spans="1:28" ht="24" customHeight="1">
      <c r="A186" s="281" t="s">
        <v>158</v>
      </c>
      <c r="B186" s="282"/>
      <c r="C186" s="282"/>
      <c r="D186" s="281" t="s">
        <v>11</v>
      </c>
      <c r="E186" s="282"/>
      <c r="F186" s="282"/>
      <c r="G186" s="282"/>
      <c r="H186" s="282"/>
      <c r="I186" s="282"/>
      <c r="J186" s="282"/>
      <c r="K186" s="282"/>
      <c r="L186" s="222">
        <v>440</v>
      </c>
      <c r="M186" s="222">
        <v>455</v>
      </c>
      <c r="N186" s="148">
        <f>4500-3600</f>
        <v>900</v>
      </c>
      <c r="O186" s="148">
        <v>900</v>
      </c>
      <c r="P186" s="147">
        <v>1500</v>
      </c>
      <c r="Q186" s="147">
        <v>900</v>
      </c>
      <c r="R186" s="147">
        <v>900</v>
      </c>
      <c r="S186" s="147">
        <v>900</v>
      </c>
      <c r="T186" s="147">
        <v>900</v>
      </c>
    </row>
    <row r="187" spans="1:28" ht="24" customHeight="1">
      <c r="A187" s="281" t="s">
        <v>157</v>
      </c>
      <c r="B187" s="215"/>
      <c r="C187" s="215"/>
      <c r="D187" s="281" t="s">
        <v>12</v>
      </c>
      <c r="E187" s="215"/>
      <c r="F187" s="215"/>
      <c r="G187" s="215"/>
      <c r="H187" s="215"/>
      <c r="I187" s="215"/>
      <c r="J187" s="215"/>
      <c r="K187" s="215"/>
      <c r="L187" s="222">
        <f>2991+40</f>
        <v>3031</v>
      </c>
      <c r="M187" s="222">
        <v>3842</v>
      </c>
      <c r="N187" s="148">
        <v>3000</v>
      </c>
      <c r="O187" s="148">
        <v>3000</v>
      </c>
      <c r="P187" s="147">
        <v>3000</v>
      </c>
      <c r="Q187" s="147">
        <v>3000</v>
      </c>
      <c r="R187" s="147">
        <v>3000</v>
      </c>
      <c r="S187" s="147">
        <v>3000</v>
      </c>
      <c r="T187" s="147">
        <v>3000</v>
      </c>
    </row>
    <row r="188" spans="1:28" ht="24" customHeight="1">
      <c r="A188" s="281" t="s">
        <v>156</v>
      </c>
      <c r="B188" s="628"/>
      <c r="C188" s="628"/>
      <c r="D188" s="281" t="s">
        <v>243</v>
      </c>
      <c r="E188" s="628"/>
      <c r="F188" s="628"/>
      <c r="G188" s="628"/>
      <c r="H188" s="628"/>
      <c r="I188" s="628"/>
      <c r="J188" s="628"/>
      <c r="K188" s="628"/>
      <c r="L188" s="224">
        <v>1321</v>
      </c>
      <c r="M188" s="224">
        <v>0</v>
      </c>
      <c r="N188" s="151">
        <v>3500</v>
      </c>
      <c r="O188" s="151">
        <v>3500</v>
      </c>
      <c r="P188" s="150">
        <v>3500</v>
      </c>
      <c r="Q188" s="150">
        <v>3500</v>
      </c>
      <c r="R188" s="150">
        <v>3500</v>
      </c>
      <c r="S188" s="150">
        <v>3500</v>
      </c>
      <c r="T188" s="150">
        <v>3500</v>
      </c>
    </row>
    <row r="189" spans="1:28" ht="24" customHeight="1">
      <c r="A189" s="281" t="s">
        <v>155</v>
      </c>
      <c r="B189" s="215"/>
      <c r="C189" s="215"/>
      <c r="D189" s="281" t="s">
        <v>1080</v>
      </c>
      <c r="E189" s="215"/>
      <c r="F189" s="215"/>
      <c r="G189" s="215"/>
      <c r="H189" s="215"/>
      <c r="I189" s="215"/>
      <c r="J189" s="215"/>
      <c r="K189" s="215"/>
      <c r="L189" s="222">
        <v>366</v>
      </c>
      <c r="M189" s="222">
        <v>0</v>
      </c>
      <c r="N189" s="148">
        <v>500</v>
      </c>
      <c r="O189" s="148">
        <v>500</v>
      </c>
      <c r="P189" s="147">
        <v>500</v>
      </c>
      <c r="Q189" s="147">
        <v>500</v>
      </c>
      <c r="R189" s="147">
        <v>500</v>
      </c>
      <c r="S189" s="147">
        <v>500</v>
      </c>
      <c r="T189" s="147">
        <v>500</v>
      </c>
    </row>
    <row r="190" spans="1:28" ht="24" customHeight="1">
      <c r="A190" s="281" t="s">
        <v>695</v>
      </c>
      <c r="B190" s="282"/>
      <c r="C190" s="282"/>
      <c r="D190" s="657" t="s">
        <v>143</v>
      </c>
      <c r="E190" s="655"/>
      <c r="F190" s="655"/>
      <c r="G190" s="655"/>
      <c r="H190" s="655"/>
      <c r="I190" s="655"/>
      <c r="J190" s="655"/>
      <c r="K190" s="655"/>
      <c r="L190" s="229">
        <v>2884</v>
      </c>
      <c r="M190" s="229">
        <v>2170</v>
      </c>
      <c r="N190" s="174">
        <v>4000</v>
      </c>
      <c r="O190" s="174">
        <v>4000</v>
      </c>
      <c r="P190" s="162">
        <f>ROUND(2500*1.07,0)</f>
        <v>2675</v>
      </c>
      <c r="Q190" s="162">
        <f>ROUND(P190*1.07,0)</f>
        <v>2862</v>
      </c>
      <c r="R190" s="162">
        <f t="shared" ref="R190:T190" si="37">ROUND(Q190*1.07,0)</f>
        <v>3062</v>
      </c>
      <c r="S190" s="162">
        <f t="shared" si="37"/>
        <v>3276</v>
      </c>
      <c r="T190" s="162">
        <f t="shared" si="37"/>
        <v>3505</v>
      </c>
      <c r="V190" s="149"/>
    </row>
    <row r="191" spans="1:28" s="215" customFormat="1" ht="24" customHeight="1">
      <c r="A191" s="281"/>
      <c r="B191" s="282"/>
      <c r="C191" s="282"/>
      <c r="D191" s="281"/>
      <c r="E191" s="354"/>
      <c r="F191" s="354"/>
      <c r="G191" s="354"/>
      <c r="H191" s="354"/>
      <c r="I191" s="354"/>
      <c r="J191" s="354"/>
      <c r="K191" s="354"/>
      <c r="L191" s="244">
        <f t="shared" ref="L191" si="38">SUM(L166:L190)</f>
        <v>407538</v>
      </c>
      <c r="M191" s="244">
        <f t="shared" ref="M191:T191" si="39">SUM(M166:M190)</f>
        <v>592588</v>
      </c>
      <c r="N191" s="243">
        <f t="shared" si="39"/>
        <v>685228</v>
      </c>
      <c r="O191" s="243">
        <f t="shared" ref="O191" si="40">SUM(O166:O190)</f>
        <v>685805</v>
      </c>
      <c r="P191" s="244">
        <f t="shared" ref="P191:S191" si="41">SUM(P166:P190)</f>
        <v>741002</v>
      </c>
      <c r="Q191" s="244">
        <f t="shared" si="41"/>
        <v>737282</v>
      </c>
      <c r="R191" s="244">
        <f t="shared" si="41"/>
        <v>759715</v>
      </c>
      <c r="S191" s="244">
        <f t="shared" si="41"/>
        <v>790248</v>
      </c>
      <c r="T191" s="244">
        <f t="shared" si="39"/>
        <v>815120</v>
      </c>
      <c r="U191" s="470"/>
    </row>
    <row r="192" spans="1:28" ht="15" customHeight="1">
      <c r="A192" s="281"/>
      <c r="B192" s="282"/>
      <c r="C192" s="282"/>
      <c r="D192" s="281"/>
      <c r="E192" s="282"/>
      <c r="F192" s="282"/>
      <c r="G192" s="282"/>
      <c r="H192" s="282"/>
      <c r="I192" s="282"/>
      <c r="J192" s="282"/>
      <c r="K192" s="282"/>
      <c r="L192" s="222"/>
      <c r="M192" s="222"/>
      <c r="N192" s="148"/>
      <c r="O192" s="148"/>
      <c r="P192" s="147"/>
      <c r="Q192" s="147"/>
      <c r="R192" s="147"/>
      <c r="S192" s="147"/>
      <c r="T192" s="147"/>
    </row>
    <row r="193" spans="1:27" ht="24" customHeight="1">
      <c r="A193" s="285" t="s">
        <v>1206</v>
      </c>
      <c r="B193" s="215"/>
      <c r="C193" s="215"/>
      <c r="D193" s="215"/>
      <c r="E193" s="215"/>
      <c r="F193" s="215"/>
      <c r="G193" s="215"/>
      <c r="H193" s="215"/>
      <c r="I193" s="215"/>
      <c r="J193" s="215"/>
      <c r="K193" s="215"/>
      <c r="L193" s="231"/>
      <c r="M193" s="231"/>
      <c r="N193" s="166"/>
      <c r="O193" s="166"/>
      <c r="P193" s="165"/>
      <c r="Q193" s="165"/>
      <c r="R193" s="165"/>
      <c r="S193" s="165"/>
      <c r="T193" s="165"/>
    </row>
    <row r="194" spans="1:27" ht="24" customHeight="1">
      <c r="A194" s="281" t="s">
        <v>160</v>
      </c>
      <c r="B194" s="282"/>
      <c r="C194" s="282"/>
      <c r="D194" s="281" t="s">
        <v>933</v>
      </c>
      <c r="E194" s="363"/>
      <c r="F194" s="363"/>
      <c r="G194" s="363"/>
      <c r="H194" s="363"/>
      <c r="I194" s="363"/>
      <c r="J194" s="363"/>
      <c r="K194" s="363"/>
      <c r="L194" s="222">
        <v>305901</v>
      </c>
      <c r="M194" s="222">
        <v>315540</v>
      </c>
      <c r="N194" s="159">
        <v>335453</v>
      </c>
      <c r="O194" s="148">
        <v>335453</v>
      </c>
      <c r="P194" s="158">
        <v>343875</v>
      </c>
      <c r="Q194" s="158">
        <v>355687</v>
      </c>
      <c r="R194" s="158">
        <v>366358</v>
      </c>
      <c r="S194" s="158">
        <v>377349</v>
      </c>
      <c r="T194" s="158">
        <v>388669</v>
      </c>
      <c r="V194" s="418"/>
      <c r="W194" s="419"/>
      <c r="X194" s="419"/>
      <c r="Y194" s="419"/>
      <c r="Z194" s="149"/>
    </row>
    <row r="195" spans="1:27" ht="24" customHeight="1">
      <c r="A195" s="281" t="s">
        <v>1210</v>
      </c>
      <c r="B195" s="436"/>
      <c r="C195" s="436"/>
      <c r="D195" s="281" t="s">
        <v>72</v>
      </c>
      <c r="E195" s="436"/>
      <c r="F195" s="436"/>
      <c r="G195" s="436"/>
      <c r="H195" s="436"/>
      <c r="I195" s="436"/>
      <c r="J195" s="436"/>
      <c r="K195" s="436"/>
      <c r="L195" s="222">
        <v>0</v>
      </c>
      <c r="M195" s="222">
        <v>3456</v>
      </c>
      <c r="N195" s="159">
        <f>5800+5800-3500</f>
        <v>8100</v>
      </c>
      <c r="O195" s="148">
        <v>8100</v>
      </c>
      <c r="P195" s="158">
        <v>8100</v>
      </c>
      <c r="Q195" s="158">
        <v>11600</v>
      </c>
      <c r="R195" s="158">
        <v>11600</v>
      </c>
      <c r="S195" s="158">
        <v>11600</v>
      </c>
      <c r="T195" s="158">
        <v>11600</v>
      </c>
      <c r="V195" s="418"/>
      <c r="W195" s="419"/>
      <c r="X195" s="419"/>
      <c r="Y195" s="419"/>
      <c r="Z195" s="149"/>
    </row>
    <row r="196" spans="1:27" ht="24" customHeight="1">
      <c r="A196" s="281" t="s">
        <v>159</v>
      </c>
      <c r="B196" s="282"/>
      <c r="C196" s="282"/>
      <c r="D196" s="281" t="s">
        <v>14</v>
      </c>
      <c r="E196" s="282"/>
      <c r="F196" s="282"/>
      <c r="G196" s="282"/>
      <c r="H196" s="282"/>
      <c r="I196" s="282"/>
      <c r="J196" s="282"/>
      <c r="K196" s="282"/>
      <c r="L196" s="224">
        <v>22225</v>
      </c>
      <c r="M196" s="224">
        <v>9578</v>
      </c>
      <c r="N196" s="151">
        <v>15000</v>
      </c>
      <c r="O196" s="151">
        <v>15000</v>
      </c>
      <c r="P196" s="150">
        <v>15000</v>
      </c>
      <c r="Q196" s="150">
        <v>15000</v>
      </c>
      <c r="R196" s="150">
        <v>15000</v>
      </c>
      <c r="S196" s="150">
        <v>15000</v>
      </c>
      <c r="T196" s="150">
        <v>15000</v>
      </c>
      <c r="V196" s="418"/>
      <c r="W196" s="419"/>
      <c r="X196" s="419"/>
      <c r="Y196" s="419"/>
    </row>
    <row r="197" spans="1:27" ht="24" customHeight="1">
      <c r="A197" s="281" t="s">
        <v>162</v>
      </c>
      <c r="B197" s="282"/>
      <c r="C197" s="282"/>
      <c r="D197" s="281" t="s">
        <v>8</v>
      </c>
      <c r="E197" s="282"/>
      <c r="F197" s="282"/>
      <c r="G197" s="282"/>
      <c r="H197" s="282"/>
      <c r="I197" s="282"/>
      <c r="J197" s="282"/>
      <c r="K197" s="282"/>
      <c r="L197" s="224">
        <v>36445</v>
      </c>
      <c r="M197" s="224">
        <v>36867</v>
      </c>
      <c r="N197" s="151">
        <v>38989</v>
      </c>
      <c r="O197" s="151">
        <v>38989</v>
      </c>
      <c r="P197" s="158">
        <v>38759</v>
      </c>
      <c r="Q197" s="150">
        <v>39837</v>
      </c>
      <c r="R197" s="150">
        <v>42681</v>
      </c>
      <c r="S197" s="150">
        <v>45735</v>
      </c>
      <c r="T197" s="150">
        <v>48972</v>
      </c>
      <c r="V197" s="418"/>
      <c r="W197" s="419"/>
      <c r="X197" s="419"/>
      <c r="Y197" s="419"/>
    </row>
    <row r="198" spans="1:27" ht="24" customHeight="1">
      <c r="A198" s="281" t="s">
        <v>161</v>
      </c>
      <c r="B198" s="215"/>
      <c r="C198" s="215"/>
      <c r="D198" s="281" t="s">
        <v>9</v>
      </c>
      <c r="E198" s="215"/>
      <c r="F198" s="215"/>
      <c r="G198" s="215"/>
      <c r="H198" s="215"/>
      <c r="I198" s="215"/>
      <c r="J198" s="215"/>
      <c r="K198" s="215"/>
      <c r="L198" s="224">
        <v>24235</v>
      </c>
      <c r="M198" s="224">
        <v>24184</v>
      </c>
      <c r="N198" s="159">
        <v>26703</v>
      </c>
      <c r="O198" s="151">
        <v>26703</v>
      </c>
      <c r="P198" s="158">
        <v>27245</v>
      </c>
      <c r="Q198" s="158">
        <v>28181</v>
      </c>
      <c r="R198" s="158">
        <v>29026</v>
      </c>
      <c r="S198" s="158">
        <v>29897</v>
      </c>
      <c r="T198" s="158">
        <v>30794</v>
      </c>
      <c r="V198" s="418"/>
      <c r="W198" s="419"/>
      <c r="X198" s="419"/>
      <c r="Y198" s="419"/>
    </row>
    <row r="199" spans="1:27" ht="24" customHeight="1">
      <c r="A199" s="281" t="s">
        <v>588</v>
      </c>
      <c r="B199" s="215"/>
      <c r="C199" s="215"/>
      <c r="D199" s="281" t="s">
        <v>13</v>
      </c>
      <c r="E199" s="215"/>
      <c r="F199" s="215"/>
      <c r="G199" s="215"/>
      <c r="H199" s="215"/>
      <c r="I199" s="215"/>
      <c r="J199" s="215"/>
      <c r="K199" s="215"/>
      <c r="L199" s="225">
        <v>94536</v>
      </c>
      <c r="M199" s="225">
        <v>100266</v>
      </c>
      <c r="N199" s="156">
        <v>108608</v>
      </c>
      <c r="O199" s="156">
        <f>ROUND(41534.82+(7*(8737.32-755.96))+(9*7)+5+6500,0)</f>
        <v>103972</v>
      </c>
      <c r="P199" s="155">
        <v>124755</v>
      </c>
      <c r="Q199" s="155">
        <v>134735</v>
      </c>
      <c r="R199" s="155">
        <v>145514</v>
      </c>
      <c r="S199" s="155">
        <v>157155</v>
      </c>
      <c r="T199" s="155">
        <v>169727</v>
      </c>
      <c r="V199" s="418"/>
      <c r="W199" s="419"/>
      <c r="X199" s="418"/>
      <c r="Y199" s="419"/>
      <c r="AA199" s="149"/>
    </row>
    <row r="200" spans="1:27" ht="24" customHeight="1">
      <c r="A200" s="281" t="s">
        <v>589</v>
      </c>
      <c r="B200" s="215"/>
      <c r="C200" s="215"/>
      <c r="D200" s="281" t="s">
        <v>182</v>
      </c>
      <c r="E200" s="215"/>
      <c r="F200" s="215"/>
      <c r="G200" s="215"/>
      <c r="H200" s="215"/>
      <c r="I200" s="215"/>
      <c r="J200" s="215"/>
      <c r="K200" s="215"/>
      <c r="L200" s="225">
        <v>543</v>
      </c>
      <c r="M200" s="225">
        <v>564</v>
      </c>
      <c r="N200" s="156">
        <v>570</v>
      </c>
      <c r="O200" s="156">
        <f>ROUND(281.32+(8*(124.33-72)),0)</f>
        <v>700</v>
      </c>
      <c r="P200" s="155">
        <v>594</v>
      </c>
      <c r="Q200" s="155">
        <v>594</v>
      </c>
      <c r="R200" s="155">
        <v>600</v>
      </c>
      <c r="S200" s="155">
        <v>606</v>
      </c>
      <c r="T200" s="155">
        <v>612</v>
      </c>
      <c r="V200" s="418"/>
      <c r="W200" s="419"/>
      <c r="X200" s="418"/>
      <c r="Y200" s="419"/>
      <c r="AA200" s="149"/>
    </row>
    <row r="201" spans="1:27" ht="24" customHeight="1">
      <c r="A201" s="281" t="s">
        <v>590</v>
      </c>
      <c r="B201" s="215"/>
      <c r="C201" s="215"/>
      <c r="D201" s="281" t="s">
        <v>600</v>
      </c>
      <c r="E201" s="215"/>
      <c r="F201" s="215"/>
      <c r="G201" s="215"/>
      <c r="H201" s="215"/>
      <c r="I201" s="215"/>
      <c r="J201" s="215"/>
      <c r="K201" s="215"/>
      <c r="L201" s="225">
        <v>5949</v>
      </c>
      <c r="M201" s="225">
        <v>7186</v>
      </c>
      <c r="N201" s="156">
        <v>7546</v>
      </c>
      <c r="O201" s="156">
        <f>ROUND(2754.76+(8*688.69),0)</f>
        <v>8264</v>
      </c>
      <c r="P201" s="155">
        <v>9611</v>
      </c>
      <c r="Q201" s="155">
        <v>10092</v>
      </c>
      <c r="R201" s="155">
        <v>10597</v>
      </c>
      <c r="S201" s="155">
        <v>11127</v>
      </c>
      <c r="T201" s="155">
        <v>11683</v>
      </c>
      <c r="V201" s="418"/>
      <c r="W201" s="419"/>
      <c r="X201" s="418"/>
      <c r="Y201" s="419"/>
      <c r="AA201" s="149"/>
    </row>
    <row r="202" spans="1:27" ht="24" customHeight="1">
      <c r="A202" s="281" t="s">
        <v>606</v>
      </c>
      <c r="B202" s="215"/>
      <c r="C202" s="215"/>
      <c r="D202" s="281" t="s">
        <v>602</v>
      </c>
      <c r="E202" s="215"/>
      <c r="F202" s="215"/>
      <c r="G202" s="215"/>
      <c r="H202" s="215"/>
      <c r="I202" s="215"/>
      <c r="J202" s="215"/>
      <c r="K202" s="215"/>
      <c r="L202" s="225">
        <v>739</v>
      </c>
      <c r="M202" s="225">
        <v>739</v>
      </c>
      <c r="N202" s="156">
        <v>761</v>
      </c>
      <c r="O202" s="156">
        <f>ROUND(333.4+(8*83.35),0)</f>
        <v>1000</v>
      </c>
      <c r="P202" s="155">
        <v>1067</v>
      </c>
      <c r="Q202" s="155">
        <v>1099</v>
      </c>
      <c r="R202" s="155">
        <v>1132</v>
      </c>
      <c r="S202" s="155">
        <v>1166</v>
      </c>
      <c r="T202" s="155">
        <v>1201</v>
      </c>
      <c r="V202" s="418"/>
      <c r="W202" s="419"/>
      <c r="X202" s="418"/>
      <c r="Y202" s="419"/>
      <c r="AA202" s="149"/>
    </row>
    <row r="203" spans="1:27" ht="24" customHeight="1">
      <c r="A203" s="281" t="s">
        <v>166</v>
      </c>
      <c r="B203" s="282"/>
      <c r="C203" s="282"/>
      <c r="D203" s="665" t="s">
        <v>95</v>
      </c>
      <c r="E203" s="664"/>
      <c r="F203" s="664"/>
      <c r="G203" s="664"/>
      <c r="H203" s="664"/>
      <c r="I203" s="664"/>
      <c r="J203" s="664"/>
      <c r="K203" s="664"/>
      <c r="L203" s="222">
        <v>0</v>
      </c>
      <c r="M203" s="222">
        <v>1236</v>
      </c>
      <c r="N203" s="148">
        <f>4000+800+1300+(4*500)</f>
        <v>8100</v>
      </c>
      <c r="O203" s="148">
        <v>8100</v>
      </c>
      <c r="P203" s="147">
        <v>3000</v>
      </c>
      <c r="Q203" s="147">
        <v>3000</v>
      </c>
      <c r="R203" s="147">
        <v>3000</v>
      </c>
      <c r="S203" s="147">
        <v>3000</v>
      </c>
      <c r="T203" s="147">
        <v>3000</v>
      </c>
    </row>
    <row r="204" spans="1:27" ht="24" customHeight="1">
      <c r="A204" s="281" t="s">
        <v>1374</v>
      </c>
      <c r="B204" s="586"/>
      <c r="C204" s="586"/>
      <c r="D204" s="281" t="s">
        <v>1075</v>
      </c>
      <c r="E204" s="586"/>
      <c r="F204" s="586"/>
      <c r="G204" s="586"/>
      <c r="H204" s="586"/>
      <c r="I204" s="586"/>
      <c r="J204" s="586"/>
      <c r="K204" s="586"/>
      <c r="L204" s="222">
        <v>0</v>
      </c>
      <c r="M204" s="222">
        <v>240</v>
      </c>
      <c r="N204" s="148">
        <v>0</v>
      </c>
      <c r="O204" s="148">
        <v>0</v>
      </c>
      <c r="P204" s="147">
        <v>2000</v>
      </c>
      <c r="Q204" s="147">
        <v>2000</v>
      </c>
      <c r="R204" s="147">
        <v>2000</v>
      </c>
      <c r="S204" s="147">
        <v>2000</v>
      </c>
      <c r="T204" s="147">
        <v>2000</v>
      </c>
    </row>
    <row r="205" spans="1:27" ht="24" customHeight="1">
      <c r="A205" s="281" t="s">
        <v>1032</v>
      </c>
      <c r="B205" s="282"/>
      <c r="C205" s="282"/>
      <c r="D205" s="281" t="s">
        <v>1028</v>
      </c>
      <c r="E205" s="354"/>
      <c r="F205" s="354"/>
      <c r="G205" s="354"/>
      <c r="H205" s="354"/>
      <c r="I205" s="354"/>
      <c r="J205" s="354"/>
      <c r="K205" s="354"/>
      <c r="L205" s="222">
        <v>144650</v>
      </c>
      <c r="M205" s="222">
        <v>125000</v>
      </c>
      <c r="N205" s="148">
        <v>163416</v>
      </c>
      <c r="O205" s="148">
        <f>O459</f>
        <v>240337</v>
      </c>
      <c r="P205" s="147">
        <f>P459</f>
        <v>45000</v>
      </c>
      <c r="Q205" s="147">
        <f t="shared" ref="Q205:T205" si="42">Q459</f>
        <v>84065</v>
      </c>
      <c r="R205" s="147">
        <f t="shared" si="42"/>
        <v>84065</v>
      </c>
      <c r="S205" s="147">
        <f t="shared" si="42"/>
        <v>84065</v>
      </c>
      <c r="T205" s="147">
        <f t="shared" si="42"/>
        <v>84065</v>
      </c>
      <c r="V205" s="418"/>
      <c r="W205" s="419"/>
      <c r="X205" s="727"/>
    </row>
    <row r="206" spans="1:27" ht="24" customHeight="1">
      <c r="A206" s="281" t="s">
        <v>1011</v>
      </c>
      <c r="B206" s="626"/>
      <c r="C206" s="626"/>
      <c r="D206" s="281" t="s">
        <v>1012</v>
      </c>
      <c r="E206" s="626"/>
      <c r="F206" s="626"/>
      <c r="G206" s="626"/>
      <c r="H206" s="626"/>
      <c r="I206" s="626"/>
      <c r="J206" s="626"/>
      <c r="K206" s="626"/>
      <c r="L206" s="222">
        <v>8390</v>
      </c>
      <c r="M206" s="222">
        <v>16824</v>
      </c>
      <c r="N206" s="148">
        <f t="shared" ref="N206" si="43">N31</f>
        <v>19000</v>
      </c>
      <c r="O206" s="148">
        <v>19000</v>
      </c>
      <c r="P206" s="147">
        <v>25000</v>
      </c>
      <c r="Q206" s="147">
        <v>25000</v>
      </c>
      <c r="R206" s="147">
        <v>25000</v>
      </c>
      <c r="S206" s="147">
        <v>25000</v>
      </c>
      <c r="T206" s="147">
        <v>25000</v>
      </c>
      <c r="V206" s="149"/>
    </row>
    <row r="207" spans="1:27" ht="24" customHeight="1">
      <c r="A207" s="281" t="s">
        <v>165</v>
      </c>
      <c r="B207" s="215"/>
      <c r="C207" s="215"/>
      <c r="D207" s="281" t="s">
        <v>234</v>
      </c>
      <c r="E207" s="215"/>
      <c r="F207" s="215"/>
      <c r="G207" s="215"/>
      <c r="H207" s="215"/>
      <c r="I207" s="215"/>
      <c r="J207" s="215"/>
      <c r="K207" s="215"/>
      <c r="L207" s="222">
        <v>2520</v>
      </c>
      <c r="M207" s="222">
        <v>2073</v>
      </c>
      <c r="N207" s="148">
        <v>3000</v>
      </c>
      <c r="O207" s="148">
        <v>3000</v>
      </c>
      <c r="P207" s="147">
        <v>3000</v>
      </c>
      <c r="Q207" s="147">
        <v>3000</v>
      </c>
      <c r="R207" s="147">
        <v>3000</v>
      </c>
      <c r="S207" s="147">
        <v>3000</v>
      </c>
      <c r="T207" s="147">
        <v>3000</v>
      </c>
      <c r="V207" s="149"/>
    </row>
    <row r="208" spans="1:27" ht="24" customHeight="1">
      <c r="A208" s="281" t="s">
        <v>723</v>
      </c>
      <c r="B208" s="215"/>
      <c r="C208" s="215"/>
      <c r="D208" s="281" t="s">
        <v>724</v>
      </c>
      <c r="E208" s="353"/>
      <c r="F208" s="353"/>
      <c r="G208" s="353"/>
      <c r="H208" s="353"/>
      <c r="I208" s="353"/>
      <c r="J208" s="353"/>
      <c r="K208" s="353"/>
      <c r="L208" s="222">
        <v>23836</v>
      </c>
      <c r="M208" s="222">
        <v>0</v>
      </c>
      <c r="N208" s="148">
        <v>0</v>
      </c>
      <c r="O208" s="148">
        <v>0</v>
      </c>
      <c r="P208" s="147">
        <v>0</v>
      </c>
      <c r="Q208" s="147">
        <v>0</v>
      </c>
      <c r="R208" s="147">
        <v>0</v>
      </c>
      <c r="S208" s="147">
        <v>0</v>
      </c>
      <c r="T208" s="147">
        <v>0</v>
      </c>
    </row>
    <row r="209" spans="1:30" ht="24" customHeight="1">
      <c r="A209" s="281" t="s">
        <v>242</v>
      </c>
      <c r="B209" s="215"/>
      <c r="C209" s="215"/>
      <c r="D209" s="281" t="s">
        <v>172</v>
      </c>
      <c r="E209" s="362"/>
      <c r="F209" s="362"/>
      <c r="G209" s="362"/>
      <c r="H209" s="362"/>
      <c r="I209" s="362"/>
      <c r="J209" s="362"/>
      <c r="K209" s="362"/>
      <c r="L209" s="224">
        <v>6865</v>
      </c>
      <c r="M209" s="224">
        <v>6865</v>
      </c>
      <c r="N209" s="151">
        <v>8400</v>
      </c>
      <c r="O209" s="151">
        <v>7002</v>
      </c>
      <c r="P209" s="150">
        <f>ROUND(O209*1.05,0)</f>
        <v>7352</v>
      </c>
      <c r="Q209" s="150">
        <f t="shared" ref="Q209:T209" si="44">ROUND(P209*1.05,0)</f>
        <v>7720</v>
      </c>
      <c r="R209" s="150">
        <f t="shared" si="44"/>
        <v>8106</v>
      </c>
      <c r="S209" s="150">
        <f t="shared" si="44"/>
        <v>8511</v>
      </c>
      <c r="T209" s="150">
        <f t="shared" si="44"/>
        <v>8937</v>
      </c>
      <c r="V209" s="152"/>
    </row>
    <row r="210" spans="1:30" ht="24" customHeight="1">
      <c r="A210" s="281" t="s">
        <v>238</v>
      </c>
      <c r="B210" s="215"/>
      <c r="C210" s="215"/>
      <c r="D210" s="281" t="s">
        <v>1292</v>
      </c>
      <c r="E210" s="508"/>
      <c r="F210" s="508"/>
      <c r="G210" s="508"/>
      <c r="H210" s="508"/>
      <c r="I210" s="508"/>
      <c r="J210" s="508"/>
      <c r="K210" s="508"/>
      <c r="L210" s="222">
        <v>20000</v>
      </c>
      <c r="M210" s="222">
        <v>0</v>
      </c>
      <c r="N210" s="151">
        <v>20000</v>
      </c>
      <c r="O210" s="151">
        <v>20000</v>
      </c>
      <c r="P210" s="150">
        <v>20000</v>
      </c>
      <c r="Q210" s="150">
        <v>20000</v>
      </c>
      <c r="R210" s="150">
        <v>20000</v>
      </c>
      <c r="S210" s="150">
        <v>20000</v>
      </c>
      <c r="T210" s="150">
        <v>20000</v>
      </c>
      <c r="V210" s="152"/>
    </row>
    <row r="211" spans="1:30" ht="24" customHeight="1">
      <c r="A211" s="281" t="s">
        <v>164</v>
      </c>
      <c r="B211" s="215"/>
      <c r="C211" s="215"/>
      <c r="D211" s="281" t="s">
        <v>10</v>
      </c>
      <c r="E211" s="527"/>
      <c r="F211" s="527"/>
      <c r="G211" s="527"/>
      <c r="H211" s="527"/>
      <c r="I211" s="527"/>
      <c r="J211" s="527"/>
      <c r="K211" s="527"/>
      <c r="L211" s="224">
        <f>2052</f>
        <v>2052</v>
      </c>
      <c r="M211" s="224">
        <v>3740</v>
      </c>
      <c r="N211" s="151">
        <f>1000+3900+1500</f>
        <v>6400</v>
      </c>
      <c r="O211" s="151">
        <f>4900+1500</f>
        <v>6400</v>
      </c>
      <c r="P211" s="150">
        <f>2000+1500</f>
        <v>3500</v>
      </c>
      <c r="Q211" s="150">
        <f t="shared" ref="Q211:T211" si="45">2000+1500</f>
        <v>3500</v>
      </c>
      <c r="R211" s="150">
        <f t="shared" si="45"/>
        <v>3500</v>
      </c>
      <c r="S211" s="150">
        <f t="shared" si="45"/>
        <v>3500</v>
      </c>
      <c r="T211" s="150">
        <f t="shared" si="45"/>
        <v>3500</v>
      </c>
    </row>
    <row r="212" spans="1:30" ht="24" customHeight="1">
      <c r="A212" s="676" t="s">
        <v>1409</v>
      </c>
      <c r="B212" s="393"/>
      <c r="C212" s="393"/>
      <c r="D212" s="676" t="s">
        <v>1171</v>
      </c>
      <c r="E212" s="675"/>
      <c r="F212" s="675"/>
      <c r="G212" s="284"/>
      <c r="H212" s="284"/>
      <c r="I212" s="284"/>
      <c r="J212" s="284"/>
      <c r="K212" s="284"/>
      <c r="L212" s="224">
        <v>67815</v>
      </c>
      <c r="M212" s="224">
        <v>0</v>
      </c>
      <c r="N212" s="151">
        <v>0</v>
      </c>
      <c r="O212" s="151">
        <v>4750</v>
      </c>
      <c r="P212" s="150">
        <v>4750</v>
      </c>
      <c r="Q212" s="150">
        <v>4750</v>
      </c>
      <c r="R212" s="150">
        <v>4750</v>
      </c>
      <c r="S212" s="150">
        <v>4750</v>
      </c>
      <c r="T212" s="150">
        <v>4750</v>
      </c>
      <c r="V212" s="152"/>
    </row>
    <row r="213" spans="1:30" ht="24" customHeight="1">
      <c r="A213" s="281" t="s">
        <v>163</v>
      </c>
      <c r="B213" s="282"/>
      <c r="C213" s="282"/>
      <c r="D213" s="281" t="s">
        <v>90</v>
      </c>
      <c r="E213" s="631"/>
      <c r="F213" s="631"/>
      <c r="G213" s="631"/>
      <c r="H213" s="631"/>
      <c r="I213" s="631"/>
      <c r="J213" s="631"/>
      <c r="K213" s="631"/>
      <c r="L213" s="245">
        <v>984</v>
      </c>
      <c r="M213" s="245">
        <v>512</v>
      </c>
      <c r="N213" s="186">
        <v>1100</v>
      </c>
      <c r="O213" s="186">
        <v>1100</v>
      </c>
      <c r="P213" s="185">
        <v>1100</v>
      </c>
      <c r="Q213" s="185">
        <v>1100</v>
      </c>
      <c r="R213" s="185">
        <v>1100</v>
      </c>
      <c r="S213" s="185">
        <v>1100</v>
      </c>
      <c r="T213" s="185">
        <v>1100</v>
      </c>
    </row>
    <row r="214" spans="1:30" ht="24" customHeight="1">
      <c r="A214" s="281" t="s">
        <v>997</v>
      </c>
      <c r="B214" s="282"/>
      <c r="C214" s="282"/>
      <c r="D214" s="667" t="s">
        <v>998</v>
      </c>
      <c r="E214" s="666"/>
      <c r="F214" s="666"/>
      <c r="G214" s="666"/>
      <c r="H214" s="666"/>
      <c r="I214" s="666"/>
      <c r="J214" s="666"/>
      <c r="K214" s="666"/>
      <c r="L214" s="241">
        <v>53541</v>
      </c>
      <c r="M214" s="241">
        <f>46713+11125</f>
        <v>57838</v>
      </c>
      <c r="N214" s="187">
        <v>30000</v>
      </c>
      <c r="O214" s="187">
        <v>30000</v>
      </c>
      <c r="P214" s="179">
        <v>50000</v>
      </c>
      <c r="Q214" s="179">
        <v>50000</v>
      </c>
      <c r="R214" s="179">
        <v>50000</v>
      </c>
      <c r="S214" s="179">
        <v>50000</v>
      </c>
      <c r="T214" s="179">
        <v>50000</v>
      </c>
      <c r="V214" s="149"/>
    </row>
    <row r="215" spans="1:30" ht="24" customHeight="1">
      <c r="A215" s="281" t="s">
        <v>171</v>
      </c>
      <c r="B215" s="282"/>
      <c r="C215" s="282"/>
      <c r="D215" s="281" t="s">
        <v>100</v>
      </c>
      <c r="E215" s="282"/>
      <c r="F215" s="282"/>
      <c r="G215" s="282"/>
      <c r="H215" s="282"/>
      <c r="I215" s="282"/>
      <c r="J215" s="282"/>
      <c r="K215" s="282"/>
      <c r="L215" s="222">
        <v>3263</v>
      </c>
      <c r="M215" s="222">
        <v>4132</v>
      </c>
      <c r="N215" s="148">
        <v>4410</v>
      </c>
      <c r="O215" s="148">
        <v>4410</v>
      </c>
      <c r="P215" s="147">
        <f>ROUND(O215*1.05,0)</f>
        <v>4631</v>
      </c>
      <c r="Q215" s="147">
        <f t="shared" ref="Q215:T215" si="46">ROUND(P215*1.05,0)</f>
        <v>4863</v>
      </c>
      <c r="R215" s="147">
        <f t="shared" si="46"/>
        <v>5106</v>
      </c>
      <c r="S215" s="147">
        <f t="shared" si="46"/>
        <v>5361</v>
      </c>
      <c r="T215" s="147">
        <f t="shared" si="46"/>
        <v>5629</v>
      </c>
    </row>
    <row r="216" spans="1:30" ht="24" customHeight="1">
      <c r="A216" s="281" t="s">
        <v>170</v>
      </c>
      <c r="B216" s="282"/>
      <c r="C216" s="282"/>
      <c r="D216" s="281" t="s">
        <v>12</v>
      </c>
      <c r="E216" s="361"/>
      <c r="F216" s="361"/>
      <c r="G216" s="361"/>
      <c r="H216" s="361"/>
      <c r="I216" s="361"/>
      <c r="J216" s="361"/>
      <c r="K216" s="361"/>
      <c r="L216" s="225">
        <v>10378</v>
      </c>
      <c r="M216" s="225">
        <v>10846</v>
      </c>
      <c r="N216" s="148">
        <v>10500</v>
      </c>
      <c r="O216" s="148">
        <v>10500</v>
      </c>
      <c r="P216" s="147">
        <f>ROUND(O216*1.05,0)</f>
        <v>11025</v>
      </c>
      <c r="Q216" s="147">
        <f>ROUND(P216*1.05,0)</f>
        <v>11576</v>
      </c>
      <c r="R216" s="147">
        <f t="shared" ref="R216:T216" si="47">ROUND(Q216*1.05,0)</f>
        <v>12155</v>
      </c>
      <c r="S216" s="147">
        <f t="shared" si="47"/>
        <v>12763</v>
      </c>
      <c r="T216" s="147">
        <f t="shared" si="47"/>
        <v>13401</v>
      </c>
      <c r="V216" s="182"/>
    </row>
    <row r="217" spans="1:30" ht="24" customHeight="1">
      <c r="A217" s="281" t="s">
        <v>169</v>
      </c>
      <c r="B217" s="282"/>
      <c r="C217" s="282"/>
      <c r="D217" s="281" t="s">
        <v>173</v>
      </c>
      <c r="E217" s="282"/>
      <c r="F217" s="282"/>
      <c r="G217" s="282"/>
      <c r="H217" s="282"/>
      <c r="I217" s="282"/>
      <c r="J217" s="282"/>
      <c r="K217" s="282"/>
      <c r="L217" s="222">
        <v>0</v>
      </c>
      <c r="M217" s="222">
        <v>0</v>
      </c>
      <c r="N217" s="148">
        <v>0</v>
      </c>
      <c r="O217" s="148">
        <v>0</v>
      </c>
      <c r="P217" s="147">
        <v>2000</v>
      </c>
      <c r="Q217" s="147">
        <v>2000</v>
      </c>
      <c r="R217" s="147">
        <v>2000</v>
      </c>
      <c r="S217" s="147">
        <v>2000</v>
      </c>
      <c r="T217" s="147">
        <v>2000</v>
      </c>
      <c r="V217" s="149"/>
      <c r="Z217" s="149"/>
    </row>
    <row r="218" spans="1:30" ht="24" customHeight="1">
      <c r="A218" s="281" t="s">
        <v>999</v>
      </c>
      <c r="B218" s="282"/>
      <c r="C218" s="282"/>
      <c r="D218" s="281" t="s">
        <v>1000</v>
      </c>
      <c r="E218" s="282"/>
      <c r="F218" s="282"/>
      <c r="G218" s="282"/>
      <c r="H218" s="282"/>
      <c r="I218" s="282"/>
      <c r="J218" s="282"/>
      <c r="K218" s="282"/>
      <c r="L218" s="222">
        <v>20578</v>
      </c>
      <c r="M218" s="222">
        <v>17035</v>
      </c>
      <c r="N218" s="148">
        <v>25000</v>
      </c>
      <c r="O218" s="148">
        <v>25000</v>
      </c>
      <c r="P218" s="147">
        <v>27500</v>
      </c>
      <c r="Q218" s="147">
        <v>27500</v>
      </c>
      <c r="R218" s="147">
        <v>27500</v>
      </c>
      <c r="S218" s="147">
        <v>27500</v>
      </c>
      <c r="T218" s="147">
        <v>27500</v>
      </c>
      <c r="V218" s="149"/>
      <c r="Z218" s="149"/>
    </row>
    <row r="219" spans="1:30" ht="24" customHeight="1">
      <c r="A219" s="281" t="s">
        <v>235</v>
      </c>
      <c r="B219" s="282"/>
      <c r="C219" s="282"/>
      <c r="D219" s="281" t="s">
        <v>16</v>
      </c>
      <c r="E219" s="361"/>
      <c r="F219" s="361"/>
      <c r="G219" s="361"/>
      <c r="H219" s="361"/>
      <c r="I219" s="361"/>
      <c r="J219" s="361"/>
      <c r="K219" s="361"/>
      <c r="L219" s="224">
        <v>1006</v>
      </c>
      <c r="M219" s="224">
        <v>2105</v>
      </c>
      <c r="N219" s="151">
        <f>2000+4000-1000</f>
        <v>5000</v>
      </c>
      <c r="O219" s="151">
        <v>5000</v>
      </c>
      <c r="P219" s="150">
        <v>2000</v>
      </c>
      <c r="Q219" s="150">
        <v>2000</v>
      </c>
      <c r="R219" s="150">
        <v>2000</v>
      </c>
      <c r="S219" s="150">
        <v>2000</v>
      </c>
      <c r="T219" s="150">
        <v>2000</v>
      </c>
    </row>
    <row r="220" spans="1:30" ht="24" customHeight="1">
      <c r="A220" s="281" t="s">
        <v>223</v>
      </c>
      <c r="B220" s="282"/>
      <c r="C220" s="282"/>
      <c r="D220" s="693" t="s">
        <v>1078</v>
      </c>
      <c r="E220" s="692"/>
      <c r="F220" s="692"/>
      <c r="G220" s="692"/>
      <c r="H220" s="692"/>
      <c r="I220" s="692"/>
      <c r="J220" s="692"/>
      <c r="K220" s="692"/>
      <c r="L220" s="224">
        <v>21235</v>
      </c>
      <c r="M220" s="224">
        <v>26791</v>
      </c>
      <c r="N220" s="151">
        <v>20000</v>
      </c>
      <c r="O220" s="151">
        <v>20000</v>
      </c>
      <c r="P220" s="150">
        <v>20000</v>
      </c>
      <c r="Q220" s="150">
        <v>20000</v>
      </c>
      <c r="R220" s="150">
        <v>20000</v>
      </c>
      <c r="S220" s="150">
        <v>20000</v>
      </c>
      <c r="T220" s="150">
        <v>20000</v>
      </c>
    </row>
    <row r="221" spans="1:30" ht="24" customHeight="1">
      <c r="A221" s="281" t="s">
        <v>168</v>
      </c>
      <c r="B221" s="215"/>
      <c r="C221" s="215"/>
      <c r="D221" s="281" t="s">
        <v>725</v>
      </c>
      <c r="E221" s="353"/>
      <c r="F221" s="353"/>
      <c r="G221" s="353"/>
      <c r="H221" s="353"/>
      <c r="I221" s="353"/>
      <c r="J221" s="353"/>
      <c r="K221" s="353"/>
      <c r="L221" s="222">
        <v>5877</v>
      </c>
      <c r="M221" s="222">
        <v>0</v>
      </c>
      <c r="N221" s="151">
        <v>0</v>
      </c>
      <c r="O221" s="151">
        <v>0</v>
      </c>
      <c r="P221" s="150">
        <v>0</v>
      </c>
      <c r="Q221" s="150">
        <v>0</v>
      </c>
      <c r="R221" s="150">
        <v>0</v>
      </c>
      <c r="S221" s="150">
        <v>0</v>
      </c>
      <c r="T221" s="150">
        <v>0</v>
      </c>
    </row>
    <row r="222" spans="1:30" ht="24" customHeight="1">
      <c r="A222" s="281" t="s">
        <v>167</v>
      </c>
      <c r="B222" s="282"/>
      <c r="C222" s="282"/>
      <c r="D222" s="657" t="s">
        <v>143</v>
      </c>
      <c r="E222" s="655"/>
      <c r="F222" s="655"/>
      <c r="G222" s="655"/>
      <c r="H222" s="655"/>
      <c r="I222" s="655"/>
      <c r="J222" s="655"/>
      <c r="K222" s="655"/>
      <c r="L222" s="229">
        <v>31692</v>
      </c>
      <c r="M222" s="229">
        <v>22731</v>
      </c>
      <c r="N222" s="176">
        <v>29401</v>
      </c>
      <c r="O222" s="176">
        <v>29401</v>
      </c>
      <c r="P222" s="175">
        <f>ROUND(24000*1.07,0)</f>
        <v>25680</v>
      </c>
      <c r="Q222" s="175">
        <f t="shared" ref="Q222:T222" si="48">ROUND(P222*1.07,0)</f>
        <v>27478</v>
      </c>
      <c r="R222" s="175">
        <f t="shared" si="48"/>
        <v>29401</v>
      </c>
      <c r="S222" s="175">
        <f t="shared" si="48"/>
        <v>31459</v>
      </c>
      <c r="T222" s="175">
        <f t="shared" si="48"/>
        <v>33661</v>
      </c>
      <c r="V222" s="149"/>
      <c r="Y222" s="201"/>
    </row>
    <row r="223" spans="1:30" s="215" customFormat="1" ht="24" customHeight="1">
      <c r="A223" s="281"/>
      <c r="B223" s="284"/>
      <c r="C223" s="284"/>
      <c r="D223" s="281"/>
      <c r="E223" s="284"/>
      <c r="F223" s="284"/>
      <c r="G223" s="284"/>
      <c r="H223" s="284"/>
      <c r="I223" s="284"/>
      <c r="J223" s="284"/>
      <c r="K223" s="284"/>
      <c r="L223" s="247">
        <f t="shared" ref="L223" si="49">SUM(L194:L222)</f>
        <v>915255</v>
      </c>
      <c r="M223" s="247">
        <f t="shared" ref="M223:T223" si="50">SUM(M194:M222)</f>
        <v>796348</v>
      </c>
      <c r="N223" s="238">
        <f t="shared" si="50"/>
        <v>895457</v>
      </c>
      <c r="O223" s="238">
        <f t="shared" ref="O223" si="51">SUM(O194:O222)</f>
        <v>972181</v>
      </c>
      <c r="P223" s="247">
        <f t="shared" ref="P223:S223" si="52">SUM(P194:P222)</f>
        <v>826544</v>
      </c>
      <c r="Q223" s="247">
        <f>SUM(Q194:Q222)</f>
        <v>896377</v>
      </c>
      <c r="R223" s="247">
        <f>SUM(R194:R222)</f>
        <v>925191</v>
      </c>
      <c r="S223" s="247">
        <f t="shared" si="52"/>
        <v>955644</v>
      </c>
      <c r="T223" s="247">
        <f t="shared" si="50"/>
        <v>987801</v>
      </c>
      <c r="U223" s="470"/>
    </row>
    <row r="224" spans="1:30" ht="15" customHeight="1">
      <c r="A224" s="281"/>
      <c r="B224" s="284"/>
      <c r="C224" s="284"/>
      <c r="D224" s="281"/>
      <c r="E224" s="284"/>
      <c r="F224" s="284"/>
      <c r="G224" s="284"/>
      <c r="H224" s="284"/>
      <c r="I224" s="284"/>
      <c r="J224" s="284"/>
      <c r="K224" s="284"/>
      <c r="L224" s="225"/>
      <c r="M224" s="225"/>
      <c r="N224" s="157"/>
      <c r="O224" s="157"/>
      <c r="P224" s="154"/>
      <c r="Q224" s="154"/>
      <c r="R224" s="154"/>
      <c r="S224" s="154"/>
      <c r="T224" s="154"/>
      <c r="V224" s="545"/>
      <c r="W224" s="545"/>
      <c r="X224" s="545"/>
      <c r="Y224" s="545"/>
      <c r="Z224" s="545"/>
      <c r="AA224" s="545"/>
      <c r="AB224" s="381"/>
      <c r="AC224" s="381"/>
      <c r="AD224" s="381"/>
    </row>
    <row r="225" spans="1:30" ht="24" customHeight="1">
      <c r="A225" s="285" t="s">
        <v>1207</v>
      </c>
      <c r="B225" s="215"/>
      <c r="C225" s="215"/>
      <c r="D225" s="215"/>
      <c r="E225" s="215"/>
      <c r="F225" s="215"/>
      <c r="G225" s="215"/>
      <c r="H225" s="215"/>
      <c r="I225" s="215"/>
      <c r="J225" s="215"/>
      <c r="K225" s="215"/>
      <c r="L225" s="231"/>
      <c r="M225" s="231"/>
      <c r="N225" s="166"/>
      <c r="O225" s="166"/>
      <c r="P225" s="165"/>
      <c r="Q225" s="165"/>
      <c r="R225" s="165"/>
      <c r="S225" s="165"/>
      <c r="T225" s="165"/>
      <c r="V225" s="546"/>
      <c r="W225" s="546"/>
      <c r="X225" s="544"/>
      <c r="Y225" s="546"/>
      <c r="Z225" s="544"/>
      <c r="AA225" s="546"/>
      <c r="AB225" s="544"/>
      <c r="AC225" s="381"/>
      <c r="AD225" s="544"/>
    </row>
    <row r="226" spans="1:30" ht="24" customHeight="1">
      <c r="A226" s="215" t="s">
        <v>734</v>
      </c>
      <c r="B226" s="215"/>
      <c r="C226" s="215"/>
      <c r="D226" s="281" t="s">
        <v>735</v>
      </c>
      <c r="E226" s="629"/>
      <c r="F226" s="629"/>
      <c r="G226" s="629"/>
      <c r="H226" s="629"/>
      <c r="I226" s="629"/>
      <c r="J226" s="629"/>
      <c r="K226" s="629"/>
      <c r="L226" s="224">
        <v>142762</v>
      </c>
      <c r="M226" s="224">
        <v>76958</v>
      </c>
      <c r="N226" s="151">
        <v>35000</v>
      </c>
      <c r="O226" s="151">
        <v>35000</v>
      </c>
      <c r="P226" s="150">
        <v>36000</v>
      </c>
      <c r="Q226" s="150">
        <v>36000</v>
      </c>
      <c r="R226" s="150">
        <v>36000</v>
      </c>
      <c r="S226" s="150">
        <v>36000</v>
      </c>
      <c r="T226" s="150">
        <v>36000</v>
      </c>
      <c r="V226" s="546"/>
      <c r="W226" s="546"/>
      <c r="X226" s="547"/>
      <c r="Y226" s="546"/>
      <c r="Z226" s="547"/>
      <c r="AA226" s="546"/>
      <c r="AB226" s="547"/>
      <c r="AC226" s="381"/>
      <c r="AD226" s="544"/>
    </row>
    <row r="227" spans="1:30" ht="24" customHeight="1">
      <c r="A227" s="281" t="s">
        <v>176</v>
      </c>
      <c r="B227" s="282"/>
      <c r="C227" s="282"/>
      <c r="D227" s="281" t="s">
        <v>178</v>
      </c>
      <c r="E227" s="628"/>
      <c r="F227" s="628"/>
      <c r="G227" s="628"/>
      <c r="H227" s="628"/>
      <c r="I227" s="628"/>
      <c r="J227" s="628"/>
      <c r="K227" s="628"/>
      <c r="L227" s="222">
        <v>981513</v>
      </c>
      <c r="M227" s="222">
        <v>1100546</v>
      </c>
      <c r="N227" s="148">
        <f>N41</f>
        <v>1148450</v>
      </c>
      <c r="O227" s="148">
        <v>1200000</v>
      </c>
      <c r="P227" s="147">
        <v>1251675</v>
      </c>
      <c r="Q227" s="147">
        <f>ROUND(P227*1.03,0)</f>
        <v>1289225</v>
      </c>
      <c r="R227" s="147">
        <f t="shared" ref="R227:T227" si="53">ROUND(Q227*1.03,0)</f>
        <v>1327902</v>
      </c>
      <c r="S227" s="147">
        <f t="shared" si="53"/>
        <v>1367739</v>
      </c>
      <c r="T227" s="147">
        <f t="shared" si="53"/>
        <v>1408771</v>
      </c>
      <c r="V227" s="546"/>
      <c r="W227" s="546"/>
      <c r="X227" s="546"/>
      <c r="Y227" s="546"/>
      <c r="Z227" s="546"/>
      <c r="AA227" s="546"/>
      <c r="AB227" s="381"/>
      <c r="AC227" s="381"/>
      <c r="AD227" s="381"/>
    </row>
    <row r="228" spans="1:30" ht="24" customHeight="1">
      <c r="A228" s="281" t="s">
        <v>175</v>
      </c>
      <c r="B228" s="215"/>
      <c r="C228" s="215"/>
      <c r="D228" s="281" t="s">
        <v>177</v>
      </c>
      <c r="E228" s="215"/>
      <c r="F228" s="215"/>
      <c r="G228" s="215"/>
      <c r="H228" s="215"/>
      <c r="I228" s="215"/>
      <c r="J228" s="215"/>
      <c r="K228" s="215"/>
      <c r="L228" s="230">
        <v>5520</v>
      </c>
      <c r="M228" s="230">
        <v>3840</v>
      </c>
      <c r="N228" s="174">
        <v>6000</v>
      </c>
      <c r="O228" s="174">
        <v>6000</v>
      </c>
      <c r="P228" s="162">
        <v>6000</v>
      </c>
      <c r="Q228" s="162">
        <v>6000</v>
      </c>
      <c r="R228" s="162">
        <v>6000</v>
      </c>
      <c r="S228" s="162">
        <v>6000</v>
      </c>
      <c r="T228" s="162">
        <v>6000</v>
      </c>
      <c r="V228" s="149"/>
    </row>
    <row r="229" spans="1:30" s="215" customFormat="1" ht="24" customHeight="1">
      <c r="A229" s="281"/>
      <c r="D229" s="281"/>
      <c r="L229" s="248">
        <f t="shared" ref="L229" si="54">SUM(L226:L228)</f>
        <v>1129795</v>
      </c>
      <c r="M229" s="248">
        <f t="shared" ref="M229:T229" si="55">SUM(M226:M228)</f>
        <v>1181344</v>
      </c>
      <c r="N229" s="240">
        <f t="shared" ref="N229" si="56">SUM(N226:N228)</f>
        <v>1189450</v>
      </c>
      <c r="O229" s="240">
        <f t="shared" ref="O229" si="57">SUM(O226:O228)</f>
        <v>1241000</v>
      </c>
      <c r="P229" s="248">
        <f t="shared" si="55"/>
        <v>1293675</v>
      </c>
      <c r="Q229" s="248">
        <f t="shared" si="55"/>
        <v>1331225</v>
      </c>
      <c r="R229" s="248">
        <f t="shared" si="55"/>
        <v>1369902</v>
      </c>
      <c r="S229" s="248">
        <f t="shared" ref="S229" si="58">SUM(S226:S228)</f>
        <v>1409739</v>
      </c>
      <c r="T229" s="248">
        <f t="shared" si="55"/>
        <v>1450771</v>
      </c>
      <c r="U229" s="470"/>
    </row>
    <row r="230" spans="1:30" s="215" customFormat="1" ht="15" customHeight="1">
      <c r="A230" s="281"/>
      <c r="D230" s="281"/>
      <c r="L230" s="248"/>
      <c r="M230" s="248"/>
      <c r="N230" s="240"/>
      <c r="O230" s="240"/>
      <c r="P230" s="248"/>
      <c r="Q230" s="248"/>
      <c r="R230" s="248"/>
      <c r="S230" s="248"/>
      <c r="T230" s="248"/>
      <c r="U230" s="470"/>
    </row>
    <row r="231" spans="1:30" s="215" customFormat="1" ht="24" customHeight="1">
      <c r="A231" s="281"/>
      <c r="D231" s="281"/>
      <c r="F231" s="773" t="s">
        <v>977</v>
      </c>
      <c r="G231" s="773"/>
      <c r="H231" s="773"/>
      <c r="I231" s="773"/>
      <c r="J231" s="773"/>
      <c r="K231" s="773"/>
      <c r="L231" s="248">
        <f t="shared" ref="L231" si="59">L223+L229</f>
        <v>2045050</v>
      </c>
      <c r="M231" s="248">
        <f t="shared" ref="M231:T231" si="60">M223+M229</f>
        <v>1977692</v>
      </c>
      <c r="N231" s="240">
        <f t="shared" ref="N231" si="61">N223+N229</f>
        <v>2084907</v>
      </c>
      <c r="O231" s="240">
        <f t="shared" ref="O231" si="62">O223+O229</f>
        <v>2213181</v>
      </c>
      <c r="P231" s="248">
        <f t="shared" si="60"/>
        <v>2120219</v>
      </c>
      <c r="Q231" s="248">
        <f t="shared" si="60"/>
        <v>2227602</v>
      </c>
      <c r="R231" s="248">
        <f t="shared" si="60"/>
        <v>2295093</v>
      </c>
      <c r="S231" s="248">
        <f t="shared" ref="S231" si="63">S223+S229</f>
        <v>2365383</v>
      </c>
      <c r="T231" s="248">
        <f t="shared" si="60"/>
        <v>2438572</v>
      </c>
      <c r="U231" s="333"/>
    </row>
    <row r="232" spans="1:30" ht="15" customHeight="1">
      <c r="A232" s="281"/>
      <c r="B232" s="215"/>
      <c r="C232" s="215"/>
      <c r="D232" s="281"/>
      <c r="E232" s="215"/>
      <c r="F232" s="286"/>
      <c r="G232" s="286"/>
      <c r="H232" s="286"/>
      <c r="I232" s="286"/>
      <c r="J232" s="286"/>
      <c r="K232" s="286"/>
      <c r="L232" s="248"/>
      <c r="M232" s="248"/>
      <c r="N232" s="177"/>
      <c r="O232" s="177"/>
      <c r="P232" s="178"/>
      <c r="Q232" s="178"/>
      <c r="R232" s="178"/>
      <c r="S232" s="178"/>
      <c r="T232" s="178"/>
    </row>
    <row r="233" spans="1:30" ht="24" customHeight="1">
      <c r="A233" s="287" t="s">
        <v>613</v>
      </c>
      <c r="B233" s="215"/>
      <c r="C233" s="215"/>
      <c r="D233" s="281"/>
      <c r="E233" s="215"/>
      <c r="F233" s="215"/>
      <c r="G233" s="215"/>
      <c r="H233" s="215"/>
      <c r="I233" s="215"/>
      <c r="J233" s="215"/>
      <c r="K233" s="215"/>
      <c r="L233" s="225"/>
      <c r="M233" s="225"/>
      <c r="N233" s="157"/>
      <c r="O233" s="157"/>
      <c r="P233" s="154"/>
      <c r="Q233" s="154"/>
      <c r="R233" s="154"/>
      <c r="S233" s="154"/>
      <c r="T233" s="154"/>
    </row>
    <row r="234" spans="1:30" ht="24" customHeight="1">
      <c r="A234" s="281" t="s">
        <v>246</v>
      </c>
      <c r="B234" s="282"/>
      <c r="C234" s="282"/>
      <c r="D234" s="281" t="s">
        <v>247</v>
      </c>
      <c r="E234" s="282"/>
      <c r="F234" s="282"/>
      <c r="G234" s="282"/>
      <c r="H234" s="282"/>
      <c r="I234" s="282"/>
      <c r="J234" s="282"/>
      <c r="K234" s="282"/>
      <c r="L234" s="224">
        <v>600</v>
      </c>
      <c r="M234" s="224">
        <v>0</v>
      </c>
      <c r="N234" s="151">
        <f t="shared" ref="N234" si="64">N44</f>
        <v>500</v>
      </c>
      <c r="O234" s="151">
        <f>O44</f>
        <v>2829</v>
      </c>
      <c r="P234" s="150">
        <f t="shared" ref="P234:S234" si="65">P44</f>
        <v>500</v>
      </c>
      <c r="Q234" s="150">
        <f t="shared" si="65"/>
        <v>500</v>
      </c>
      <c r="R234" s="150">
        <f t="shared" si="65"/>
        <v>500</v>
      </c>
      <c r="S234" s="150">
        <f t="shared" si="65"/>
        <v>500</v>
      </c>
      <c r="T234" s="150">
        <f>T44</f>
        <v>500</v>
      </c>
      <c r="V234" s="149"/>
    </row>
    <row r="235" spans="1:30" ht="24" customHeight="1">
      <c r="A235" s="281" t="s">
        <v>180</v>
      </c>
      <c r="B235" s="282"/>
      <c r="C235" s="282"/>
      <c r="D235" s="281" t="s">
        <v>181</v>
      </c>
      <c r="E235" s="520"/>
      <c r="F235" s="520"/>
      <c r="G235" s="520"/>
      <c r="H235" s="520"/>
      <c r="I235" s="520"/>
      <c r="J235" s="520"/>
      <c r="K235" s="520"/>
      <c r="L235" s="224">
        <v>5241</v>
      </c>
      <c r="M235" s="224">
        <v>7950</v>
      </c>
      <c r="N235" s="151">
        <v>20000</v>
      </c>
      <c r="O235" s="151">
        <v>10000</v>
      </c>
      <c r="P235" s="150">
        <v>20000</v>
      </c>
      <c r="Q235" s="150">
        <v>20000</v>
      </c>
      <c r="R235" s="150">
        <v>20000</v>
      </c>
      <c r="S235" s="150">
        <v>20000</v>
      </c>
      <c r="T235" s="150">
        <v>20000</v>
      </c>
    </row>
    <row r="236" spans="1:30" ht="24" customHeight="1">
      <c r="A236" s="710" t="s">
        <v>179</v>
      </c>
      <c r="B236" s="711"/>
      <c r="C236" s="711"/>
      <c r="D236" s="710" t="s">
        <v>239</v>
      </c>
      <c r="E236" s="711"/>
      <c r="F236" s="711"/>
      <c r="G236" s="711"/>
      <c r="H236" s="711"/>
      <c r="I236" s="711"/>
      <c r="J236" s="711"/>
      <c r="K236" s="710"/>
      <c r="L236" s="224">
        <v>246339</v>
      </c>
      <c r="M236" s="224">
        <v>249686</v>
      </c>
      <c r="N236" s="151">
        <v>265000</v>
      </c>
      <c r="O236" s="151">
        <f>259284+14856+3179</f>
        <v>277319</v>
      </c>
      <c r="P236" s="150">
        <f>ROUND(O236*1.06,0)</f>
        <v>293958</v>
      </c>
      <c r="Q236" s="150">
        <f>ROUND(P236*1.06,0)</f>
        <v>311595</v>
      </c>
      <c r="R236" s="150">
        <f>ROUND(Q236*1.06,0)</f>
        <v>330291</v>
      </c>
      <c r="S236" s="150">
        <f>ROUND(R236*1.06,0)</f>
        <v>350108</v>
      </c>
      <c r="T236" s="150">
        <f>ROUND(S236*1.06,0)</f>
        <v>371114</v>
      </c>
      <c r="V236" s="149"/>
    </row>
    <row r="237" spans="1:30" ht="24" customHeight="1">
      <c r="A237" s="710" t="s">
        <v>755</v>
      </c>
      <c r="B237" s="711"/>
      <c r="C237" s="711"/>
      <c r="D237" s="283" t="s">
        <v>758</v>
      </c>
      <c r="E237" s="711"/>
      <c r="F237" s="711"/>
      <c r="G237" s="711"/>
      <c r="H237" s="711"/>
      <c r="I237" s="711"/>
      <c r="J237" s="711"/>
      <c r="K237" s="711"/>
      <c r="L237" s="224">
        <v>35091</v>
      </c>
      <c r="M237" s="224">
        <v>40078</v>
      </c>
      <c r="N237" s="156">
        <v>37570</v>
      </c>
      <c r="O237" s="156">
        <v>37570</v>
      </c>
      <c r="P237" s="155">
        <v>35725</v>
      </c>
      <c r="Q237" s="155">
        <v>38583</v>
      </c>
      <c r="R237" s="155">
        <v>41670</v>
      </c>
      <c r="S237" s="155">
        <v>45004</v>
      </c>
      <c r="T237" s="155">
        <v>48604</v>
      </c>
      <c r="V237" s="418"/>
      <c r="W237" s="419"/>
      <c r="X237" s="419"/>
      <c r="Y237" s="419"/>
      <c r="AA237" s="149"/>
    </row>
    <row r="238" spans="1:30" ht="24" customHeight="1">
      <c r="A238" s="710" t="s">
        <v>756</v>
      </c>
      <c r="B238" s="711"/>
      <c r="C238" s="711"/>
      <c r="D238" s="283" t="s">
        <v>759</v>
      </c>
      <c r="E238" s="711"/>
      <c r="F238" s="711"/>
      <c r="G238" s="711"/>
      <c r="H238" s="711"/>
      <c r="I238" s="711"/>
      <c r="J238" s="711"/>
      <c r="K238" s="711"/>
      <c r="L238" s="224">
        <v>1061</v>
      </c>
      <c r="M238" s="224">
        <v>1293</v>
      </c>
      <c r="N238" s="156">
        <v>972</v>
      </c>
      <c r="O238" s="156">
        <v>972</v>
      </c>
      <c r="P238" s="155">
        <v>539</v>
      </c>
      <c r="Q238" s="155">
        <v>566</v>
      </c>
      <c r="R238" s="155">
        <v>594</v>
      </c>
      <c r="S238" s="155">
        <v>624</v>
      </c>
      <c r="T238" s="155">
        <v>655</v>
      </c>
      <c r="V238" s="418"/>
      <c r="W238" s="419"/>
      <c r="X238" s="419"/>
      <c r="Y238" s="418"/>
      <c r="AA238" s="149"/>
    </row>
    <row r="239" spans="1:30" ht="24" customHeight="1">
      <c r="A239" s="710" t="s">
        <v>757</v>
      </c>
      <c r="B239" s="711"/>
      <c r="C239" s="711"/>
      <c r="D239" s="283" t="s">
        <v>760</v>
      </c>
      <c r="E239" s="711"/>
      <c r="F239" s="711"/>
      <c r="G239" s="711"/>
      <c r="H239" s="711"/>
      <c r="I239" s="711"/>
      <c r="J239" s="711"/>
      <c r="K239" s="711"/>
      <c r="L239" s="224">
        <v>160</v>
      </c>
      <c r="M239" s="224">
        <v>160</v>
      </c>
      <c r="N239" s="156">
        <v>120</v>
      </c>
      <c r="O239" s="156">
        <v>120</v>
      </c>
      <c r="P239" s="155">
        <v>75</v>
      </c>
      <c r="Q239" s="155">
        <v>77</v>
      </c>
      <c r="R239" s="155">
        <v>79</v>
      </c>
      <c r="S239" s="155">
        <v>81</v>
      </c>
      <c r="T239" s="155">
        <v>83</v>
      </c>
      <c r="V239" s="418"/>
      <c r="W239" s="419"/>
      <c r="X239" s="418"/>
      <c r="Y239" s="419"/>
      <c r="AA239" s="149"/>
    </row>
    <row r="240" spans="1:30" ht="24" customHeight="1">
      <c r="A240" s="710" t="s">
        <v>1423</v>
      </c>
      <c r="B240" s="711"/>
      <c r="C240" s="711"/>
      <c r="D240" s="283" t="s">
        <v>1424</v>
      </c>
      <c r="E240" s="711"/>
      <c r="F240" s="711"/>
      <c r="G240" s="711"/>
      <c r="H240" s="711"/>
      <c r="I240" s="711"/>
      <c r="J240" s="711"/>
      <c r="K240" s="711"/>
      <c r="L240" s="225">
        <v>0</v>
      </c>
      <c r="M240" s="225">
        <v>0</v>
      </c>
      <c r="N240" s="156">
        <v>0</v>
      </c>
      <c r="O240" s="157">
        <v>0</v>
      </c>
      <c r="P240" s="155">
        <v>50000</v>
      </c>
      <c r="Q240" s="155">
        <v>50000</v>
      </c>
      <c r="R240" s="155">
        <v>50000</v>
      </c>
      <c r="S240" s="155">
        <v>50000</v>
      </c>
      <c r="T240" s="155">
        <v>50000</v>
      </c>
      <c r="V240" s="418"/>
      <c r="W240" s="419"/>
      <c r="X240" s="418"/>
      <c r="Y240" s="419"/>
      <c r="AA240" s="149"/>
    </row>
    <row r="241" spans="1:29" ht="24" customHeight="1">
      <c r="A241" s="710" t="s">
        <v>1311</v>
      </c>
      <c r="B241" s="711"/>
      <c r="C241" s="711"/>
      <c r="D241" s="283" t="s">
        <v>1312</v>
      </c>
      <c r="E241" s="711"/>
      <c r="F241" s="711"/>
      <c r="G241" s="711"/>
      <c r="H241" s="711"/>
      <c r="I241" s="711"/>
      <c r="J241" s="711"/>
      <c r="K241" s="711"/>
      <c r="L241" s="225">
        <v>0</v>
      </c>
      <c r="M241" s="225">
        <v>0</v>
      </c>
      <c r="N241" s="156">
        <f>13250+1125</f>
        <v>14375</v>
      </c>
      <c r="O241" s="157">
        <v>14375</v>
      </c>
      <c r="P241" s="155">
        <f>13250+1125</f>
        <v>14375</v>
      </c>
      <c r="Q241" s="155">
        <f t="shared" ref="Q241:S241" si="66">13250+1125</f>
        <v>14375</v>
      </c>
      <c r="R241" s="155">
        <f t="shared" si="66"/>
        <v>14375</v>
      </c>
      <c r="S241" s="155">
        <f t="shared" si="66"/>
        <v>14375</v>
      </c>
      <c r="T241" s="154">
        <v>0</v>
      </c>
      <c r="V241" s="149"/>
      <c r="Y241" s="149"/>
      <c r="AA241" s="149"/>
    </row>
    <row r="242" spans="1:29" ht="24" customHeight="1">
      <c r="A242" s="281" t="s">
        <v>1238</v>
      </c>
      <c r="B242" s="450"/>
      <c r="C242" s="450"/>
      <c r="D242" s="283" t="s">
        <v>1239</v>
      </c>
      <c r="E242" s="450"/>
      <c r="F242" s="450"/>
      <c r="G242" s="450"/>
      <c r="H242" s="450"/>
      <c r="I242" s="450"/>
      <c r="J242" s="450"/>
      <c r="K242" s="450"/>
      <c r="L242" s="225">
        <v>42787</v>
      </c>
      <c r="M242" s="225">
        <v>0</v>
      </c>
      <c r="N242" s="156">
        <v>0</v>
      </c>
      <c r="O242" s="157">
        <v>0</v>
      </c>
      <c r="P242" s="155">
        <v>0</v>
      </c>
      <c r="Q242" s="155">
        <v>0</v>
      </c>
      <c r="R242" s="155">
        <v>0</v>
      </c>
      <c r="S242" s="155">
        <v>0</v>
      </c>
      <c r="T242" s="155">
        <v>0</v>
      </c>
      <c r="V242" s="418"/>
      <c r="W242" s="419"/>
      <c r="X242" s="727"/>
      <c r="Y242" s="149"/>
      <c r="AA242" s="149"/>
    </row>
    <row r="243" spans="1:29" ht="24" customHeight="1">
      <c r="A243" s="281" t="s">
        <v>1033</v>
      </c>
      <c r="B243" s="215"/>
      <c r="C243" s="215"/>
      <c r="D243" s="281" t="s">
        <v>1034</v>
      </c>
      <c r="E243" s="215"/>
      <c r="F243" s="215"/>
      <c r="G243" s="215"/>
      <c r="H243" s="215"/>
      <c r="I243" s="215"/>
      <c r="J243" s="215"/>
      <c r="K243" s="281"/>
      <c r="L243" s="225">
        <v>22130</v>
      </c>
      <c r="M243" s="225">
        <v>48513</v>
      </c>
      <c r="N243" s="151">
        <v>50000</v>
      </c>
      <c r="O243" s="157">
        <v>55000</v>
      </c>
      <c r="P243" s="154">
        <v>55000</v>
      </c>
      <c r="Q243" s="154">
        <v>55000</v>
      </c>
      <c r="R243" s="150">
        <v>25000</v>
      </c>
      <c r="S243" s="150">
        <v>25000</v>
      </c>
      <c r="T243" s="150">
        <v>25000</v>
      </c>
      <c r="V243" s="188"/>
      <c r="Y243" s="149"/>
      <c r="AA243" s="149"/>
    </row>
    <row r="244" spans="1:29" ht="24" customHeight="1">
      <c r="A244" s="281" t="s">
        <v>670</v>
      </c>
      <c r="B244" s="215"/>
      <c r="C244" s="215"/>
      <c r="D244" s="281" t="s">
        <v>669</v>
      </c>
      <c r="E244" s="479"/>
      <c r="F244" s="479"/>
      <c r="G244" s="479"/>
      <c r="H244" s="479"/>
      <c r="I244" s="479"/>
      <c r="J244" s="479"/>
      <c r="K244" s="281"/>
      <c r="L244" s="225">
        <v>25295</v>
      </c>
      <c r="M244" s="225">
        <v>72999</v>
      </c>
      <c r="N244" s="151">
        <v>100000</v>
      </c>
      <c r="O244" s="151">
        <v>72679</v>
      </c>
      <c r="P244" s="150">
        <v>75000</v>
      </c>
      <c r="Q244" s="150">
        <f>ROUND(P244*1.1,0)</f>
        <v>82500</v>
      </c>
      <c r="R244" s="150">
        <f t="shared" ref="R244:S244" si="67">ROUND(Q244*1.1,0)</f>
        <v>90750</v>
      </c>
      <c r="S244" s="150">
        <f t="shared" si="67"/>
        <v>99825</v>
      </c>
      <c r="T244" s="150">
        <f>ROUND(S244*1.1,0)</f>
        <v>109808</v>
      </c>
      <c r="V244" s="149"/>
    </row>
    <row r="245" spans="1:29" ht="24" customHeight="1">
      <c r="A245" s="281" t="s">
        <v>676</v>
      </c>
      <c r="B245" s="284"/>
      <c r="C245" s="284"/>
      <c r="D245" s="283" t="s">
        <v>677</v>
      </c>
      <c r="E245" s="284"/>
      <c r="F245" s="284"/>
      <c r="G245" s="284"/>
      <c r="H245" s="284"/>
      <c r="I245" s="284"/>
      <c r="J245" s="284"/>
      <c r="K245" s="284"/>
      <c r="L245" s="224">
        <v>38867</v>
      </c>
      <c r="M245" s="224">
        <v>51066</v>
      </c>
      <c r="N245" s="151">
        <v>99225</v>
      </c>
      <c r="O245" s="151">
        <v>99225</v>
      </c>
      <c r="P245" s="150">
        <v>80000</v>
      </c>
      <c r="Q245" s="150">
        <f>ROUND(80000*1.05,0)</f>
        <v>84000</v>
      </c>
      <c r="R245" s="150">
        <f>ROUND(Q245*1.05,0)</f>
        <v>88200</v>
      </c>
      <c r="S245" s="150">
        <f>ROUND(R245*1.05,0)</f>
        <v>92610</v>
      </c>
      <c r="T245" s="150">
        <f>ROUND(S245*1.05,0)</f>
        <v>97241</v>
      </c>
      <c r="V245" s="188"/>
      <c r="X245" s="774"/>
      <c r="Y245" s="774"/>
      <c r="Z245" s="774"/>
      <c r="AA245" s="774"/>
      <c r="AB245" s="774"/>
    </row>
    <row r="246" spans="1:29" ht="24" customHeight="1">
      <c r="A246" s="281" t="s">
        <v>213</v>
      </c>
      <c r="B246" s="284"/>
      <c r="C246" s="284"/>
      <c r="D246" s="281" t="s">
        <v>194</v>
      </c>
      <c r="E246" s="284"/>
      <c r="F246" s="284"/>
      <c r="G246" s="284"/>
      <c r="H246" s="284"/>
      <c r="I246" s="284"/>
      <c r="J246" s="284"/>
      <c r="K246" s="284"/>
      <c r="L246" s="224">
        <v>89253</v>
      </c>
      <c r="M246" s="224">
        <v>129599</v>
      </c>
      <c r="N246" s="151">
        <v>121275</v>
      </c>
      <c r="O246" s="151">
        <v>121275</v>
      </c>
      <c r="P246" s="150">
        <f>ROUND(O246*1.05,0)</f>
        <v>127339</v>
      </c>
      <c r="Q246" s="150">
        <f t="shared" ref="Q246:T246" si="68">ROUND(P246*1.05,0)</f>
        <v>133706</v>
      </c>
      <c r="R246" s="150">
        <f t="shared" si="68"/>
        <v>140391</v>
      </c>
      <c r="S246" s="150">
        <f t="shared" si="68"/>
        <v>147411</v>
      </c>
      <c r="T246" s="150">
        <f t="shared" si="68"/>
        <v>154782</v>
      </c>
      <c r="V246" s="188"/>
    </row>
    <row r="247" spans="1:29" ht="24" customHeight="1">
      <c r="A247" s="281" t="s">
        <v>189</v>
      </c>
      <c r="B247" s="284"/>
      <c r="C247" s="284"/>
      <c r="D247" s="281" t="s">
        <v>193</v>
      </c>
      <c r="E247" s="284"/>
      <c r="F247" s="284"/>
      <c r="G247" s="284"/>
      <c r="H247" s="284"/>
      <c r="I247" s="284"/>
      <c r="J247" s="284"/>
      <c r="K247" s="284"/>
      <c r="L247" s="224">
        <v>147253</v>
      </c>
      <c r="M247" s="224">
        <v>56874</v>
      </c>
      <c r="N247" s="151">
        <v>120000</v>
      </c>
      <c r="O247" s="151">
        <v>120000</v>
      </c>
      <c r="P247" s="150">
        <v>120000</v>
      </c>
      <c r="Q247" s="150">
        <v>120000</v>
      </c>
      <c r="R247" s="150">
        <v>120000</v>
      </c>
      <c r="S247" s="150">
        <v>120000</v>
      </c>
      <c r="T247" s="150">
        <v>120000</v>
      </c>
      <c r="V247" s="149"/>
      <c r="X247" s="589"/>
      <c r="Y247" s="589"/>
      <c r="Z247" s="589"/>
      <c r="AA247" s="589"/>
      <c r="AB247" s="589"/>
      <c r="AC247" s="589"/>
    </row>
    <row r="248" spans="1:29" ht="24" customHeight="1">
      <c r="A248" s="281" t="s">
        <v>1397</v>
      </c>
      <c r="B248" s="284"/>
      <c r="C248" s="284"/>
      <c r="D248" s="281" t="s">
        <v>10</v>
      </c>
      <c r="E248" s="284"/>
      <c r="F248" s="284"/>
      <c r="G248" s="284"/>
      <c r="H248" s="284"/>
      <c r="I248" s="284"/>
      <c r="J248" s="284"/>
      <c r="K248" s="284"/>
      <c r="L248" s="224">
        <v>0</v>
      </c>
      <c r="M248" s="224">
        <v>0</v>
      </c>
      <c r="N248" s="151">
        <v>0</v>
      </c>
      <c r="O248" s="151">
        <v>0</v>
      </c>
      <c r="P248" s="150">
        <v>0</v>
      </c>
      <c r="Q248" s="150">
        <v>0</v>
      </c>
      <c r="R248" s="150">
        <v>0</v>
      </c>
      <c r="S248" s="150">
        <v>0</v>
      </c>
      <c r="T248" s="150">
        <v>0</v>
      </c>
      <c r="V248" s="149"/>
      <c r="X248" s="612"/>
      <c r="Y248" s="612"/>
      <c r="Z248" s="612"/>
      <c r="AA248" s="612"/>
      <c r="AB248" s="612"/>
      <c r="AC248" s="612"/>
    </row>
    <row r="249" spans="1:29" ht="24" customHeight="1">
      <c r="A249" s="281" t="s">
        <v>188</v>
      </c>
      <c r="B249" s="284"/>
      <c r="C249" s="284"/>
      <c r="D249" s="281" t="s">
        <v>192</v>
      </c>
      <c r="E249" s="284"/>
      <c r="F249" s="284"/>
      <c r="G249" s="284"/>
      <c r="H249" s="284"/>
      <c r="I249" s="284"/>
      <c r="J249" s="284"/>
      <c r="K249" s="284"/>
      <c r="L249" s="224">
        <v>2872</v>
      </c>
      <c r="M249" s="224">
        <v>26020</v>
      </c>
      <c r="N249" s="151">
        <v>25000</v>
      </c>
      <c r="O249" s="151">
        <v>25000</v>
      </c>
      <c r="P249" s="150">
        <v>25000</v>
      </c>
      <c r="Q249" s="150">
        <v>25000</v>
      </c>
      <c r="R249" s="150">
        <v>25000</v>
      </c>
      <c r="S249" s="150">
        <v>25000</v>
      </c>
      <c r="T249" s="150">
        <v>25000</v>
      </c>
      <c r="V249" s="149"/>
      <c r="X249" s="184"/>
      <c r="Y249" s="184"/>
      <c r="Z249" s="184"/>
      <c r="AA249" s="184"/>
      <c r="AB249" s="184"/>
      <c r="AC249" s="184"/>
    </row>
    <row r="250" spans="1:29" ht="24" customHeight="1">
      <c r="A250" s="281" t="s">
        <v>259</v>
      </c>
      <c r="B250" s="284"/>
      <c r="C250" s="284"/>
      <c r="D250" s="281" t="s">
        <v>260</v>
      </c>
      <c r="E250" s="284"/>
      <c r="F250" s="284"/>
      <c r="G250" s="284"/>
      <c r="H250" s="284"/>
      <c r="I250" s="284"/>
      <c r="J250" s="284"/>
      <c r="K250" s="284"/>
      <c r="L250" s="225">
        <v>597697</v>
      </c>
      <c r="M250" s="225">
        <v>503943</v>
      </c>
      <c r="N250" s="157">
        <f>240000+175000+50000</f>
        <v>465000</v>
      </c>
      <c r="O250" s="157">
        <v>465000</v>
      </c>
      <c r="P250" s="154">
        <f>240000+125000+25000</f>
        <v>390000</v>
      </c>
      <c r="Q250" s="154">
        <f t="shared" ref="Q250:T250" si="69">240000+125000+25000</f>
        <v>390000</v>
      </c>
      <c r="R250" s="154">
        <f t="shared" si="69"/>
        <v>390000</v>
      </c>
      <c r="S250" s="154">
        <f t="shared" si="69"/>
        <v>390000</v>
      </c>
      <c r="T250" s="154">
        <f t="shared" si="69"/>
        <v>390000</v>
      </c>
      <c r="V250" s="149"/>
      <c r="X250" s="165"/>
      <c r="Y250" s="165"/>
      <c r="Z250" s="165"/>
      <c r="AA250" s="165"/>
      <c r="AB250" s="165"/>
      <c r="AC250" s="165"/>
    </row>
    <row r="251" spans="1:29" ht="24" customHeight="1">
      <c r="A251" s="281" t="s">
        <v>187</v>
      </c>
      <c r="B251" s="284"/>
      <c r="C251" s="284"/>
      <c r="D251" s="281" t="s">
        <v>191</v>
      </c>
      <c r="E251" s="284"/>
      <c r="F251" s="284"/>
      <c r="G251" s="284"/>
      <c r="H251" s="284"/>
      <c r="I251" s="284"/>
      <c r="J251" s="284"/>
      <c r="K251" s="284"/>
      <c r="L251" s="224">
        <v>76508</v>
      </c>
      <c r="M251" s="224">
        <v>80204</v>
      </c>
      <c r="N251" s="151">
        <v>85000</v>
      </c>
      <c r="O251" s="151">
        <v>85000</v>
      </c>
      <c r="P251" s="150">
        <v>85000</v>
      </c>
      <c r="Q251" s="150">
        <v>85000</v>
      </c>
      <c r="R251" s="150">
        <v>85000</v>
      </c>
      <c r="S251" s="150">
        <v>85000</v>
      </c>
      <c r="T251" s="150">
        <v>85000</v>
      </c>
      <c r="V251" s="149"/>
    </row>
    <row r="252" spans="1:29" ht="24" customHeight="1">
      <c r="A252" s="281" t="s">
        <v>214</v>
      </c>
      <c r="B252" s="284"/>
      <c r="C252" s="284"/>
      <c r="D252" s="281" t="s">
        <v>710</v>
      </c>
      <c r="E252" s="284"/>
      <c r="F252" s="284"/>
      <c r="G252" s="284"/>
      <c r="H252" s="284"/>
      <c r="I252" s="284"/>
      <c r="J252" s="284"/>
      <c r="K252" s="284"/>
      <c r="L252" s="224">
        <v>59045</v>
      </c>
      <c r="M252" s="224">
        <v>65438</v>
      </c>
      <c r="N252" s="151">
        <v>63000</v>
      </c>
      <c r="O252" s="151">
        <f t="shared" ref="O252:T252" si="70">ROUND(O18*0.9,0)</f>
        <v>68400</v>
      </c>
      <c r="P252" s="150">
        <f t="shared" si="70"/>
        <v>68400</v>
      </c>
      <c r="Q252" s="150">
        <f t="shared" si="70"/>
        <v>68400</v>
      </c>
      <c r="R252" s="150">
        <f t="shared" si="70"/>
        <v>68400</v>
      </c>
      <c r="S252" s="150">
        <f t="shared" si="70"/>
        <v>68400</v>
      </c>
      <c r="T252" s="150">
        <f t="shared" si="70"/>
        <v>68400</v>
      </c>
    </row>
    <row r="253" spans="1:29" ht="24" customHeight="1">
      <c r="A253" s="281" t="s">
        <v>1353</v>
      </c>
      <c r="B253" s="284"/>
      <c r="C253" s="284"/>
      <c r="D253" s="281" t="s">
        <v>1354</v>
      </c>
      <c r="E253" s="284"/>
      <c r="F253" s="284"/>
      <c r="G253" s="284"/>
      <c r="H253" s="284"/>
      <c r="I253" s="284"/>
      <c r="J253" s="284"/>
      <c r="K253" s="284"/>
      <c r="L253" s="225">
        <v>0</v>
      </c>
      <c r="M253" s="225">
        <v>69382</v>
      </c>
      <c r="N253" s="157">
        <v>0</v>
      </c>
      <c r="O253" s="157">
        <v>0</v>
      </c>
      <c r="P253" s="154">
        <v>0</v>
      </c>
      <c r="Q253" s="154">
        <v>0</v>
      </c>
      <c r="R253" s="154">
        <v>0</v>
      </c>
      <c r="S253" s="154">
        <v>0</v>
      </c>
      <c r="T253" s="154">
        <v>0</v>
      </c>
      <c r="V253" s="149"/>
    </row>
    <row r="254" spans="1:29" ht="24" customHeight="1">
      <c r="A254" s="281" t="s">
        <v>186</v>
      </c>
      <c r="B254" s="284"/>
      <c r="C254" s="284"/>
      <c r="D254" s="281" t="s">
        <v>252</v>
      </c>
      <c r="E254" s="284"/>
      <c r="F254" s="284"/>
      <c r="G254" s="284"/>
      <c r="H254" s="284"/>
      <c r="I254" s="284"/>
      <c r="J254" s="284"/>
      <c r="K254" s="284"/>
      <c r="L254" s="222">
        <v>1369</v>
      </c>
      <c r="M254" s="222">
        <v>1293</v>
      </c>
      <c r="N254" s="148">
        <v>1500</v>
      </c>
      <c r="O254" s="148">
        <v>1286</v>
      </c>
      <c r="P254" s="147">
        <v>1500</v>
      </c>
      <c r="Q254" s="147">
        <v>1500</v>
      </c>
      <c r="R254" s="147">
        <v>1500</v>
      </c>
      <c r="S254" s="147">
        <v>1500</v>
      </c>
      <c r="T254" s="147">
        <v>1500</v>
      </c>
      <c r="V254" s="149"/>
    </row>
    <row r="255" spans="1:29" ht="24" customHeight="1">
      <c r="A255" s="281" t="s">
        <v>185</v>
      </c>
      <c r="B255" s="284"/>
      <c r="C255" s="284"/>
      <c r="D255" s="281" t="s">
        <v>190</v>
      </c>
      <c r="E255" s="284"/>
      <c r="F255" s="284"/>
      <c r="G255" s="284"/>
      <c r="H255" s="284"/>
      <c r="I255" s="284"/>
      <c r="J255" s="284"/>
      <c r="K255" s="284"/>
      <c r="L255" s="222">
        <v>861234</v>
      </c>
      <c r="M255" s="222">
        <v>848634</v>
      </c>
      <c r="N255" s="151">
        <v>896028</v>
      </c>
      <c r="O255" s="151">
        <v>896028</v>
      </c>
      <c r="P255" s="150">
        <f>ROUND(O255*1.02,0)</f>
        <v>913949</v>
      </c>
      <c r="Q255" s="150">
        <f t="shared" ref="Q255:T255" si="71">ROUND(P255*1.02,0)</f>
        <v>932228</v>
      </c>
      <c r="R255" s="150">
        <f t="shared" si="71"/>
        <v>950873</v>
      </c>
      <c r="S255" s="150">
        <f t="shared" si="71"/>
        <v>969890</v>
      </c>
      <c r="T255" s="150">
        <f t="shared" si="71"/>
        <v>989288</v>
      </c>
    </row>
    <row r="256" spans="1:29" ht="24" customHeight="1">
      <c r="A256" s="281" t="s">
        <v>184</v>
      </c>
      <c r="B256" s="284"/>
      <c r="C256" s="284"/>
      <c r="D256" s="281" t="s">
        <v>1056</v>
      </c>
      <c r="E256" s="284"/>
      <c r="F256" s="284"/>
      <c r="G256" s="284"/>
      <c r="H256" s="284"/>
      <c r="I256" s="284"/>
      <c r="J256" s="284"/>
      <c r="K256" s="284"/>
      <c r="L256" s="222">
        <v>325724</v>
      </c>
      <c r="M256" s="222">
        <v>357076</v>
      </c>
      <c r="N256" s="148">
        <v>386800</v>
      </c>
      <c r="O256" s="148">
        <f t="shared" ref="O256:T256" si="72">O22+O23+O24</f>
        <v>365000</v>
      </c>
      <c r="P256" s="147">
        <f t="shared" si="72"/>
        <v>372000</v>
      </c>
      <c r="Q256" s="147">
        <f t="shared" si="72"/>
        <v>379140</v>
      </c>
      <c r="R256" s="147">
        <f t="shared" si="72"/>
        <v>386423</v>
      </c>
      <c r="S256" s="147">
        <f t="shared" si="72"/>
        <v>393851</v>
      </c>
      <c r="T256" s="147">
        <f t="shared" si="72"/>
        <v>401428</v>
      </c>
      <c r="V256" s="149"/>
    </row>
    <row r="257" spans="1:31" ht="24" customHeight="1">
      <c r="A257" s="281" t="s">
        <v>183</v>
      </c>
      <c r="B257" s="284"/>
      <c r="C257" s="284"/>
      <c r="D257" s="281" t="s">
        <v>248</v>
      </c>
      <c r="E257" s="284"/>
      <c r="F257" s="284"/>
      <c r="G257" s="284"/>
      <c r="H257" s="284"/>
      <c r="I257" s="284"/>
      <c r="J257" s="284"/>
      <c r="K257" s="284"/>
      <c r="L257" s="224">
        <v>103720</v>
      </c>
      <c r="M257" s="224">
        <v>104066</v>
      </c>
      <c r="N257" s="151">
        <v>105000</v>
      </c>
      <c r="O257" s="151">
        <f t="shared" ref="O257:T257" si="73">O21</f>
        <v>121799</v>
      </c>
      <c r="P257" s="150">
        <f t="shared" si="73"/>
        <v>120000</v>
      </c>
      <c r="Q257" s="150">
        <f t="shared" si="73"/>
        <v>120000</v>
      </c>
      <c r="R257" s="150">
        <f t="shared" si="73"/>
        <v>120000</v>
      </c>
      <c r="S257" s="150">
        <f t="shared" si="73"/>
        <v>120000</v>
      </c>
      <c r="T257" s="150">
        <f t="shared" si="73"/>
        <v>120000</v>
      </c>
      <c r="V257" s="152"/>
    </row>
    <row r="258" spans="1:31" ht="24" customHeight="1">
      <c r="A258" s="281" t="s">
        <v>195</v>
      </c>
      <c r="B258" s="215"/>
      <c r="C258" s="215"/>
      <c r="D258" s="281" t="s">
        <v>18</v>
      </c>
      <c r="E258" s="215"/>
      <c r="F258" s="215"/>
      <c r="G258" s="215"/>
      <c r="H258" s="215"/>
      <c r="I258" s="215"/>
      <c r="J258" s="215"/>
      <c r="K258" s="215"/>
      <c r="L258" s="224">
        <v>1516</v>
      </c>
      <c r="M258" s="224">
        <v>1773</v>
      </c>
      <c r="N258" s="151">
        <v>2500</v>
      </c>
      <c r="O258" s="151">
        <v>2500</v>
      </c>
      <c r="P258" s="150">
        <v>2500</v>
      </c>
      <c r="Q258" s="150">
        <v>2500</v>
      </c>
      <c r="R258" s="150">
        <v>2500</v>
      </c>
      <c r="S258" s="150">
        <v>2500</v>
      </c>
      <c r="T258" s="150">
        <v>2500</v>
      </c>
      <c r="V258" s="149"/>
    </row>
    <row r="259" spans="1:31" ht="24" customHeight="1">
      <c r="A259" s="281" t="s">
        <v>253</v>
      </c>
      <c r="B259" s="284"/>
      <c r="C259" s="284"/>
      <c r="D259" s="281" t="s">
        <v>254</v>
      </c>
      <c r="E259" s="215"/>
      <c r="F259" s="284"/>
      <c r="G259" s="284"/>
      <c r="H259" s="284"/>
      <c r="I259" s="284"/>
      <c r="J259" s="284"/>
      <c r="K259" s="284"/>
      <c r="L259" s="224">
        <v>1711</v>
      </c>
      <c r="M259" s="224">
        <v>0</v>
      </c>
      <c r="N259" s="151">
        <v>5000</v>
      </c>
      <c r="O259" s="151">
        <f>O49</f>
        <v>5000</v>
      </c>
      <c r="P259" s="150">
        <f t="shared" ref="P259:T259" si="74">P49</f>
        <v>5000</v>
      </c>
      <c r="Q259" s="150">
        <f t="shared" si="74"/>
        <v>5000</v>
      </c>
      <c r="R259" s="150">
        <f t="shared" si="74"/>
        <v>5000</v>
      </c>
      <c r="S259" s="150">
        <f t="shared" si="74"/>
        <v>5000</v>
      </c>
      <c r="T259" s="150">
        <f t="shared" si="74"/>
        <v>5000</v>
      </c>
    </row>
    <row r="260" spans="1:31" ht="24" customHeight="1">
      <c r="A260" s="281" t="s">
        <v>196</v>
      </c>
      <c r="B260" s="215"/>
      <c r="C260" s="215"/>
      <c r="D260" s="281" t="s">
        <v>99</v>
      </c>
      <c r="E260" s="215"/>
      <c r="F260" s="215"/>
      <c r="G260" s="215"/>
      <c r="H260" s="215"/>
      <c r="I260" s="215"/>
      <c r="J260" s="215"/>
      <c r="K260" s="215"/>
      <c r="L260" s="224">
        <v>11676</v>
      </c>
      <c r="M260" s="224">
        <v>0</v>
      </c>
      <c r="N260" s="151">
        <v>0</v>
      </c>
      <c r="O260" s="151">
        <v>0</v>
      </c>
      <c r="P260" s="150">
        <v>0</v>
      </c>
      <c r="Q260" s="150">
        <v>0</v>
      </c>
      <c r="R260" s="150">
        <v>0</v>
      </c>
      <c r="S260" s="150">
        <v>0</v>
      </c>
      <c r="T260" s="150">
        <v>0</v>
      </c>
      <c r="V260" s="160"/>
    </row>
    <row r="261" spans="1:31" ht="24" customHeight="1">
      <c r="A261" s="281" t="s">
        <v>1232</v>
      </c>
      <c r="B261" s="215"/>
      <c r="C261" s="215"/>
      <c r="D261" s="281" t="s">
        <v>945</v>
      </c>
      <c r="E261" s="355"/>
      <c r="F261" s="355"/>
      <c r="G261" s="355"/>
      <c r="H261" s="355"/>
      <c r="I261" s="355"/>
      <c r="J261" s="355"/>
      <c r="K261" s="355"/>
      <c r="L261" s="226">
        <v>571615</v>
      </c>
      <c r="M261" s="226">
        <v>0</v>
      </c>
      <c r="N261" s="156">
        <v>0</v>
      </c>
      <c r="O261" s="156">
        <v>0</v>
      </c>
      <c r="P261" s="155">
        <v>0</v>
      </c>
      <c r="Q261" s="155">
        <v>0</v>
      </c>
      <c r="R261" s="155">
        <v>0</v>
      </c>
      <c r="S261" s="155">
        <v>0</v>
      </c>
      <c r="T261" s="155">
        <v>0</v>
      </c>
      <c r="V261" s="149"/>
    </row>
    <row r="262" spans="1:31" ht="24" customHeight="1">
      <c r="A262" s="281" t="s">
        <v>1331</v>
      </c>
      <c r="B262" s="551"/>
      <c r="C262" s="551"/>
      <c r="D262" s="281" t="s">
        <v>1332</v>
      </c>
      <c r="E262" s="551"/>
      <c r="F262" s="551"/>
      <c r="G262" s="551"/>
      <c r="H262" s="551"/>
      <c r="I262" s="551"/>
      <c r="J262" s="551"/>
      <c r="K262" s="551"/>
      <c r="L262" s="226">
        <v>0</v>
      </c>
      <c r="M262" s="226">
        <v>323</v>
      </c>
      <c r="N262" s="156">
        <v>0</v>
      </c>
      <c r="O262" s="156">
        <v>20000</v>
      </c>
      <c r="P262" s="155">
        <v>25023</v>
      </c>
      <c r="Q262" s="155">
        <v>0</v>
      </c>
      <c r="R262" s="155">
        <v>0</v>
      </c>
      <c r="S262" s="155">
        <v>0</v>
      </c>
      <c r="T262" s="155">
        <v>0</v>
      </c>
      <c r="V262" s="149"/>
    </row>
    <row r="263" spans="1:31" ht="24" customHeight="1">
      <c r="A263" s="281" t="s">
        <v>944</v>
      </c>
      <c r="B263" s="443"/>
      <c r="C263" s="443"/>
      <c r="D263" s="661" t="s">
        <v>1233</v>
      </c>
      <c r="E263" s="660"/>
      <c r="F263" s="660"/>
      <c r="G263" s="660"/>
      <c r="H263" s="660"/>
      <c r="I263" s="660"/>
      <c r="J263" s="660"/>
      <c r="K263" s="660"/>
      <c r="L263" s="226">
        <v>0</v>
      </c>
      <c r="M263" s="226">
        <v>49795</v>
      </c>
      <c r="N263" s="156">
        <v>62000</v>
      </c>
      <c r="O263" s="156">
        <f t="shared" ref="O263" si="75">O392</f>
        <v>62000</v>
      </c>
      <c r="P263" s="155">
        <f>P392</f>
        <v>49500</v>
      </c>
      <c r="Q263" s="155">
        <f t="shared" ref="P263:T264" si="76">Q392</f>
        <v>54500</v>
      </c>
      <c r="R263" s="155">
        <f t="shared" si="76"/>
        <v>54500</v>
      </c>
      <c r="S263" s="155">
        <f t="shared" si="76"/>
        <v>54500</v>
      </c>
      <c r="T263" s="155">
        <f t="shared" si="76"/>
        <v>54500</v>
      </c>
      <c r="V263" s="149"/>
    </row>
    <row r="264" spans="1:31" ht="24" customHeight="1">
      <c r="A264" s="281" t="s">
        <v>1231</v>
      </c>
      <c r="B264" s="215"/>
      <c r="C264" s="215"/>
      <c r="D264" s="281" t="s">
        <v>1272</v>
      </c>
      <c r="E264" s="364"/>
      <c r="F264" s="364"/>
      <c r="G264" s="364"/>
      <c r="H264" s="364"/>
      <c r="I264" s="364"/>
      <c r="J264" s="364"/>
      <c r="K264" s="364"/>
      <c r="L264" s="226">
        <v>270401</v>
      </c>
      <c r="M264" s="226">
        <v>0</v>
      </c>
      <c r="N264" s="156">
        <f>N393</f>
        <v>0</v>
      </c>
      <c r="O264" s="156">
        <f t="shared" ref="O264" si="77">O393</f>
        <v>0</v>
      </c>
      <c r="P264" s="155">
        <f t="shared" si="76"/>
        <v>0</v>
      </c>
      <c r="Q264" s="155">
        <f t="shared" si="76"/>
        <v>0</v>
      </c>
      <c r="R264" s="155">
        <f t="shared" si="76"/>
        <v>0</v>
      </c>
      <c r="S264" s="155">
        <f t="shared" si="76"/>
        <v>0</v>
      </c>
      <c r="T264" s="155">
        <f t="shared" si="76"/>
        <v>0</v>
      </c>
      <c r="V264" s="149"/>
    </row>
    <row r="265" spans="1:31" ht="24" customHeight="1">
      <c r="A265" s="281" t="s">
        <v>201</v>
      </c>
      <c r="B265" s="282"/>
      <c r="C265" s="282"/>
      <c r="D265" s="281" t="s">
        <v>215</v>
      </c>
      <c r="E265" s="354"/>
      <c r="F265" s="354"/>
      <c r="G265" s="354"/>
      <c r="H265" s="354"/>
      <c r="I265" s="354"/>
      <c r="J265" s="354"/>
      <c r="K265" s="354"/>
      <c r="L265" s="225">
        <v>0</v>
      </c>
      <c r="M265" s="225">
        <v>0</v>
      </c>
      <c r="N265" s="157">
        <v>132103</v>
      </c>
      <c r="O265" s="157">
        <f t="shared" ref="O265:T265" si="78">O526</f>
        <v>131380</v>
      </c>
      <c r="P265" s="154">
        <f t="shared" si="78"/>
        <v>268178</v>
      </c>
      <c r="Q265" s="154">
        <f t="shared" si="78"/>
        <v>313275</v>
      </c>
      <c r="R265" s="154">
        <f t="shared" si="78"/>
        <v>317775</v>
      </c>
      <c r="S265" s="154">
        <f t="shared" si="78"/>
        <v>317075</v>
      </c>
      <c r="T265" s="154">
        <f t="shared" si="78"/>
        <v>316275</v>
      </c>
      <c r="V265" s="700"/>
      <c r="X265" s="728"/>
      <c r="Y265" s="728"/>
      <c r="Z265" s="728"/>
      <c r="AA265" s="728"/>
      <c r="AB265" s="728"/>
    </row>
    <row r="266" spans="1:31" ht="24" customHeight="1">
      <c r="A266" s="281" t="s">
        <v>202</v>
      </c>
      <c r="B266" s="282"/>
      <c r="C266" s="282"/>
      <c r="D266" s="281" t="s">
        <v>217</v>
      </c>
      <c r="E266" s="354"/>
      <c r="F266" s="354"/>
      <c r="G266" s="354"/>
      <c r="H266" s="354"/>
      <c r="I266" s="354"/>
      <c r="J266" s="354"/>
      <c r="K266" s="354"/>
      <c r="L266" s="226">
        <v>1137220</v>
      </c>
      <c r="M266" s="226">
        <v>1133972</v>
      </c>
      <c r="N266" s="151">
        <v>1134654</v>
      </c>
      <c r="O266" s="151">
        <f t="shared" ref="O266:T266" si="79">O669</f>
        <v>1134654</v>
      </c>
      <c r="P266" s="150">
        <f t="shared" si="79"/>
        <v>1134052</v>
      </c>
      <c r="Q266" s="150">
        <f t="shared" si="79"/>
        <v>1137166</v>
      </c>
      <c r="R266" s="150">
        <f t="shared" si="79"/>
        <v>1133782</v>
      </c>
      <c r="S266" s="150">
        <f t="shared" si="79"/>
        <v>1134114</v>
      </c>
      <c r="T266" s="150">
        <f t="shared" si="79"/>
        <v>1137948</v>
      </c>
      <c r="U266" s="335"/>
      <c r="V266" s="149"/>
    </row>
    <row r="267" spans="1:31" ht="24" customHeight="1">
      <c r="A267" s="281" t="s">
        <v>203</v>
      </c>
      <c r="B267" s="282"/>
      <c r="C267" s="282"/>
      <c r="D267" s="281" t="s">
        <v>942</v>
      </c>
      <c r="E267" s="365"/>
      <c r="F267" s="365"/>
      <c r="G267" s="365"/>
      <c r="H267" s="365"/>
      <c r="I267" s="365"/>
      <c r="J267" s="365"/>
      <c r="K267" s="365"/>
      <c r="L267" s="224">
        <v>1765504</v>
      </c>
      <c r="M267" s="224">
        <v>1277606</v>
      </c>
      <c r="N267" s="151">
        <v>1076831</v>
      </c>
      <c r="O267" s="151">
        <f t="shared" ref="O267:T267" si="80">O788</f>
        <v>1076831</v>
      </c>
      <c r="P267" s="150">
        <f t="shared" si="80"/>
        <v>1118638</v>
      </c>
      <c r="Q267" s="150">
        <f t="shared" si="80"/>
        <v>1311784</v>
      </c>
      <c r="R267" s="150">
        <f t="shared" si="80"/>
        <v>1365172</v>
      </c>
      <c r="S267" s="150">
        <f t="shared" si="80"/>
        <v>1420789</v>
      </c>
      <c r="T267" s="150">
        <f t="shared" si="80"/>
        <v>1479455</v>
      </c>
      <c r="V267" s="149"/>
      <c r="X267" s="712"/>
      <c r="Y267" s="712"/>
      <c r="Z267" s="712"/>
      <c r="AA267" s="712"/>
      <c r="AB267" s="712"/>
      <c r="AC267" s="712"/>
    </row>
    <row r="268" spans="1:31" ht="24" customHeight="1">
      <c r="A268" s="281" t="s">
        <v>552</v>
      </c>
      <c r="B268" s="282"/>
      <c r="C268" s="282"/>
      <c r="D268" s="281" t="s">
        <v>553</v>
      </c>
      <c r="E268" s="366"/>
      <c r="F268" s="366"/>
      <c r="G268" s="366"/>
      <c r="H268" s="366"/>
      <c r="I268" s="366"/>
      <c r="J268" s="366"/>
      <c r="K268" s="366"/>
      <c r="L268" s="242">
        <v>45948</v>
      </c>
      <c r="M268" s="242">
        <v>25189</v>
      </c>
      <c r="N268" s="176">
        <v>34168</v>
      </c>
      <c r="O268" s="176">
        <f t="shared" ref="O268:T268" si="81">O918</f>
        <v>31668</v>
      </c>
      <c r="P268" s="175">
        <f t="shared" si="81"/>
        <v>36068</v>
      </c>
      <c r="Q268" s="175">
        <f t="shared" si="81"/>
        <v>37582</v>
      </c>
      <c r="R268" s="175">
        <f t="shared" si="81"/>
        <v>39717</v>
      </c>
      <c r="S268" s="175">
        <f t="shared" si="81"/>
        <v>41980</v>
      </c>
      <c r="T268" s="175">
        <f t="shared" si="81"/>
        <v>44379</v>
      </c>
      <c r="V268" s="149"/>
      <c r="X268" s="184"/>
      <c r="Y268" s="184"/>
      <c r="Z268" s="184"/>
      <c r="AA268" s="184"/>
      <c r="AB268" s="184"/>
      <c r="AC268" s="184"/>
    </row>
    <row r="269" spans="1:31" ht="24" customHeight="1">
      <c r="A269" s="281"/>
      <c r="B269" s="282"/>
      <c r="C269" s="282"/>
      <c r="D269" s="281"/>
      <c r="E269" s="282"/>
      <c r="F269" s="282"/>
      <c r="G269" s="282"/>
      <c r="H269" s="282"/>
      <c r="I269" s="282"/>
      <c r="J269" s="282"/>
      <c r="K269" s="282"/>
      <c r="L269" s="235">
        <f t="shared" ref="L269:T269" si="82">SUM(L234:L268)</f>
        <v>6487837</v>
      </c>
      <c r="M269" s="235">
        <f t="shared" si="82"/>
        <v>5202932</v>
      </c>
      <c r="N269" s="243">
        <f t="shared" si="82"/>
        <v>5303621</v>
      </c>
      <c r="O269" s="243">
        <f t="shared" si="82"/>
        <v>5302910</v>
      </c>
      <c r="P269" s="244">
        <f t="shared" si="82"/>
        <v>5487319</v>
      </c>
      <c r="Q269" s="244">
        <f t="shared" si="82"/>
        <v>5773977</v>
      </c>
      <c r="R269" s="244">
        <f t="shared" si="82"/>
        <v>5867492</v>
      </c>
      <c r="S269" s="244">
        <f t="shared" si="82"/>
        <v>5995137</v>
      </c>
      <c r="T269" s="244">
        <f t="shared" si="82"/>
        <v>6118460</v>
      </c>
      <c r="V269" s="182"/>
      <c r="X269" s="165"/>
      <c r="Y269" s="165"/>
      <c r="Z269" s="165"/>
      <c r="AA269" s="165"/>
      <c r="AB269" s="165"/>
      <c r="AC269" s="165"/>
    </row>
    <row r="270" spans="1:31" s="215" customFormat="1" ht="15" customHeight="1">
      <c r="A270" s="281"/>
      <c r="B270" s="282"/>
      <c r="C270" s="282"/>
      <c r="D270" s="281"/>
      <c r="E270" s="282"/>
      <c r="F270" s="282"/>
      <c r="G270" s="282"/>
      <c r="H270" s="282"/>
      <c r="I270" s="282"/>
      <c r="J270" s="282"/>
      <c r="K270" s="282"/>
      <c r="L270" s="225"/>
      <c r="M270" s="225"/>
      <c r="N270" s="227"/>
      <c r="O270" s="227"/>
      <c r="P270" s="225"/>
      <c r="Q270" s="225"/>
      <c r="R270" s="225"/>
      <c r="S270" s="225"/>
      <c r="T270" s="225"/>
      <c r="U270" s="470"/>
      <c r="W270" s="713"/>
      <c r="X270" s="713"/>
      <c r="Y270" s="713"/>
      <c r="Z270" s="713"/>
      <c r="AA270" s="713"/>
      <c r="AB270" s="713"/>
      <c r="AC270" s="713"/>
      <c r="AD270" s="713"/>
      <c r="AE270" s="713"/>
    </row>
    <row r="271" spans="1:31" s="215" customFormat="1" ht="15" customHeight="1">
      <c r="L271" s="231"/>
      <c r="M271" s="231"/>
      <c r="N271" s="232"/>
      <c r="O271" s="232"/>
      <c r="P271" s="231"/>
      <c r="Q271" s="231"/>
      <c r="R271" s="231"/>
      <c r="S271" s="231"/>
      <c r="T271" s="231"/>
      <c r="U271" s="470"/>
      <c r="W271" s="713"/>
      <c r="X271" s="713"/>
      <c r="Y271" s="713"/>
      <c r="Z271" s="713"/>
      <c r="AA271" s="713"/>
      <c r="AB271" s="713"/>
      <c r="AC271" s="713"/>
      <c r="AD271" s="713"/>
      <c r="AE271" s="713"/>
    </row>
    <row r="272" spans="1:31" s="285" customFormat="1" ht="24" customHeight="1">
      <c r="K272" s="285" t="s">
        <v>548</v>
      </c>
      <c r="L272" s="233">
        <f t="shared" ref="L272:T272" si="83">L98+L119+L163+L191+L269+L231</f>
        <v>13808392</v>
      </c>
      <c r="M272" s="233">
        <f t="shared" si="83"/>
        <v>13185437</v>
      </c>
      <c r="N272" s="234">
        <f t="shared" si="83"/>
        <v>14190635</v>
      </c>
      <c r="O272" s="234">
        <f t="shared" si="83"/>
        <v>14238749</v>
      </c>
      <c r="P272" s="233">
        <f t="shared" si="83"/>
        <v>14803097</v>
      </c>
      <c r="Q272" s="233">
        <f t="shared" si="83"/>
        <v>15384016</v>
      </c>
      <c r="R272" s="233">
        <f t="shared" si="83"/>
        <v>15780895</v>
      </c>
      <c r="S272" s="233">
        <f t="shared" si="83"/>
        <v>16269062</v>
      </c>
      <c r="T272" s="233">
        <f t="shared" si="83"/>
        <v>16771905</v>
      </c>
      <c r="U272" s="470"/>
      <c r="W272" s="290"/>
      <c r="X272" s="290"/>
      <c r="Y272" s="290"/>
      <c r="Z272" s="290"/>
      <c r="AA272" s="290"/>
    </row>
    <row r="273" spans="1:27" s="285" customFormat="1" ht="15" customHeight="1">
      <c r="A273" s="288"/>
      <c r="L273" s="233"/>
      <c r="M273" s="233"/>
      <c r="N273" s="234"/>
      <c r="O273" s="234"/>
      <c r="P273" s="233"/>
      <c r="Q273" s="233"/>
      <c r="R273" s="233"/>
      <c r="S273" s="233"/>
      <c r="T273" s="233"/>
      <c r="U273" s="470"/>
    </row>
    <row r="274" spans="1:27" s="285" customFormat="1" ht="24" customHeight="1">
      <c r="A274" s="289"/>
      <c r="K274" s="285" t="s">
        <v>549</v>
      </c>
      <c r="L274" s="233">
        <f t="shared" ref="L274:T274" si="84">L59-L272</f>
        <v>-363247</v>
      </c>
      <c r="M274" s="233">
        <f t="shared" si="84"/>
        <v>965473</v>
      </c>
      <c r="N274" s="234">
        <f t="shared" si="84"/>
        <v>10002</v>
      </c>
      <c r="O274" s="234">
        <f t="shared" si="84"/>
        <v>187627</v>
      </c>
      <c r="P274" s="233">
        <f t="shared" si="84"/>
        <v>-286275</v>
      </c>
      <c r="Q274" s="233">
        <f t="shared" si="84"/>
        <v>-533484</v>
      </c>
      <c r="R274" s="233">
        <f t="shared" si="84"/>
        <v>-640662</v>
      </c>
      <c r="S274" s="233">
        <f t="shared" si="84"/>
        <v>-833029</v>
      </c>
      <c r="T274" s="233">
        <f t="shared" si="84"/>
        <v>-1034856</v>
      </c>
      <c r="U274" s="470"/>
      <c r="W274" s="309"/>
      <c r="X274" s="309"/>
      <c r="Y274" s="309"/>
      <c r="Z274" s="309"/>
      <c r="AA274" s="309"/>
    </row>
    <row r="275" spans="1:27" s="285" customFormat="1" ht="15" customHeight="1">
      <c r="A275" s="289"/>
      <c r="L275" s="233"/>
      <c r="M275" s="233"/>
      <c r="N275" s="234"/>
      <c r="O275" s="234"/>
      <c r="P275" s="233"/>
      <c r="Q275" s="233"/>
      <c r="R275" s="233"/>
      <c r="S275" s="233"/>
      <c r="T275" s="233"/>
      <c r="U275" s="470"/>
    </row>
    <row r="276" spans="1:27" s="290" customFormat="1" ht="24" customHeight="1">
      <c r="K276" s="290" t="s">
        <v>551</v>
      </c>
      <c r="L276" s="250">
        <v>3860581</v>
      </c>
      <c r="M276" s="250">
        <v>4826059</v>
      </c>
      <c r="N276" s="251">
        <v>4110607</v>
      </c>
      <c r="O276" s="251">
        <f>M276+O274</f>
        <v>5013686</v>
      </c>
      <c r="P276" s="250">
        <f>O276+P274</f>
        <v>4727411</v>
      </c>
      <c r="Q276" s="250">
        <f>P276+Q274</f>
        <v>4193927</v>
      </c>
      <c r="R276" s="250">
        <f>Q276+R274</f>
        <v>3553265</v>
      </c>
      <c r="S276" s="250">
        <f>R276+S274</f>
        <v>2720236</v>
      </c>
      <c r="T276" s="250">
        <f>S276+T274</f>
        <v>1685380</v>
      </c>
      <c r="U276" s="336"/>
    </row>
    <row r="277" spans="1:27" s="291" customFormat="1" ht="24" customHeight="1">
      <c r="L277" s="252">
        <f t="shared" ref="L277:T277" si="85">L276/L272</f>
        <v>0.27958222796687693</v>
      </c>
      <c r="M277" s="252">
        <f t="shared" si="85"/>
        <v>0.36601433839470016</v>
      </c>
      <c r="N277" s="253">
        <f t="shared" si="85"/>
        <v>0.28967040586978665</v>
      </c>
      <c r="O277" s="253">
        <f t="shared" si="85"/>
        <v>0.35211562476450703</v>
      </c>
      <c r="P277" s="252">
        <f t="shared" si="85"/>
        <v>0.31935283542356036</v>
      </c>
      <c r="Q277" s="252">
        <f t="shared" si="85"/>
        <v>0.27261587611453342</v>
      </c>
      <c r="R277" s="252">
        <f t="shared" si="85"/>
        <v>0.2251624511790998</v>
      </c>
      <c r="S277" s="252">
        <f t="shared" si="85"/>
        <v>0.16720300162357241</v>
      </c>
      <c r="T277" s="252">
        <f t="shared" si="85"/>
        <v>0.10048828681059188</v>
      </c>
      <c r="U277" s="337"/>
    </row>
    <row r="278" spans="1:27" s="291" customFormat="1" ht="15" customHeight="1">
      <c r="A278" s="521"/>
      <c r="B278" s="521"/>
      <c r="C278" s="521"/>
      <c r="D278" s="521"/>
      <c r="E278" s="521"/>
      <c r="F278" s="521"/>
      <c r="G278" s="521"/>
      <c r="H278" s="521"/>
      <c r="I278" s="521"/>
      <c r="J278" s="521"/>
      <c r="K278" s="290"/>
      <c r="L278" s="400"/>
      <c r="M278" s="400"/>
      <c r="N278" s="405"/>
      <c r="O278" s="405"/>
      <c r="P278" s="406"/>
      <c r="Q278" s="406"/>
      <c r="R278" s="406"/>
      <c r="S278" s="406"/>
      <c r="T278" s="406"/>
      <c r="U278" s="211"/>
      <c r="V278" s="213"/>
      <c r="W278" s="213"/>
      <c r="X278" s="213"/>
      <c r="Y278" s="213"/>
      <c r="Z278" s="213"/>
      <c r="AA278" s="213"/>
    </row>
    <row r="279" spans="1:27" s="167" customFormat="1" ht="15" customHeight="1">
      <c r="A279" s="322"/>
      <c r="B279" s="322"/>
      <c r="C279" s="322"/>
      <c r="D279" s="322"/>
      <c r="E279" s="322"/>
      <c r="F279" s="322"/>
      <c r="G279" s="322"/>
      <c r="H279" s="322"/>
      <c r="I279" s="322"/>
      <c r="J279" s="322"/>
      <c r="K279" s="322"/>
      <c r="L279" s="522"/>
      <c r="M279" s="522"/>
      <c r="N279" s="542"/>
      <c r="O279" s="542"/>
      <c r="P279" s="523"/>
      <c r="Q279" s="523"/>
      <c r="R279" s="523"/>
      <c r="S279" s="523"/>
      <c r="T279" s="523"/>
      <c r="U279" s="524"/>
      <c r="V279" s="525"/>
      <c r="W279" s="419"/>
      <c r="X279" s="419"/>
      <c r="Y279" s="419"/>
      <c r="Z279" s="419"/>
      <c r="AA279" s="419"/>
    </row>
    <row r="280" spans="1:27" s="167" customFormat="1" ht="24" customHeight="1">
      <c r="A280" s="292" t="s">
        <v>563</v>
      </c>
      <c r="B280" s="285"/>
      <c r="C280" s="285"/>
      <c r="D280" s="285"/>
      <c r="E280" s="285"/>
      <c r="F280" s="285"/>
      <c r="G280" s="285"/>
      <c r="H280" s="285"/>
      <c r="I280" s="285"/>
      <c r="J280" s="285"/>
      <c r="K280" s="285"/>
      <c r="L280" s="367"/>
      <c r="M280" s="367"/>
      <c r="N280" s="401"/>
      <c r="O280" s="401"/>
      <c r="P280" s="402"/>
      <c r="Q280" s="402"/>
      <c r="R280" s="402"/>
      <c r="S280" s="402"/>
      <c r="T280" s="402"/>
      <c r="U280" s="211"/>
      <c r="V280" s="457"/>
      <c r="W280" s="457"/>
      <c r="X280" s="457"/>
      <c r="Y280" s="457"/>
      <c r="Z280" s="457"/>
      <c r="AA280" s="209"/>
    </row>
    <row r="281" spans="1:27" s="167" customFormat="1" ht="15" customHeight="1">
      <c r="A281" s="285"/>
      <c r="B281" s="285"/>
      <c r="C281" s="285"/>
      <c r="D281" s="285"/>
      <c r="E281" s="285"/>
      <c r="F281" s="285"/>
      <c r="G281" s="285"/>
      <c r="H281" s="285"/>
      <c r="I281" s="285"/>
      <c r="J281" s="285"/>
      <c r="K281" s="285"/>
      <c r="L281" s="367"/>
      <c r="M281" s="367"/>
      <c r="N281" s="401"/>
      <c r="O281" s="401"/>
      <c r="P281" s="402"/>
      <c r="Q281" s="402"/>
      <c r="R281" s="402"/>
      <c r="S281" s="402"/>
      <c r="T281" s="402"/>
      <c r="U281" s="211"/>
      <c r="V281" s="498"/>
      <c r="W281" s="498"/>
      <c r="X281" s="498"/>
      <c r="Y281" s="498"/>
      <c r="Z281" s="498"/>
    </row>
    <row r="282" spans="1:27" s="167" customFormat="1" ht="24" customHeight="1">
      <c r="A282" s="364" t="s">
        <v>1121</v>
      </c>
      <c r="B282" s="215"/>
      <c r="C282" s="215"/>
      <c r="D282" s="364" t="s">
        <v>1122</v>
      </c>
      <c r="E282" s="215"/>
      <c r="F282" s="215"/>
      <c r="G282" s="215"/>
      <c r="H282" s="215"/>
      <c r="I282" s="215"/>
      <c r="J282" s="215"/>
      <c r="K282" s="215"/>
      <c r="L282" s="224">
        <v>3786</v>
      </c>
      <c r="M282" s="224">
        <v>8536</v>
      </c>
      <c r="N282" s="151">
        <v>7073</v>
      </c>
      <c r="O282" s="148">
        <v>7072</v>
      </c>
      <c r="P282" s="150">
        <v>7073</v>
      </c>
      <c r="Q282" s="150">
        <v>7073</v>
      </c>
      <c r="R282" s="150">
        <v>7073</v>
      </c>
      <c r="S282" s="150">
        <v>7073</v>
      </c>
      <c r="T282" s="150">
        <v>7073</v>
      </c>
      <c r="U282" s="211"/>
      <c r="V282" s="500"/>
      <c r="W282" s="500"/>
      <c r="X282" s="500"/>
      <c r="Y282" s="500"/>
      <c r="Z282" s="500"/>
      <c r="AA282" s="184"/>
    </row>
    <row r="283" spans="1:27" s="167" customFormat="1" ht="24" customHeight="1">
      <c r="A283" s="215" t="s">
        <v>663</v>
      </c>
      <c r="B283" s="215"/>
      <c r="C283" s="215"/>
      <c r="D283" s="215" t="s">
        <v>6</v>
      </c>
      <c r="E283" s="215"/>
      <c r="F283" s="215"/>
      <c r="G283" s="215"/>
      <c r="H283" s="215"/>
      <c r="I283" s="215"/>
      <c r="J283" s="215"/>
      <c r="K283" s="215"/>
      <c r="L283" s="230">
        <v>1</v>
      </c>
      <c r="M283" s="230">
        <v>0</v>
      </c>
      <c r="N283" s="164">
        <v>0</v>
      </c>
      <c r="O283" s="164">
        <v>0</v>
      </c>
      <c r="P283" s="163">
        <v>0</v>
      </c>
      <c r="Q283" s="163">
        <v>0</v>
      </c>
      <c r="R283" s="163">
        <v>0</v>
      </c>
      <c r="S283" s="163">
        <v>0</v>
      </c>
      <c r="T283" s="163">
        <v>0</v>
      </c>
      <c r="U283" s="211"/>
      <c r="V283" s="501"/>
      <c r="W283" s="501"/>
      <c r="X283" s="501"/>
      <c r="Y283" s="501"/>
      <c r="Z283" s="501"/>
      <c r="AA283" s="192"/>
    </row>
    <row r="284" spans="1:27" s="167" customFormat="1" ht="15" customHeight="1">
      <c r="A284" s="215"/>
      <c r="B284" s="215"/>
      <c r="C284" s="215"/>
      <c r="D284" s="215"/>
      <c r="E284" s="215"/>
      <c r="F284" s="215"/>
      <c r="G284" s="215"/>
      <c r="H284" s="215"/>
      <c r="I284" s="215"/>
      <c r="J284" s="215"/>
      <c r="K284" s="215"/>
      <c r="L284" s="225"/>
      <c r="M284" s="225"/>
      <c r="N284" s="157"/>
      <c r="O284" s="157"/>
      <c r="P284" s="154"/>
      <c r="Q284" s="154"/>
      <c r="R284" s="154"/>
      <c r="S284" s="154"/>
      <c r="T284" s="154"/>
      <c r="U284" s="211"/>
      <c r="V284" s="499"/>
      <c r="W284" s="499"/>
      <c r="X284" s="499"/>
      <c r="Y284" s="499"/>
      <c r="Z284" s="499"/>
    </row>
    <row r="285" spans="1:27" s="285" customFormat="1" ht="24" customHeight="1">
      <c r="K285" s="285" t="s">
        <v>545</v>
      </c>
      <c r="L285" s="233">
        <f t="shared" ref="L285" si="86">SUM(L282:L284)</f>
        <v>3787</v>
      </c>
      <c r="M285" s="233">
        <f t="shared" ref="M285" si="87">SUM(M282:M284)</f>
        <v>8536</v>
      </c>
      <c r="N285" s="234">
        <f t="shared" ref="N285" si="88">SUM(N282:N284)</f>
        <v>7073</v>
      </c>
      <c r="O285" s="234">
        <f t="shared" ref="O285" si="89">SUM(O282:O284)</f>
        <v>7072</v>
      </c>
      <c r="P285" s="233">
        <f t="shared" ref="P285:Q285" si="90">SUM(P282:P284)</f>
        <v>7073</v>
      </c>
      <c r="Q285" s="233">
        <f t="shared" si="90"/>
        <v>7073</v>
      </c>
      <c r="R285" s="233">
        <f>SUM(R282:R284)</f>
        <v>7073</v>
      </c>
      <c r="S285" s="233">
        <f>SUM(S282:S284)</f>
        <v>7073</v>
      </c>
      <c r="T285" s="233">
        <f>SUM(T282:T284)</f>
        <v>7073</v>
      </c>
      <c r="U285" s="470"/>
      <c r="V285" s="502"/>
      <c r="W285" s="502"/>
      <c r="X285" s="502"/>
      <c r="Y285" s="502"/>
      <c r="Z285" s="502"/>
      <c r="AA285" s="309"/>
    </row>
    <row r="286" spans="1:27" s="167" customFormat="1" ht="15" customHeight="1">
      <c r="A286" s="285"/>
      <c r="B286" s="285"/>
      <c r="C286" s="285"/>
      <c r="D286" s="285"/>
      <c r="E286" s="285"/>
      <c r="F286" s="285"/>
      <c r="G286" s="285"/>
      <c r="H286" s="285"/>
      <c r="I286" s="285"/>
      <c r="J286" s="285"/>
      <c r="K286" s="285"/>
      <c r="L286" s="249"/>
      <c r="M286" s="249"/>
      <c r="N286" s="169"/>
      <c r="O286" s="169"/>
      <c r="P286" s="168"/>
      <c r="Q286" s="168"/>
      <c r="R286" s="168"/>
      <c r="S286" s="168"/>
      <c r="T286" s="168"/>
      <c r="U286" s="211"/>
    </row>
    <row r="287" spans="1:27" s="167" customFormat="1" ht="24" customHeight="1">
      <c r="A287" s="281" t="s">
        <v>1025</v>
      </c>
      <c r="B287" s="293"/>
      <c r="C287" s="293"/>
      <c r="D287" s="283" t="s">
        <v>1024</v>
      </c>
      <c r="E287" s="293"/>
      <c r="F287" s="293"/>
      <c r="G287" s="293"/>
      <c r="H287" s="293"/>
      <c r="I287" s="293"/>
      <c r="J287" s="293"/>
      <c r="K287" s="293"/>
      <c r="L287" s="241">
        <v>0</v>
      </c>
      <c r="M287" s="241">
        <v>0</v>
      </c>
      <c r="N287" s="187">
        <v>15000</v>
      </c>
      <c r="O287" s="187">
        <v>19841</v>
      </c>
      <c r="P287" s="179">
        <v>0</v>
      </c>
      <c r="Q287" s="179">
        <v>0</v>
      </c>
      <c r="R287" s="179">
        <v>0</v>
      </c>
      <c r="S287" s="179">
        <v>0</v>
      </c>
      <c r="T287" s="179">
        <v>0</v>
      </c>
      <c r="U287" s="211"/>
      <c r="V287" s="729"/>
      <c r="W287" s="729"/>
      <c r="X287" s="729"/>
      <c r="Y287" s="729"/>
      <c r="Z287" s="729"/>
      <c r="AA287" s="193"/>
    </row>
    <row r="288" spans="1:27" s="167" customFormat="1" ht="24" customHeight="1">
      <c r="A288" s="281" t="s">
        <v>1112</v>
      </c>
      <c r="B288" s="293"/>
      <c r="C288" s="293"/>
      <c r="D288" s="283" t="s">
        <v>134</v>
      </c>
      <c r="E288" s="293"/>
      <c r="F288" s="293"/>
      <c r="G288" s="293"/>
      <c r="H288" s="293"/>
      <c r="I288" s="293"/>
      <c r="J288" s="293"/>
      <c r="K288" s="293"/>
      <c r="L288" s="241">
        <v>190</v>
      </c>
      <c r="M288" s="241">
        <v>0</v>
      </c>
      <c r="N288" s="187">
        <v>0</v>
      </c>
      <c r="O288" s="187">
        <v>0</v>
      </c>
      <c r="P288" s="179">
        <v>0</v>
      </c>
      <c r="Q288" s="179">
        <v>0</v>
      </c>
      <c r="R288" s="179">
        <v>0</v>
      </c>
      <c r="S288" s="179">
        <v>0</v>
      </c>
      <c r="T288" s="179">
        <v>0</v>
      </c>
      <c r="U288" s="211"/>
      <c r="V288" s="503"/>
      <c r="W288" s="503"/>
      <c r="X288" s="503"/>
      <c r="Y288" s="503"/>
      <c r="Z288" s="503"/>
      <c r="AA288" s="193"/>
    </row>
    <row r="289" spans="1:28" s="167" customFormat="1" ht="24" customHeight="1">
      <c r="A289" s="281" t="s">
        <v>263</v>
      </c>
      <c r="B289" s="282"/>
      <c r="C289" s="282"/>
      <c r="D289" s="281" t="s">
        <v>1079</v>
      </c>
      <c r="E289" s="508"/>
      <c r="F289" s="508"/>
      <c r="G289" s="508"/>
      <c r="H289" s="508"/>
      <c r="I289" s="508"/>
      <c r="J289" s="508"/>
      <c r="K289" s="508"/>
      <c r="L289" s="254">
        <v>7586</v>
      </c>
      <c r="M289" s="254">
        <v>4208</v>
      </c>
      <c r="N289" s="194">
        <f>ROUND(((4603*1.05)+10000),0)</f>
        <v>14833</v>
      </c>
      <c r="O289" s="194">
        <v>14833</v>
      </c>
      <c r="P289" s="634">
        <f>4833</f>
        <v>4833</v>
      </c>
      <c r="Q289" s="634">
        <f>ROUND(P289*1.2,0)</f>
        <v>5800</v>
      </c>
      <c r="R289" s="634">
        <f>Q289</f>
        <v>5800</v>
      </c>
      <c r="S289" s="634">
        <f t="shared" ref="S289:T289" si="91">R289</f>
        <v>5800</v>
      </c>
      <c r="T289" s="634">
        <f t="shared" si="91"/>
        <v>5800</v>
      </c>
      <c r="U289" s="211"/>
      <c r="V289" s="504"/>
      <c r="W289" s="504"/>
      <c r="X289" s="504"/>
      <c r="Y289" s="504"/>
      <c r="Z289" s="504"/>
      <c r="AA289" s="195"/>
    </row>
    <row r="290" spans="1:28" s="167" customFormat="1" ht="15" customHeight="1">
      <c r="A290" s="281"/>
      <c r="B290" s="282"/>
      <c r="C290" s="282"/>
      <c r="D290" s="281"/>
      <c r="E290" s="282"/>
      <c r="F290" s="282"/>
      <c r="G290" s="282"/>
      <c r="H290" s="282"/>
      <c r="I290" s="282"/>
      <c r="J290" s="282"/>
      <c r="K290" s="282"/>
      <c r="L290" s="241"/>
      <c r="M290" s="241"/>
      <c r="N290" s="187"/>
      <c r="O290" s="187"/>
      <c r="P290" s="179"/>
      <c r="Q290" s="179"/>
      <c r="R290" s="179"/>
      <c r="S290" s="179"/>
      <c r="T290" s="179"/>
      <c r="U290" s="211"/>
      <c r="V290" s="499"/>
      <c r="W290" s="499"/>
      <c r="X290" s="499"/>
      <c r="Y290" s="499"/>
      <c r="Z290" s="499"/>
    </row>
    <row r="291" spans="1:28" s="285" customFormat="1" ht="24" customHeight="1">
      <c r="A291" s="281"/>
      <c r="B291" s="282"/>
      <c r="C291" s="282"/>
      <c r="D291" s="281"/>
      <c r="E291" s="282"/>
      <c r="F291" s="282"/>
      <c r="G291" s="282"/>
      <c r="H291" s="282"/>
      <c r="I291" s="282"/>
      <c r="J291" s="282"/>
      <c r="K291" s="285" t="s">
        <v>548</v>
      </c>
      <c r="L291" s="233">
        <f>SUM(L287:L290)</f>
        <v>7776</v>
      </c>
      <c r="M291" s="233">
        <f>SUM(M287:M290)</f>
        <v>4208</v>
      </c>
      <c r="N291" s="234">
        <f t="shared" ref="N291" si="92">SUM(N287:N290)</f>
        <v>29833</v>
      </c>
      <c r="O291" s="234">
        <f t="shared" ref="O291" si="93">SUM(O287:O290)</f>
        <v>34674</v>
      </c>
      <c r="P291" s="233">
        <f t="shared" ref="P291:T291" si="94">SUM(P287:P290)</f>
        <v>4833</v>
      </c>
      <c r="Q291" s="233">
        <f t="shared" si="94"/>
        <v>5800</v>
      </c>
      <c r="R291" s="233">
        <f t="shared" si="94"/>
        <v>5800</v>
      </c>
      <c r="S291" s="233">
        <f t="shared" ref="S291" si="95">SUM(S287:S290)</f>
        <v>5800</v>
      </c>
      <c r="T291" s="233">
        <f t="shared" si="94"/>
        <v>5800</v>
      </c>
      <c r="U291" s="338"/>
      <c r="V291" s="505"/>
      <c r="W291" s="505"/>
      <c r="X291" s="505"/>
      <c r="Y291" s="505"/>
      <c r="Z291" s="505"/>
      <c r="AA291" s="290"/>
    </row>
    <row r="292" spans="1:28" s="285" customFormat="1" ht="15" customHeight="1">
      <c r="L292" s="233"/>
      <c r="M292" s="233"/>
      <c r="N292" s="234"/>
      <c r="O292" s="234"/>
      <c r="P292" s="233"/>
      <c r="Q292" s="233"/>
      <c r="R292" s="233"/>
      <c r="S292" s="233"/>
      <c r="T292" s="233"/>
      <c r="U292" s="470"/>
      <c r="V292" s="323"/>
      <c r="W292" s="323"/>
      <c r="X292" s="323"/>
      <c r="Y292" s="323"/>
      <c r="Z292" s="323"/>
    </row>
    <row r="293" spans="1:28" s="285" customFormat="1" ht="24" customHeight="1">
      <c r="K293" s="285" t="s">
        <v>549</v>
      </c>
      <c r="L293" s="233">
        <f t="shared" ref="L293" si="96">L285-L291</f>
        <v>-3989</v>
      </c>
      <c r="M293" s="233">
        <f t="shared" ref="M293:T293" si="97">M285-M291</f>
        <v>4328</v>
      </c>
      <c r="N293" s="234">
        <f t="shared" ref="N293" si="98">N285-N291</f>
        <v>-22760</v>
      </c>
      <c r="O293" s="234">
        <f t="shared" ref="O293" si="99">O285-O291</f>
        <v>-27602</v>
      </c>
      <c r="P293" s="233">
        <f t="shared" si="97"/>
        <v>2240</v>
      </c>
      <c r="Q293" s="233">
        <f t="shared" si="97"/>
        <v>1273</v>
      </c>
      <c r="R293" s="233">
        <f t="shared" si="97"/>
        <v>1273</v>
      </c>
      <c r="S293" s="233">
        <f t="shared" ref="S293" si="100">S285-S291</f>
        <v>1273</v>
      </c>
      <c r="T293" s="233">
        <f t="shared" si="97"/>
        <v>1273</v>
      </c>
      <c r="U293" s="470"/>
      <c r="V293" s="502"/>
      <c r="W293" s="502"/>
      <c r="X293" s="502"/>
      <c r="Y293" s="502"/>
      <c r="Z293" s="502"/>
      <c r="AA293" s="309"/>
    </row>
    <row r="294" spans="1:28" s="285" customFormat="1" ht="15" customHeight="1">
      <c r="L294" s="233"/>
      <c r="M294" s="233"/>
      <c r="N294" s="234"/>
      <c r="O294" s="234"/>
      <c r="P294" s="233"/>
      <c r="Q294" s="233"/>
      <c r="R294" s="233"/>
      <c r="S294" s="233"/>
      <c r="T294" s="233"/>
      <c r="U294" s="470"/>
      <c r="V294" s="323"/>
      <c r="W294" s="323"/>
      <c r="X294" s="323"/>
      <c r="Y294" s="323"/>
      <c r="Z294" s="323"/>
    </row>
    <row r="295" spans="1:28" s="285" customFormat="1" ht="24" customHeight="1">
      <c r="K295" s="290" t="s">
        <v>551</v>
      </c>
      <c r="L295" s="250">
        <v>11134</v>
      </c>
      <c r="M295" s="250">
        <v>15462</v>
      </c>
      <c r="N295" s="251">
        <v>-7693</v>
      </c>
      <c r="O295" s="251">
        <f>M295+O293</f>
        <v>-12140</v>
      </c>
      <c r="P295" s="250">
        <f>O295+P293</f>
        <v>-9900</v>
      </c>
      <c r="Q295" s="250">
        <f>P295+Q293</f>
        <v>-8627</v>
      </c>
      <c r="R295" s="250">
        <f>Q295+R293</f>
        <v>-7354</v>
      </c>
      <c r="S295" s="250">
        <f>R295+S293</f>
        <v>-6081</v>
      </c>
      <c r="T295" s="250">
        <f>S295+T293</f>
        <v>-4808</v>
      </c>
      <c r="U295" s="470"/>
      <c r="V295" s="502"/>
      <c r="W295" s="502"/>
      <c r="X295" s="502"/>
      <c r="Y295" s="502"/>
      <c r="Z295" s="502"/>
      <c r="AA295" s="309"/>
    </row>
    <row r="296" spans="1:28" s="291" customFormat="1" ht="24" customHeight="1">
      <c r="L296" s="252">
        <f t="shared" ref="L296" si="101">L295/L291</f>
        <v>1.4318415637860082</v>
      </c>
      <c r="M296" s="252">
        <f t="shared" ref="M296:T296" si="102">M295/M291</f>
        <v>3.6744296577946769</v>
      </c>
      <c r="N296" s="253">
        <f t="shared" ref="N296" si="103">N295/N291</f>
        <v>-0.25786880300338549</v>
      </c>
      <c r="O296" s="253">
        <f t="shared" ref="O296" si="104">O295/O291</f>
        <v>-0.35011824421756937</v>
      </c>
      <c r="P296" s="252">
        <f t="shared" si="102"/>
        <v>-2.0484171322160147</v>
      </c>
      <c r="Q296" s="252">
        <f t="shared" si="102"/>
        <v>-1.4874137931034483</v>
      </c>
      <c r="R296" s="252">
        <f t="shared" si="102"/>
        <v>-1.2679310344827586</v>
      </c>
      <c r="S296" s="252">
        <f t="shared" ref="S296" si="105">S295/S291</f>
        <v>-1.048448275862069</v>
      </c>
      <c r="T296" s="252">
        <f t="shared" si="102"/>
        <v>-0.82896551724137935</v>
      </c>
      <c r="U296" s="337"/>
      <c r="V296" s="506"/>
      <c r="W296" s="506"/>
      <c r="X296" s="506"/>
      <c r="Y296" s="506"/>
      <c r="Z296" s="506"/>
      <c r="AA296" s="252"/>
    </row>
    <row r="297" spans="1:28" ht="15" customHeight="1">
      <c r="A297" s="215"/>
      <c r="B297" s="215"/>
      <c r="C297" s="215"/>
      <c r="D297" s="215"/>
      <c r="E297" s="215"/>
      <c r="F297" s="215"/>
      <c r="G297" s="215"/>
      <c r="H297" s="215"/>
      <c r="I297" s="215"/>
      <c r="J297" s="215"/>
      <c r="K297" s="215"/>
      <c r="L297" s="279"/>
      <c r="M297" s="279"/>
      <c r="N297" s="397"/>
      <c r="O297" s="397"/>
      <c r="P297" s="398"/>
      <c r="Q297" s="398"/>
      <c r="R297" s="398"/>
      <c r="S297" s="398"/>
      <c r="T297" s="398"/>
      <c r="V297" s="457"/>
      <c r="W297" s="457"/>
      <c r="X297" s="457"/>
      <c r="Y297" s="457"/>
      <c r="Z297" s="457"/>
      <c r="AA297" s="457"/>
    </row>
    <row r="298" spans="1:28" ht="24" customHeight="1">
      <c r="A298" s="292" t="s">
        <v>564</v>
      </c>
      <c r="B298" s="497"/>
      <c r="C298" s="497"/>
      <c r="D298" s="497"/>
      <c r="E298" s="215"/>
      <c r="F298" s="215"/>
      <c r="G298" s="215"/>
      <c r="H298" s="215"/>
      <c r="I298" s="215"/>
      <c r="J298" s="215"/>
      <c r="K298" s="215"/>
      <c r="L298" s="279"/>
      <c r="M298" s="279"/>
      <c r="N298" s="397"/>
      <c r="O298" s="397"/>
      <c r="P298" s="398"/>
      <c r="Q298" s="398"/>
      <c r="R298" s="398"/>
      <c r="S298" s="398"/>
      <c r="T298" s="398"/>
      <c r="V298" s="498"/>
      <c r="W298" s="498"/>
      <c r="X298" s="498"/>
      <c r="Y298" s="498"/>
      <c r="Z298" s="498"/>
      <c r="AA298" s="498"/>
    </row>
    <row r="299" spans="1:28" ht="15" customHeight="1">
      <c r="A299" s="215"/>
      <c r="B299" s="215"/>
      <c r="C299" s="215"/>
      <c r="D299" s="215"/>
      <c r="E299" s="215"/>
      <c r="F299" s="215"/>
      <c r="G299" s="215"/>
      <c r="H299" s="215"/>
      <c r="I299" s="215"/>
      <c r="J299" s="215"/>
      <c r="K299" s="215"/>
      <c r="L299" s="279"/>
      <c r="M299" s="279"/>
      <c r="N299" s="397"/>
      <c r="O299" s="397"/>
      <c r="P299" s="398"/>
      <c r="Q299" s="398"/>
      <c r="R299" s="398"/>
      <c r="S299" s="398"/>
      <c r="T299" s="398"/>
      <c r="V299" s="499"/>
      <c r="W299" s="499"/>
      <c r="X299" s="499"/>
      <c r="Y299" s="499"/>
      <c r="Z299" s="499"/>
      <c r="AA299" s="499"/>
    </row>
    <row r="300" spans="1:28" ht="24" customHeight="1">
      <c r="A300" s="364" t="s">
        <v>1119</v>
      </c>
      <c r="B300" s="215"/>
      <c r="C300" s="215"/>
      <c r="D300" s="364" t="s">
        <v>1120</v>
      </c>
      <c r="E300" s="215"/>
      <c r="F300" s="215"/>
      <c r="G300" s="215"/>
      <c r="H300" s="215"/>
      <c r="I300" s="215"/>
      <c r="J300" s="215"/>
      <c r="K300" s="215"/>
      <c r="L300" s="225">
        <v>7467</v>
      </c>
      <c r="M300" s="225">
        <v>17417</v>
      </c>
      <c r="N300" s="187">
        <v>18608</v>
      </c>
      <c r="O300" s="148">
        <v>18608</v>
      </c>
      <c r="P300" s="179">
        <v>20392</v>
      </c>
      <c r="Q300" s="179">
        <v>20392</v>
      </c>
      <c r="R300" s="179">
        <v>20392</v>
      </c>
      <c r="S300" s="179">
        <v>20392</v>
      </c>
      <c r="T300" s="179">
        <v>20392</v>
      </c>
      <c r="V300" s="500"/>
      <c r="W300" s="500"/>
      <c r="X300" s="500"/>
      <c r="Y300" s="500"/>
      <c r="Z300" s="500"/>
      <c r="AA300" s="500"/>
      <c r="AB300" s="184"/>
    </row>
    <row r="301" spans="1:28" ht="24" customHeight="1">
      <c r="A301" s="215" t="s">
        <v>664</v>
      </c>
      <c r="B301" s="215"/>
      <c r="C301" s="215"/>
      <c r="D301" s="215" t="s">
        <v>6</v>
      </c>
      <c r="E301" s="215"/>
      <c r="F301" s="215"/>
      <c r="G301" s="215"/>
      <c r="H301" s="215"/>
      <c r="I301" s="215"/>
      <c r="J301" s="215"/>
      <c r="K301" s="215"/>
      <c r="L301" s="230">
        <v>2</v>
      </c>
      <c r="M301" s="230">
        <v>0</v>
      </c>
      <c r="N301" s="164">
        <v>0</v>
      </c>
      <c r="O301" s="164">
        <v>0</v>
      </c>
      <c r="P301" s="163">
        <v>0</v>
      </c>
      <c r="Q301" s="163">
        <v>0</v>
      </c>
      <c r="R301" s="163">
        <v>0</v>
      </c>
      <c r="S301" s="163">
        <v>0</v>
      </c>
      <c r="T301" s="163">
        <v>0</v>
      </c>
      <c r="V301" s="501"/>
      <c r="W301" s="501"/>
      <c r="X301" s="501"/>
      <c r="Y301" s="501"/>
      <c r="Z301" s="501"/>
      <c r="AA301" s="501"/>
    </row>
    <row r="302" spans="1:28" ht="15" customHeight="1">
      <c r="A302" s="215"/>
      <c r="B302" s="215"/>
      <c r="C302" s="215"/>
      <c r="D302" s="215"/>
      <c r="E302" s="215"/>
      <c r="F302" s="215"/>
      <c r="G302" s="215"/>
      <c r="H302" s="215"/>
      <c r="I302" s="215"/>
      <c r="J302" s="215"/>
      <c r="K302" s="215"/>
      <c r="L302" s="225"/>
      <c r="M302" s="225"/>
      <c r="N302" s="157"/>
      <c r="O302" s="157"/>
      <c r="P302" s="154"/>
      <c r="Q302" s="154"/>
      <c r="R302" s="154"/>
      <c r="S302" s="154"/>
      <c r="T302" s="154"/>
      <c r="V302" s="499"/>
      <c r="W302" s="499"/>
      <c r="X302" s="499"/>
      <c r="Y302" s="499"/>
      <c r="Z302" s="499"/>
      <c r="AA302" s="499"/>
    </row>
    <row r="303" spans="1:28" s="215" customFormat="1" ht="24" customHeight="1">
      <c r="K303" s="285" t="s">
        <v>545</v>
      </c>
      <c r="L303" s="233">
        <f t="shared" ref="L303" si="106">SUM(L300:L302)</f>
        <v>7469</v>
      </c>
      <c r="M303" s="233">
        <f t="shared" ref="M303:N303" si="107">SUM(M300:M302)</f>
        <v>17417</v>
      </c>
      <c r="N303" s="234">
        <f t="shared" si="107"/>
        <v>18608</v>
      </c>
      <c r="O303" s="234">
        <f t="shared" ref="O303" si="108">SUM(O300:O302)</f>
        <v>18608</v>
      </c>
      <c r="P303" s="233">
        <f t="shared" ref="P303:Q303" si="109">SUM(P300:P302)</f>
        <v>20392</v>
      </c>
      <c r="Q303" s="233">
        <f t="shared" si="109"/>
        <v>20392</v>
      </c>
      <c r="R303" s="233">
        <f>SUM(R300:R302)</f>
        <v>20392</v>
      </c>
      <c r="S303" s="233">
        <f>SUM(S300:S302)</f>
        <v>20392</v>
      </c>
      <c r="T303" s="233">
        <f>SUM(T300:T302)</f>
        <v>20392</v>
      </c>
      <c r="U303" s="470"/>
      <c r="V303" s="502"/>
      <c r="W303" s="502"/>
      <c r="X303" s="502"/>
      <c r="Y303" s="502"/>
      <c r="Z303" s="502"/>
      <c r="AA303" s="502"/>
    </row>
    <row r="304" spans="1:28" ht="15" customHeight="1">
      <c r="A304" s="215"/>
      <c r="B304" s="215"/>
      <c r="C304" s="215"/>
      <c r="D304" s="215"/>
      <c r="E304" s="215"/>
      <c r="F304" s="215"/>
      <c r="G304" s="215"/>
      <c r="H304" s="215"/>
      <c r="I304" s="215"/>
      <c r="J304" s="215"/>
      <c r="K304" s="285"/>
      <c r="L304" s="233"/>
      <c r="M304" s="233"/>
      <c r="N304" s="169"/>
      <c r="O304" s="169"/>
      <c r="P304" s="168"/>
      <c r="Q304" s="168"/>
      <c r="R304" s="168"/>
      <c r="S304" s="168"/>
      <c r="T304" s="168"/>
      <c r="V304" s="499"/>
      <c r="W304" s="499"/>
      <c r="X304" s="499"/>
      <c r="Y304" s="499"/>
      <c r="Z304" s="499"/>
      <c r="AA304" s="499"/>
    </row>
    <row r="305" spans="1:28" ht="24" customHeight="1">
      <c r="A305" s="281" t="s">
        <v>1022</v>
      </c>
      <c r="B305" s="293"/>
      <c r="C305" s="293"/>
      <c r="D305" s="283" t="s">
        <v>1023</v>
      </c>
      <c r="E305" s="293"/>
      <c r="F305" s="293"/>
      <c r="G305" s="293"/>
      <c r="H305" s="293"/>
      <c r="I305" s="293"/>
      <c r="J305" s="293"/>
      <c r="K305" s="293"/>
      <c r="L305" s="241">
        <v>0</v>
      </c>
      <c r="M305" s="241">
        <v>34897</v>
      </c>
      <c r="N305" s="187">
        <v>26060</v>
      </c>
      <c r="O305" s="187">
        <v>26323</v>
      </c>
      <c r="P305" s="179">
        <v>6000</v>
      </c>
      <c r="Q305" s="179">
        <v>6000</v>
      </c>
      <c r="R305" s="179">
        <v>0</v>
      </c>
      <c r="S305" s="179">
        <v>0</v>
      </c>
      <c r="T305" s="179">
        <v>0</v>
      </c>
      <c r="V305" s="503"/>
      <c r="W305" s="503"/>
      <c r="X305" s="503"/>
      <c r="Y305" s="503"/>
      <c r="Z305" s="503"/>
      <c r="AA305" s="503"/>
    </row>
    <row r="306" spans="1:28" ht="24" customHeight="1">
      <c r="A306" s="281" t="s">
        <v>262</v>
      </c>
      <c r="B306" s="282"/>
      <c r="C306" s="282"/>
      <c r="D306" s="281" t="s">
        <v>1079</v>
      </c>
      <c r="E306" s="508"/>
      <c r="F306" s="508"/>
      <c r="G306" s="508"/>
      <c r="H306" s="508"/>
      <c r="I306" s="508"/>
      <c r="J306" s="508"/>
      <c r="K306" s="508"/>
      <c r="L306" s="254">
        <v>12635</v>
      </c>
      <c r="M306" s="254">
        <v>5201</v>
      </c>
      <c r="N306" s="194">
        <v>11534</v>
      </c>
      <c r="O306" s="194">
        <v>11534</v>
      </c>
      <c r="P306" s="634">
        <v>11534</v>
      </c>
      <c r="Q306" s="634">
        <f>ROUND(P306*1.2,0)</f>
        <v>13841</v>
      </c>
      <c r="R306" s="634">
        <f>Q306</f>
        <v>13841</v>
      </c>
      <c r="S306" s="634">
        <f t="shared" ref="S306:T306" si="110">R306</f>
        <v>13841</v>
      </c>
      <c r="T306" s="634">
        <f t="shared" si="110"/>
        <v>13841</v>
      </c>
      <c r="V306" s="504"/>
      <c r="W306" s="504"/>
      <c r="X306" s="504"/>
      <c r="Y306" s="504"/>
      <c r="Z306" s="504"/>
      <c r="AA306" s="504"/>
    </row>
    <row r="307" spans="1:28" ht="15" customHeight="1">
      <c r="A307" s="281"/>
      <c r="B307" s="282"/>
      <c r="C307" s="282"/>
      <c r="D307" s="281"/>
      <c r="E307" s="282"/>
      <c r="F307" s="282"/>
      <c r="G307" s="282"/>
      <c r="H307" s="282"/>
      <c r="I307" s="282"/>
      <c r="J307" s="282"/>
      <c r="K307" s="282"/>
      <c r="L307" s="241"/>
      <c r="M307" s="241"/>
      <c r="N307" s="187"/>
      <c r="O307" s="187"/>
      <c r="P307" s="179"/>
      <c r="Q307" s="179"/>
      <c r="R307" s="179"/>
      <c r="S307" s="179"/>
      <c r="T307" s="179"/>
      <c r="V307" s="499"/>
      <c r="W307" s="499"/>
      <c r="X307" s="499"/>
      <c r="Y307" s="499"/>
      <c r="Z307" s="499"/>
      <c r="AA307" s="499"/>
    </row>
    <row r="308" spans="1:28" s="215" customFormat="1" ht="24" customHeight="1">
      <c r="A308" s="281"/>
      <c r="B308" s="282"/>
      <c r="C308" s="282"/>
      <c r="D308" s="281"/>
      <c r="E308" s="282"/>
      <c r="F308" s="282"/>
      <c r="G308" s="282"/>
      <c r="H308" s="282"/>
      <c r="I308" s="282"/>
      <c r="J308" s="282"/>
      <c r="K308" s="285" t="s">
        <v>548</v>
      </c>
      <c r="L308" s="233">
        <f t="shared" ref="L308" si="111">SUM(L305:L307)</f>
        <v>12635</v>
      </c>
      <c r="M308" s="233">
        <f t="shared" ref="M308:T308" si="112">SUM(M305:M307)</f>
        <v>40098</v>
      </c>
      <c r="N308" s="234">
        <f t="shared" ref="N308" si="113">SUM(N305:N307)</f>
        <v>37594</v>
      </c>
      <c r="O308" s="234">
        <f t="shared" ref="O308" si="114">SUM(O305:O307)</f>
        <v>37857</v>
      </c>
      <c r="P308" s="233">
        <f t="shared" si="112"/>
        <v>17534</v>
      </c>
      <c r="Q308" s="233">
        <f t="shared" si="112"/>
        <v>19841</v>
      </c>
      <c r="R308" s="233">
        <f t="shared" si="112"/>
        <v>13841</v>
      </c>
      <c r="S308" s="233">
        <f t="shared" ref="S308" si="115">SUM(S305:S307)</f>
        <v>13841</v>
      </c>
      <c r="T308" s="233">
        <f t="shared" si="112"/>
        <v>13841</v>
      </c>
      <c r="U308" s="470"/>
      <c r="V308" s="505"/>
      <c r="W308" s="505"/>
      <c r="X308" s="505"/>
      <c r="Y308" s="505"/>
      <c r="Z308" s="505"/>
      <c r="AA308" s="505"/>
    </row>
    <row r="309" spans="1:28" s="215" customFormat="1" ht="15" customHeight="1">
      <c r="L309" s="231"/>
      <c r="M309" s="231"/>
      <c r="N309" s="232"/>
      <c r="O309" s="232"/>
      <c r="P309" s="231"/>
      <c r="Q309" s="231"/>
      <c r="R309" s="231"/>
      <c r="S309" s="231"/>
      <c r="T309" s="231"/>
      <c r="U309" s="470"/>
      <c r="V309" s="323"/>
      <c r="W309" s="323"/>
      <c r="X309" s="323"/>
      <c r="Y309" s="323"/>
      <c r="Z309" s="323"/>
      <c r="AA309" s="323"/>
    </row>
    <row r="310" spans="1:28" s="215" customFormat="1" ht="24" customHeight="1">
      <c r="K310" s="285" t="s">
        <v>549</v>
      </c>
      <c r="L310" s="250">
        <f t="shared" ref="L310" si="116">L303-L308</f>
        <v>-5166</v>
      </c>
      <c r="M310" s="250">
        <f t="shared" ref="M310:T310" si="117">M303-M308</f>
        <v>-22681</v>
      </c>
      <c r="N310" s="251">
        <f t="shared" ref="N310" si="118">N303-N308</f>
        <v>-18986</v>
      </c>
      <c r="O310" s="251">
        <f t="shared" ref="O310" si="119">O303-O308</f>
        <v>-19249</v>
      </c>
      <c r="P310" s="250">
        <f t="shared" si="117"/>
        <v>2858</v>
      </c>
      <c r="Q310" s="250">
        <f t="shared" si="117"/>
        <v>551</v>
      </c>
      <c r="R310" s="250">
        <f t="shared" si="117"/>
        <v>6551</v>
      </c>
      <c r="S310" s="250">
        <f t="shared" ref="S310" si="120">S303-S308</f>
        <v>6551</v>
      </c>
      <c r="T310" s="250">
        <f t="shared" si="117"/>
        <v>6551</v>
      </c>
      <c r="U310" s="470"/>
      <c r="V310" s="502"/>
      <c r="W310" s="502"/>
      <c r="X310" s="502"/>
      <c r="Y310" s="502"/>
      <c r="Z310" s="502"/>
      <c r="AA310" s="502"/>
    </row>
    <row r="311" spans="1:28" s="215" customFormat="1" ht="15" customHeight="1">
      <c r="L311" s="250"/>
      <c r="M311" s="250"/>
      <c r="N311" s="251"/>
      <c r="O311" s="251"/>
      <c r="P311" s="250"/>
      <c r="Q311" s="250"/>
      <c r="R311" s="250"/>
      <c r="S311" s="250"/>
      <c r="T311" s="250"/>
      <c r="U311" s="470"/>
      <c r="V311" s="323"/>
      <c r="W311" s="323"/>
      <c r="X311" s="323"/>
      <c r="Y311" s="323"/>
      <c r="Z311" s="323"/>
      <c r="AA311" s="323"/>
    </row>
    <row r="312" spans="1:28" s="215" customFormat="1" ht="24" customHeight="1">
      <c r="K312" s="290" t="s">
        <v>551</v>
      </c>
      <c r="L312" s="250">
        <v>2574</v>
      </c>
      <c r="M312" s="250">
        <v>-20108</v>
      </c>
      <c r="N312" s="251">
        <v>-49980</v>
      </c>
      <c r="O312" s="251">
        <f>M312+O310</f>
        <v>-39357</v>
      </c>
      <c r="P312" s="250">
        <f>O312+P310</f>
        <v>-36499</v>
      </c>
      <c r="Q312" s="250">
        <f>P312+Q310</f>
        <v>-35948</v>
      </c>
      <c r="R312" s="250">
        <f>Q312+R310</f>
        <v>-29397</v>
      </c>
      <c r="S312" s="250">
        <f>R312+S310</f>
        <v>-22846</v>
      </c>
      <c r="T312" s="250">
        <f>S312+T310</f>
        <v>-16295</v>
      </c>
      <c r="U312" s="470"/>
      <c r="V312" s="502"/>
      <c r="W312" s="502"/>
      <c r="X312" s="502"/>
      <c r="Y312" s="502"/>
      <c r="Z312" s="502"/>
      <c r="AA312" s="502"/>
    </row>
    <row r="313" spans="1:28" s="294" customFormat="1" ht="24" customHeight="1">
      <c r="L313" s="252">
        <f t="shared" ref="L313" si="121">L312/L308</f>
        <v>0.2037198258804907</v>
      </c>
      <c r="M313" s="252">
        <f t="shared" ref="M313:T313" si="122">M312/M308</f>
        <v>-0.50147139508204897</v>
      </c>
      <c r="N313" s="253">
        <f t="shared" ref="N313" si="123">N312/N308</f>
        <v>-1.3294674682130128</v>
      </c>
      <c r="O313" s="253">
        <f t="shared" ref="O313" si="124">O312/O308</f>
        <v>-1.0396227910294</v>
      </c>
      <c r="P313" s="252">
        <f t="shared" si="122"/>
        <v>-2.0816128664309343</v>
      </c>
      <c r="Q313" s="252">
        <f t="shared" si="122"/>
        <v>-1.8118038405322312</v>
      </c>
      <c r="R313" s="252">
        <f t="shared" si="122"/>
        <v>-2.1239072321364065</v>
      </c>
      <c r="S313" s="252">
        <f t="shared" ref="S313" si="125">S312/S308</f>
        <v>-1.6506032801098187</v>
      </c>
      <c r="T313" s="252">
        <f t="shared" si="122"/>
        <v>-1.1772993280832309</v>
      </c>
      <c r="U313" s="337"/>
      <c r="V313" s="506"/>
      <c r="W313" s="506"/>
      <c r="X313" s="506"/>
      <c r="Y313" s="506"/>
      <c r="Z313" s="506"/>
      <c r="AA313" s="506"/>
    </row>
    <row r="314" spans="1:28" ht="15" customHeight="1">
      <c r="A314" s="215"/>
      <c r="B314" s="215"/>
      <c r="C314" s="215"/>
      <c r="D314" s="215"/>
      <c r="E314" s="215"/>
      <c r="F314" s="215"/>
      <c r="G314" s="215"/>
      <c r="H314" s="215"/>
      <c r="I314" s="215"/>
      <c r="J314" s="215"/>
      <c r="K314" s="215"/>
      <c r="L314" s="279"/>
      <c r="M314" s="279"/>
      <c r="N314" s="397"/>
      <c r="O314" s="397"/>
      <c r="P314" s="398"/>
      <c r="Q314" s="398"/>
      <c r="R314" s="398"/>
      <c r="S314" s="398"/>
      <c r="T314" s="398"/>
    </row>
    <row r="315" spans="1:28" ht="24" customHeight="1">
      <c r="A315" s="292" t="s">
        <v>894</v>
      </c>
      <c r="B315" s="215"/>
      <c r="C315" s="215"/>
      <c r="D315" s="215"/>
      <c r="E315" s="215"/>
      <c r="F315" s="215"/>
      <c r="G315" s="215"/>
      <c r="H315" s="215"/>
      <c r="I315" s="215"/>
      <c r="J315" s="215"/>
      <c r="K315" s="215"/>
      <c r="L315" s="279"/>
      <c r="M315" s="279"/>
      <c r="N315" s="397"/>
      <c r="O315" s="397"/>
      <c r="P315" s="398"/>
      <c r="Q315" s="398"/>
      <c r="R315" s="398"/>
      <c r="S315" s="398"/>
      <c r="T315" s="398"/>
    </row>
    <row r="316" spans="1:28" ht="15" customHeight="1">
      <c r="A316" s="215"/>
      <c r="B316" s="215"/>
      <c r="C316" s="215"/>
      <c r="D316" s="215"/>
      <c r="E316" s="215"/>
      <c r="F316" s="215"/>
      <c r="G316" s="215"/>
      <c r="H316" s="215"/>
      <c r="I316" s="215"/>
      <c r="J316" s="215"/>
      <c r="K316" s="215"/>
      <c r="L316" s="279"/>
      <c r="M316" s="279"/>
      <c r="N316" s="397"/>
      <c r="O316" s="397"/>
      <c r="P316" s="398"/>
      <c r="Q316" s="398"/>
      <c r="R316" s="398"/>
      <c r="S316" s="398"/>
      <c r="T316" s="398"/>
    </row>
    <row r="317" spans="1:28" ht="24" customHeight="1">
      <c r="A317" s="281" t="s">
        <v>264</v>
      </c>
      <c r="B317" s="215"/>
      <c r="C317" s="215"/>
      <c r="D317" s="281" t="s">
        <v>265</v>
      </c>
      <c r="E317" s="615"/>
      <c r="F317" s="615"/>
      <c r="G317" s="615"/>
      <c r="H317" s="615"/>
      <c r="I317" s="615"/>
      <c r="J317" s="615"/>
      <c r="K317" s="615"/>
      <c r="L317" s="225">
        <v>417742</v>
      </c>
      <c r="M317" s="225">
        <v>414685</v>
      </c>
      <c r="N317" s="157">
        <v>412500</v>
      </c>
      <c r="O317" s="157">
        <v>420000</v>
      </c>
      <c r="P317" s="150">
        <f>ROUND(16921*25.9,0)</f>
        <v>438254</v>
      </c>
      <c r="Q317" s="154">
        <v>425000</v>
      </c>
      <c r="R317" s="154">
        <v>425000</v>
      </c>
      <c r="S317" s="154">
        <v>425000</v>
      </c>
      <c r="T317" s="154">
        <v>425000</v>
      </c>
    </row>
    <row r="318" spans="1:28" ht="24" customHeight="1">
      <c r="A318" s="281" t="s">
        <v>266</v>
      </c>
      <c r="B318" s="215"/>
      <c r="C318" s="215"/>
      <c r="D318" s="614" t="s">
        <v>267</v>
      </c>
      <c r="E318" s="615"/>
      <c r="F318" s="615"/>
      <c r="G318" s="615"/>
      <c r="H318" s="615"/>
      <c r="I318" s="615"/>
      <c r="J318" s="615"/>
      <c r="K318" s="615"/>
      <c r="L318" s="224">
        <v>41814</v>
      </c>
      <c r="M318" s="224">
        <v>41892</v>
      </c>
      <c r="N318" s="151">
        <v>41000</v>
      </c>
      <c r="O318" s="151">
        <v>41912</v>
      </c>
      <c r="P318" s="150">
        <v>41000</v>
      </c>
      <c r="Q318" s="150">
        <v>41000</v>
      </c>
      <c r="R318" s="150">
        <v>41000</v>
      </c>
      <c r="S318" s="150">
        <v>41000</v>
      </c>
      <c r="T318" s="150">
        <v>41000</v>
      </c>
      <c r="V318" s="153"/>
      <c r="X318" s="728"/>
      <c r="Y318" s="728"/>
      <c r="Z318" s="728"/>
      <c r="AA318" s="728"/>
      <c r="AB318" s="728"/>
    </row>
    <row r="319" spans="1:28" ht="24" customHeight="1">
      <c r="A319" s="281" t="s">
        <v>1398</v>
      </c>
      <c r="B319" s="623"/>
      <c r="C319" s="623"/>
      <c r="D319" s="776" t="s">
        <v>1234</v>
      </c>
      <c r="E319" s="776"/>
      <c r="F319" s="776"/>
      <c r="G319" s="776"/>
      <c r="H319" s="776"/>
      <c r="I319" s="776"/>
      <c r="J319" s="776"/>
      <c r="K319" s="776"/>
      <c r="L319" s="224">
        <v>0</v>
      </c>
      <c r="M319" s="224">
        <v>0</v>
      </c>
      <c r="N319" s="151">
        <v>0</v>
      </c>
      <c r="O319" s="151">
        <v>7837</v>
      </c>
      <c r="P319" s="150">
        <f>ROUND(20000*0.4,0)</f>
        <v>8000</v>
      </c>
      <c r="Q319" s="150">
        <f t="shared" ref="Q319:T319" si="126">ROUND(20000*0.4,0)</f>
        <v>8000</v>
      </c>
      <c r="R319" s="150">
        <f t="shared" si="126"/>
        <v>8000</v>
      </c>
      <c r="S319" s="150">
        <f t="shared" si="126"/>
        <v>8000</v>
      </c>
      <c r="T319" s="150">
        <f t="shared" si="126"/>
        <v>8000</v>
      </c>
      <c r="V319" s="153"/>
      <c r="X319" s="712"/>
      <c r="Y319" s="712"/>
      <c r="Z319" s="712"/>
      <c r="AA319" s="712"/>
      <c r="AB319" s="712"/>
    </row>
    <row r="320" spans="1:28" ht="24" customHeight="1">
      <c r="A320" s="281" t="s">
        <v>268</v>
      </c>
      <c r="B320" s="215"/>
      <c r="C320" s="215"/>
      <c r="D320" s="617" t="s">
        <v>269</v>
      </c>
      <c r="E320" s="623"/>
      <c r="F320" s="623"/>
      <c r="G320" s="623"/>
      <c r="H320" s="623"/>
      <c r="I320" s="623"/>
      <c r="J320" s="623"/>
      <c r="K320" s="623"/>
      <c r="L320" s="226">
        <v>73122</v>
      </c>
      <c r="M320" s="226">
        <v>146244</v>
      </c>
      <c r="N320" s="156">
        <v>0</v>
      </c>
      <c r="O320" s="156">
        <v>0</v>
      </c>
      <c r="P320" s="155">
        <v>0</v>
      </c>
      <c r="Q320" s="155">
        <v>0</v>
      </c>
      <c r="R320" s="155">
        <v>0</v>
      </c>
      <c r="S320" s="155">
        <v>0</v>
      </c>
      <c r="T320" s="155">
        <v>0</v>
      </c>
    </row>
    <row r="321" spans="1:29" ht="24" customHeight="1">
      <c r="A321" s="281" t="s">
        <v>1161</v>
      </c>
      <c r="B321" s="389"/>
      <c r="C321" s="389"/>
      <c r="D321" s="281" t="s">
        <v>1211</v>
      </c>
      <c r="E321" s="529"/>
      <c r="F321" s="529"/>
      <c r="G321" s="529"/>
      <c r="H321" s="529"/>
      <c r="I321" s="529"/>
      <c r="J321" s="529"/>
      <c r="K321" s="529"/>
      <c r="L321" s="225">
        <v>75195</v>
      </c>
      <c r="M321" s="225">
        <v>36200</v>
      </c>
      <c r="N321" s="157">
        <v>0</v>
      </c>
      <c r="O321" s="157">
        <v>0</v>
      </c>
      <c r="P321" s="154">
        <v>0</v>
      </c>
      <c r="Q321" s="154">
        <v>0</v>
      </c>
      <c r="R321" s="154">
        <v>0</v>
      </c>
      <c r="S321" s="154">
        <v>0</v>
      </c>
      <c r="T321" s="154">
        <v>0</v>
      </c>
      <c r="X321" s="712"/>
      <c r="Y321" s="712"/>
      <c r="Z321" s="712"/>
      <c r="AA321" s="712"/>
      <c r="AB321" s="712"/>
      <c r="AC321" s="712"/>
    </row>
    <row r="322" spans="1:29" ht="24" customHeight="1">
      <c r="A322" s="281" t="s">
        <v>1163</v>
      </c>
      <c r="B322" s="390"/>
      <c r="C322" s="281"/>
      <c r="D322" s="776" t="s">
        <v>1177</v>
      </c>
      <c r="E322" s="776"/>
      <c r="F322" s="776"/>
      <c r="G322" s="776"/>
      <c r="H322" s="776"/>
      <c r="I322" s="776"/>
      <c r="J322" s="776"/>
      <c r="K322" s="776"/>
      <c r="L322" s="225">
        <v>204299</v>
      </c>
      <c r="M322" s="225">
        <v>177949</v>
      </c>
      <c r="N322" s="157">
        <v>0</v>
      </c>
      <c r="O322" s="157">
        <v>0</v>
      </c>
      <c r="P322" s="154">
        <v>0</v>
      </c>
      <c r="Q322" s="154">
        <v>0</v>
      </c>
      <c r="R322" s="154">
        <v>0</v>
      </c>
      <c r="S322" s="154">
        <v>0</v>
      </c>
      <c r="T322" s="154">
        <v>0</v>
      </c>
      <c r="X322" s="184"/>
      <c r="Y322" s="184"/>
      <c r="Z322" s="184"/>
      <c r="AA322" s="184"/>
      <c r="AB322" s="184"/>
    </row>
    <row r="323" spans="1:29" ht="24" customHeight="1">
      <c r="A323" s="281" t="s">
        <v>1167</v>
      </c>
      <c r="B323" s="392"/>
      <c r="C323" s="392"/>
      <c r="D323" s="776" t="s">
        <v>1178</v>
      </c>
      <c r="E323" s="776"/>
      <c r="F323" s="776"/>
      <c r="G323" s="776"/>
      <c r="H323" s="776"/>
      <c r="I323" s="776"/>
      <c r="J323" s="776"/>
      <c r="K323" s="776"/>
      <c r="L323" s="225">
        <v>0</v>
      </c>
      <c r="M323" s="225">
        <v>0</v>
      </c>
      <c r="N323" s="157">
        <v>30000</v>
      </c>
      <c r="O323" s="157">
        <v>0</v>
      </c>
      <c r="P323" s="154">
        <v>0</v>
      </c>
      <c r="Q323" s="154">
        <v>0</v>
      </c>
      <c r="R323" s="154">
        <v>0</v>
      </c>
      <c r="S323" s="154">
        <v>0</v>
      </c>
      <c r="T323" s="154">
        <v>0</v>
      </c>
      <c r="X323" s="165"/>
      <c r="Y323" s="165"/>
      <c r="Z323" s="165"/>
      <c r="AA323" s="165"/>
      <c r="AB323" s="165"/>
      <c r="AC323" s="165"/>
    </row>
    <row r="324" spans="1:29" ht="24" customHeight="1">
      <c r="A324" s="281" t="s">
        <v>1296</v>
      </c>
      <c r="B324" s="494"/>
      <c r="C324" s="494"/>
      <c r="D324" s="776" t="s">
        <v>1366</v>
      </c>
      <c r="E324" s="776"/>
      <c r="F324" s="776"/>
      <c r="G324" s="776"/>
      <c r="H324" s="776"/>
      <c r="I324" s="776"/>
      <c r="J324" s="776"/>
      <c r="K324" s="776"/>
      <c r="L324" s="225">
        <v>0</v>
      </c>
      <c r="M324" s="225">
        <v>20566</v>
      </c>
      <c r="N324" s="157">
        <v>0</v>
      </c>
      <c r="O324" s="157">
        <v>3601</v>
      </c>
      <c r="P324" s="154">
        <v>0</v>
      </c>
      <c r="Q324" s="154">
        <v>0</v>
      </c>
      <c r="R324" s="154">
        <v>0</v>
      </c>
      <c r="S324" s="154">
        <v>0</v>
      </c>
      <c r="T324" s="154">
        <v>0</v>
      </c>
    </row>
    <row r="325" spans="1:29" ht="24" customHeight="1">
      <c r="A325" s="281" t="s">
        <v>270</v>
      </c>
      <c r="B325" s="282"/>
      <c r="C325" s="282"/>
      <c r="D325" s="770" t="s">
        <v>6</v>
      </c>
      <c r="E325" s="770"/>
      <c r="F325" s="770"/>
      <c r="G325" s="770"/>
      <c r="H325" s="770"/>
      <c r="I325" s="770"/>
      <c r="J325" s="770"/>
      <c r="K325" s="770"/>
      <c r="L325" s="225">
        <v>3417</v>
      </c>
      <c r="M325" s="225">
        <v>1997</v>
      </c>
      <c r="N325" s="157">
        <v>500</v>
      </c>
      <c r="O325" s="157">
        <v>300</v>
      </c>
      <c r="P325" s="154">
        <v>300</v>
      </c>
      <c r="Q325" s="154">
        <v>300</v>
      </c>
      <c r="R325" s="154">
        <v>300</v>
      </c>
      <c r="S325" s="154">
        <v>300</v>
      </c>
      <c r="T325" s="154">
        <v>300</v>
      </c>
    </row>
    <row r="326" spans="1:29" ht="24" customHeight="1">
      <c r="A326" s="281" t="s">
        <v>1375</v>
      </c>
      <c r="B326" s="586"/>
      <c r="C326" s="586"/>
      <c r="D326" s="770" t="s">
        <v>1373</v>
      </c>
      <c r="E326" s="770"/>
      <c r="F326" s="770"/>
      <c r="G326" s="770"/>
      <c r="H326" s="770"/>
      <c r="I326" s="770"/>
      <c r="J326" s="770"/>
      <c r="K326" s="770"/>
      <c r="L326" s="225">
        <v>0</v>
      </c>
      <c r="M326" s="225">
        <v>1310</v>
      </c>
      <c r="N326" s="157">
        <v>0</v>
      </c>
      <c r="O326" s="157">
        <v>0</v>
      </c>
      <c r="P326" s="154">
        <v>0</v>
      </c>
      <c r="Q326" s="154">
        <v>0</v>
      </c>
      <c r="R326" s="154">
        <v>0</v>
      </c>
      <c r="S326" s="154">
        <v>0</v>
      </c>
      <c r="T326" s="154">
        <v>0</v>
      </c>
    </row>
    <row r="327" spans="1:29" ht="24" customHeight="1">
      <c r="A327" s="281" t="s">
        <v>994</v>
      </c>
      <c r="B327" s="215"/>
      <c r="C327" s="215"/>
      <c r="D327" s="281" t="s">
        <v>63</v>
      </c>
      <c r="E327" s="215"/>
      <c r="F327" s="215"/>
      <c r="G327" s="215"/>
      <c r="H327" s="215"/>
      <c r="I327" s="215"/>
      <c r="J327" s="215"/>
      <c r="K327" s="215"/>
      <c r="L327" s="225">
        <v>110</v>
      </c>
      <c r="M327" s="225">
        <v>4064</v>
      </c>
      <c r="N327" s="157">
        <v>0</v>
      </c>
      <c r="O327" s="157">
        <v>0</v>
      </c>
      <c r="P327" s="154">
        <v>0</v>
      </c>
      <c r="Q327" s="154">
        <v>0</v>
      </c>
      <c r="R327" s="154">
        <v>0</v>
      </c>
      <c r="S327" s="154">
        <v>0</v>
      </c>
      <c r="T327" s="154">
        <v>0</v>
      </c>
    </row>
    <row r="328" spans="1:29" ht="24" customHeight="1">
      <c r="A328" s="281" t="s">
        <v>1334</v>
      </c>
      <c r="B328" s="550"/>
      <c r="C328" s="550"/>
      <c r="D328" s="281" t="s">
        <v>271</v>
      </c>
      <c r="E328" s="551"/>
      <c r="F328" s="551"/>
      <c r="G328" s="551"/>
      <c r="H328" s="551"/>
      <c r="I328" s="551"/>
      <c r="J328" s="551"/>
      <c r="K328" s="551"/>
      <c r="L328" s="225">
        <v>0</v>
      </c>
      <c r="M328" s="225">
        <v>323</v>
      </c>
      <c r="N328" s="157">
        <v>0</v>
      </c>
      <c r="O328" s="157">
        <f>O262</f>
        <v>20000</v>
      </c>
      <c r="P328" s="154">
        <f>P262</f>
        <v>25023</v>
      </c>
      <c r="Q328" s="154">
        <v>0</v>
      </c>
      <c r="R328" s="154">
        <v>0</v>
      </c>
      <c r="S328" s="154">
        <v>0</v>
      </c>
      <c r="T328" s="154">
        <v>0</v>
      </c>
    </row>
    <row r="329" spans="1:29" ht="24" customHeight="1">
      <c r="A329" s="281" t="s">
        <v>1335</v>
      </c>
      <c r="B329" s="550"/>
      <c r="C329" s="550"/>
      <c r="D329" s="281" t="s">
        <v>1333</v>
      </c>
      <c r="E329" s="551"/>
      <c r="F329" s="551"/>
      <c r="G329" s="551"/>
      <c r="H329" s="551"/>
      <c r="I329" s="551"/>
      <c r="J329" s="551"/>
      <c r="K329" s="551"/>
      <c r="L329" s="230">
        <v>0</v>
      </c>
      <c r="M329" s="230">
        <v>6825</v>
      </c>
      <c r="N329" s="164">
        <v>0</v>
      </c>
      <c r="O329" s="164">
        <v>0</v>
      </c>
      <c r="P329" s="163">
        <v>0</v>
      </c>
      <c r="Q329" s="163">
        <v>0</v>
      </c>
      <c r="R329" s="163">
        <v>0</v>
      </c>
      <c r="S329" s="163">
        <v>0</v>
      </c>
      <c r="T329" s="163">
        <v>0</v>
      </c>
    </row>
    <row r="330" spans="1:29" ht="15" customHeight="1">
      <c r="A330" s="215"/>
      <c r="B330" s="215"/>
      <c r="C330" s="215"/>
      <c r="D330" s="215"/>
      <c r="E330" s="215"/>
      <c r="F330" s="215"/>
      <c r="G330" s="215"/>
      <c r="H330" s="215"/>
      <c r="I330" s="215"/>
      <c r="J330" s="215"/>
      <c r="K330" s="215"/>
      <c r="L330" s="231"/>
      <c r="M330" s="231"/>
      <c r="N330" s="166"/>
      <c r="O330" s="166"/>
      <c r="P330" s="165"/>
      <c r="Q330" s="165"/>
      <c r="R330" s="165"/>
      <c r="S330" s="165"/>
      <c r="T330" s="165"/>
    </row>
    <row r="331" spans="1:29" s="215" customFormat="1" ht="24" customHeight="1">
      <c r="K331" s="285" t="s">
        <v>545</v>
      </c>
      <c r="L331" s="233">
        <f t="shared" ref="L331" si="127">SUM(L317:L330)</f>
        <v>815699</v>
      </c>
      <c r="M331" s="233">
        <f t="shared" ref="M331:T331" si="128">SUM(M317:M330)</f>
        <v>852055</v>
      </c>
      <c r="N331" s="234">
        <f t="shared" ref="N331" si="129">SUM(N317:N330)</f>
        <v>484000</v>
      </c>
      <c r="O331" s="234">
        <f t="shared" si="128"/>
        <v>493650</v>
      </c>
      <c r="P331" s="233">
        <f t="shared" si="128"/>
        <v>512577</v>
      </c>
      <c r="Q331" s="233">
        <f t="shared" si="128"/>
        <v>474300</v>
      </c>
      <c r="R331" s="233">
        <f t="shared" si="128"/>
        <v>474300</v>
      </c>
      <c r="S331" s="233">
        <f t="shared" si="128"/>
        <v>474300</v>
      </c>
      <c r="T331" s="233">
        <f t="shared" si="128"/>
        <v>474300</v>
      </c>
      <c r="U331" s="470"/>
    </row>
    <row r="332" spans="1:29" ht="15" customHeight="1">
      <c r="A332" s="215"/>
      <c r="B332" s="215"/>
      <c r="C332" s="215"/>
      <c r="D332" s="215"/>
      <c r="E332" s="215"/>
      <c r="F332" s="215"/>
      <c r="G332" s="215"/>
      <c r="H332" s="215"/>
      <c r="I332" s="215"/>
      <c r="J332" s="215"/>
      <c r="K332" s="215"/>
      <c r="L332" s="233"/>
      <c r="M332" s="233"/>
      <c r="N332" s="169"/>
      <c r="O332" s="169"/>
      <c r="P332" s="168"/>
      <c r="Q332" s="168"/>
      <c r="R332" s="168"/>
      <c r="S332" s="168"/>
      <c r="T332" s="168"/>
    </row>
    <row r="333" spans="1:29" ht="24" customHeight="1">
      <c r="A333" s="281" t="s">
        <v>985</v>
      </c>
      <c r="B333" s="282"/>
      <c r="C333" s="282"/>
      <c r="D333" s="281" t="s">
        <v>986</v>
      </c>
      <c r="E333" s="282"/>
      <c r="F333" s="282"/>
      <c r="G333" s="284"/>
      <c r="H333" s="284"/>
      <c r="I333" s="284"/>
      <c r="J333" s="284"/>
      <c r="K333" s="284"/>
      <c r="L333" s="241">
        <v>7750</v>
      </c>
      <c r="M333" s="241">
        <v>7500</v>
      </c>
      <c r="N333" s="187">
        <v>7500</v>
      </c>
      <c r="O333" s="187">
        <v>7500</v>
      </c>
      <c r="P333" s="179">
        <v>7500</v>
      </c>
      <c r="Q333" s="179">
        <v>7500</v>
      </c>
      <c r="R333" s="179">
        <v>7500</v>
      </c>
      <c r="S333" s="179">
        <v>0</v>
      </c>
      <c r="T333" s="179">
        <v>0</v>
      </c>
      <c r="V333" s="149"/>
    </row>
    <row r="334" spans="1:29" ht="24" customHeight="1">
      <c r="A334" s="281" t="s">
        <v>1170</v>
      </c>
      <c r="B334" s="393"/>
      <c r="C334" s="393"/>
      <c r="D334" s="281" t="s">
        <v>1171</v>
      </c>
      <c r="E334" s="393"/>
      <c r="F334" s="393"/>
      <c r="G334" s="284"/>
      <c r="H334" s="284"/>
      <c r="I334" s="284"/>
      <c r="J334" s="284"/>
      <c r="K334" s="284"/>
      <c r="L334" s="241">
        <v>0</v>
      </c>
      <c r="M334" s="241">
        <v>83069</v>
      </c>
      <c r="N334" s="151">
        <v>109710</v>
      </c>
      <c r="O334" s="187">
        <v>109710</v>
      </c>
      <c r="P334" s="150">
        <f>ROUND(O334*1.06,0)</f>
        <v>116293</v>
      </c>
      <c r="Q334" s="150">
        <f>ROUND(P334*1.06,0)</f>
        <v>123271</v>
      </c>
      <c r="R334" s="150">
        <f>ROUND(Q334*1.06,0)</f>
        <v>130667</v>
      </c>
      <c r="S334" s="150">
        <f>ROUND(R334*1.06,0)</f>
        <v>138507</v>
      </c>
      <c r="T334" s="150">
        <f>ROUND(S334*1.06,0)</f>
        <v>146817</v>
      </c>
      <c r="V334" s="149"/>
    </row>
    <row r="335" spans="1:29" ht="24" customHeight="1">
      <c r="A335" s="281" t="s">
        <v>1355</v>
      </c>
      <c r="B335" s="284"/>
      <c r="C335" s="284"/>
      <c r="D335" s="281" t="s">
        <v>1354</v>
      </c>
      <c r="E335" s="284"/>
      <c r="F335" s="284"/>
      <c r="G335" s="284"/>
      <c r="H335" s="284"/>
      <c r="I335" s="284"/>
      <c r="J335" s="284"/>
      <c r="K335" s="284"/>
      <c r="L335" s="225">
        <v>0</v>
      </c>
      <c r="M335" s="225">
        <v>26333</v>
      </c>
      <c r="N335" s="157">
        <v>0</v>
      </c>
      <c r="O335" s="157">
        <v>0</v>
      </c>
      <c r="P335" s="154">
        <v>0</v>
      </c>
      <c r="Q335" s="154">
        <v>0</v>
      </c>
      <c r="R335" s="154">
        <v>0</v>
      </c>
      <c r="S335" s="154">
        <v>0</v>
      </c>
      <c r="T335" s="154">
        <v>0</v>
      </c>
      <c r="V335" s="149"/>
    </row>
    <row r="336" spans="1:29" ht="24" customHeight="1">
      <c r="A336" s="281" t="s">
        <v>272</v>
      </c>
      <c r="B336" s="282"/>
      <c r="C336" s="282"/>
      <c r="D336" s="281" t="s">
        <v>273</v>
      </c>
      <c r="E336" s="361"/>
      <c r="F336" s="361"/>
      <c r="G336" s="361"/>
      <c r="H336" s="361"/>
      <c r="I336" s="361"/>
      <c r="J336" s="361"/>
      <c r="K336" s="361"/>
      <c r="L336" s="225">
        <v>74070</v>
      </c>
      <c r="M336" s="225">
        <v>152585</v>
      </c>
      <c r="N336" s="157">
        <v>150000</v>
      </c>
      <c r="O336" s="157">
        <v>150000</v>
      </c>
      <c r="P336" s="154">
        <v>140000</v>
      </c>
      <c r="Q336" s="154">
        <v>140000</v>
      </c>
      <c r="R336" s="154">
        <v>140000</v>
      </c>
      <c r="S336" s="154">
        <v>140000</v>
      </c>
      <c r="T336" s="154">
        <v>140000</v>
      </c>
      <c r="V336" s="152"/>
    </row>
    <row r="337" spans="1:29" ht="24" customHeight="1">
      <c r="A337" s="281" t="s">
        <v>274</v>
      </c>
      <c r="B337" s="282"/>
      <c r="C337" s="282"/>
      <c r="D337" s="281" t="s">
        <v>275</v>
      </c>
      <c r="E337" s="282"/>
      <c r="F337" s="282"/>
      <c r="G337" s="282"/>
      <c r="H337" s="282"/>
      <c r="I337" s="282"/>
      <c r="J337" s="282"/>
      <c r="K337" s="282"/>
      <c r="L337" s="225">
        <v>5708</v>
      </c>
      <c r="M337" s="225">
        <v>8153</v>
      </c>
      <c r="N337" s="157">
        <v>15000</v>
      </c>
      <c r="O337" s="157">
        <v>15000</v>
      </c>
      <c r="P337" s="154">
        <v>15000</v>
      </c>
      <c r="Q337" s="154">
        <v>15000</v>
      </c>
      <c r="R337" s="154">
        <v>15000</v>
      </c>
      <c r="S337" s="154">
        <v>15000</v>
      </c>
      <c r="T337" s="154">
        <v>15000</v>
      </c>
      <c r="U337" s="335"/>
      <c r="V337" s="149"/>
    </row>
    <row r="338" spans="1:29" ht="24" customHeight="1">
      <c r="A338" s="281" t="s">
        <v>276</v>
      </c>
      <c r="B338" s="282"/>
      <c r="C338" s="282"/>
      <c r="D338" s="281" t="s">
        <v>277</v>
      </c>
      <c r="E338" s="282"/>
      <c r="F338" s="282"/>
      <c r="G338" s="282"/>
      <c r="H338" s="282"/>
      <c r="I338" s="282"/>
      <c r="J338" s="282"/>
      <c r="K338" s="282"/>
      <c r="L338" s="222">
        <v>12088</v>
      </c>
      <c r="M338" s="222">
        <v>12413</v>
      </c>
      <c r="N338" s="148">
        <v>19000</v>
      </c>
      <c r="O338" s="148">
        <v>19000</v>
      </c>
      <c r="P338" s="147">
        <v>19000</v>
      </c>
      <c r="Q338" s="147">
        <v>19000</v>
      </c>
      <c r="R338" s="147">
        <v>19000</v>
      </c>
      <c r="S338" s="147">
        <v>19000</v>
      </c>
      <c r="T338" s="147">
        <v>19000</v>
      </c>
      <c r="X338" s="728"/>
      <c r="Y338" s="728"/>
      <c r="Z338" s="728"/>
      <c r="AA338" s="728"/>
      <c r="AB338" s="728"/>
    </row>
    <row r="339" spans="1:29" ht="24" customHeight="1">
      <c r="A339" s="281" t="s">
        <v>278</v>
      </c>
      <c r="B339" s="282"/>
      <c r="C339" s="282"/>
      <c r="D339" s="281" t="s">
        <v>279</v>
      </c>
      <c r="E339" s="584"/>
      <c r="F339" s="584"/>
      <c r="G339" s="584"/>
      <c r="H339" s="584"/>
      <c r="I339" s="584"/>
      <c r="J339" s="584"/>
      <c r="K339" s="584"/>
      <c r="L339" s="222">
        <v>15751</v>
      </c>
      <c r="M339" s="222">
        <v>17669</v>
      </c>
      <c r="N339" s="148">
        <v>19000</v>
      </c>
      <c r="O339" s="148">
        <v>19000</v>
      </c>
      <c r="P339" s="147">
        <v>19000</v>
      </c>
      <c r="Q339" s="147">
        <v>19000</v>
      </c>
      <c r="R339" s="147">
        <v>19000</v>
      </c>
      <c r="S339" s="147">
        <v>19000</v>
      </c>
      <c r="T339" s="147">
        <v>19000</v>
      </c>
    </row>
    <row r="340" spans="1:29" ht="24" customHeight="1">
      <c r="A340" s="281" t="s">
        <v>1006</v>
      </c>
      <c r="B340" s="282"/>
      <c r="C340" s="282"/>
      <c r="D340" s="639" t="s">
        <v>1007</v>
      </c>
      <c r="E340" s="638"/>
      <c r="F340" s="638"/>
      <c r="G340" s="638"/>
      <c r="H340" s="638"/>
      <c r="I340" s="638"/>
      <c r="J340" s="638"/>
      <c r="K340" s="638"/>
      <c r="L340" s="225">
        <v>0</v>
      </c>
      <c r="M340" s="225">
        <v>0</v>
      </c>
      <c r="N340" s="157">
        <v>127500</v>
      </c>
      <c r="O340" s="157">
        <v>0</v>
      </c>
      <c r="P340" s="154">
        <v>0</v>
      </c>
      <c r="Q340" s="154">
        <v>0</v>
      </c>
      <c r="R340" s="154">
        <v>0</v>
      </c>
      <c r="S340" s="154">
        <v>0</v>
      </c>
      <c r="T340" s="154">
        <v>0</v>
      </c>
      <c r="X340" s="712"/>
      <c r="Y340" s="712"/>
      <c r="Z340" s="712"/>
      <c r="AA340" s="712"/>
      <c r="AB340" s="712"/>
      <c r="AC340" s="712"/>
    </row>
    <row r="341" spans="1:29" ht="24" customHeight="1">
      <c r="A341" s="710" t="s">
        <v>1108</v>
      </c>
      <c r="B341" s="709"/>
      <c r="C341" s="709"/>
      <c r="D341" s="710" t="s">
        <v>1109</v>
      </c>
      <c r="E341" s="709"/>
      <c r="F341" s="709"/>
      <c r="G341" s="709"/>
      <c r="H341" s="709"/>
      <c r="I341" s="709"/>
      <c r="J341" s="709"/>
      <c r="K341" s="709"/>
      <c r="L341" s="225">
        <v>0</v>
      </c>
      <c r="M341" s="225">
        <v>830</v>
      </c>
      <c r="N341" s="157">
        <v>50000</v>
      </c>
      <c r="O341" s="157">
        <v>2019</v>
      </c>
      <c r="P341" s="154">
        <v>50000</v>
      </c>
      <c r="Q341" s="154">
        <v>0</v>
      </c>
      <c r="R341" s="154">
        <v>0</v>
      </c>
      <c r="S341" s="154">
        <v>0</v>
      </c>
      <c r="T341" s="154">
        <v>0</v>
      </c>
      <c r="X341" s="184"/>
      <c r="Y341" s="184"/>
      <c r="Z341" s="184"/>
      <c r="AA341" s="184"/>
      <c r="AB341" s="184"/>
    </row>
    <row r="342" spans="1:29" ht="24" customHeight="1">
      <c r="A342" s="281" t="s">
        <v>1008</v>
      </c>
      <c r="B342" s="282"/>
      <c r="C342" s="282"/>
      <c r="D342" s="283" t="s">
        <v>1086</v>
      </c>
      <c r="E342" s="633"/>
      <c r="F342" s="633"/>
      <c r="G342" s="633"/>
      <c r="H342" s="633"/>
      <c r="I342" s="633"/>
      <c r="J342" s="633"/>
      <c r="K342" s="633"/>
      <c r="L342" s="225">
        <v>193042</v>
      </c>
      <c r="M342" s="225">
        <v>269813</v>
      </c>
      <c r="N342" s="157">
        <f t="shared" ref="N342:Q342" si="130">250000+50000</f>
        <v>300000</v>
      </c>
      <c r="O342" s="157">
        <v>300000</v>
      </c>
      <c r="P342" s="154">
        <f t="shared" si="130"/>
        <v>300000</v>
      </c>
      <c r="Q342" s="154">
        <f t="shared" si="130"/>
        <v>300000</v>
      </c>
      <c r="R342" s="154">
        <v>250000</v>
      </c>
      <c r="S342" s="154">
        <f>175000+74173-50000</f>
        <v>199173</v>
      </c>
      <c r="T342" s="154">
        <f>88738-13968-26574+3419+9081</f>
        <v>60696</v>
      </c>
      <c r="X342" s="165"/>
      <c r="Y342" s="165"/>
      <c r="Z342" s="165"/>
      <c r="AA342" s="165"/>
      <c r="AB342" s="165"/>
      <c r="AC342" s="165"/>
    </row>
    <row r="343" spans="1:29" ht="24" customHeight="1">
      <c r="A343" s="281" t="s">
        <v>280</v>
      </c>
      <c r="B343" s="284"/>
      <c r="C343" s="284"/>
      <c r="D343" s="652" t="s">
        <v>281</v>
      </c>
      <c r="E343" s="284"/>
      <c r="F343" s="284"/>
      <c r="G343" s="284"/>
      <c r="H343" s="284"/>
      <c r="I343" s="284"/>
      <c r="J343" s="284"/>
      <c r="K343" s="284"/>
      <c r="L343" s="225">
        <v>312552</v>
      </c>
      <c r="M343" s="225">
        <v>148100</v>
      </c>
      <c r="N343" s="157">
        <v>0</v>
      </c>
      <c r="O343" s="157">
        <f>4577+2000</f>
        <v>6577</v>
      </c>
      <c r="P343" s="154">
        <v>0</v>
      </c>
      <c r="Q343" s="154">
        <v>0</v>
      </c>
      <c r="R343" s="154">
        <v>0</v>
      </c>
      <c r="S343" s="154">
        <v>0</v>
      </c>
      <c r="T343" s="154">
        <v>0</v>
      </c>
    </row>
    <row r="344" spans="1:29" ht="24" customHeight="1">
      <c r="A344" s="281" t="s">
        <v>282</v>
      </c>
      <c r="B344" s="284"/>
      <c r="C344" s="284"/>
      <c r="D344" s="281" t="s">
        <v>283</v>
      </c>
      <c r="E344" s="284"/>
      <c r="F344" s="284"/>
      <c r="G344" s="284"/>
      <c r="H344" s="284"/>
      <c r="I344" s="284"/>
      <c r="J344" s="284"/>
      <c r="K344" s="284"/>
      <c r="L344" s="225">
        <v>169890</v>
      </c>
      <c r="M344" s="225">
        <v>73450</v>
      </c>
      <c r="N344" s="157">
        <v>0</v>
      </c>
      <c r="O344" s="157">
        <v>0</v>
      </c>
      <c r="P344" s="154">
        <v>0</v>
      </c>
      <c r="Q344" s="154">
        <v>0</v>
      </c>
      <c r="R344" s="154">
        <v>0</v>
      </c>
      <c r="S344" s="154">
        <v>0</v>
      </c>
      <c r="T344" s="154">
        <v>0</v>
      </c>
      <c r="V344" s="149"/>
    </row>
    <row r="345" spans="1:29" ht="24" customHeight="1">
      <c r="A345" s="281" t="s">
        <v>284</v>
      </c>
      <c r="B345" s="284"/>
      <c r="C345" s="284"/>
      <c r="D345" s="281" t="s">
        <v>285</v>
      </c>
      <c r="E345" s="284"/>
      <c r="F345" s="284"/>
      <c r="G345" s="284"/>
      <c r="H345" s="284"/>
      <c r="I345" s="284"/>
      <c r="J345" s="284"/>
      <c r="K345" s="284"/>
      <c r="L345" s="222">
        <v>121900</v>
      </c>
      <c r="M345" s="222">
        <v>73787</v>
      </c>
      <c r="N345" s="148">
        <f t="shared" ref="N345:T345" si="131">ROUND(6148.9*12,0)</f>
        <v>73787</v>
      </c>
      <c r="O345" s="148">
        <f>ROUND(6148.9*12,0)-5544</f>
        <v>68243</v>
      </c>
      <c r="P345" s="147">
        <f t="shared" si="131"/>
        <v>73787</v>
      </c>
      <c r="Q345" s="147">
        <f t="shared" si="131"/>
        <v>73787</v>
      </c>
      <c r="R345" s="147">
        <f t="shared" si="131"/>
        <v>73787</v>
      </c>
      <c r="S345" s="147">
        <f t="shared" si="131"/>
        <v>73787</v>
      </c>
      <c r="T345" s="147">
        <f t="shared" si="131"/>
        <v>73787</v>
      </c>
      <c r="V345" s="149"/>
    </row>
    <row r="346" spans="1:29" ht="24" customHeight="1">
      <c r="A346" s="281" t="s">
        <v>1009</v>
      </c>
      <c r="B346" s="284"/>
      <c r="C346" s="284"/>
      <c r="D346" s="637" t="s">
        <v>1010</v>
      </c>
      <c r="E346" s="284"/>
      <c r="F346" s="284"/>
      <c r="G346" s="284"/>
      <c r="H346" s="284"/>
      <c r="I346" s="284"/>
      <c r="J346" s="284"/>
      <c r="K346" s="284"/>
      <c r="L346" s="229">
        <v>35000</v>
      </c>
      <c r="M346" s="229">
        <v>88526</v>
      </c>
      <c r="N346" s="174">
        <v>0</v>
      </c>
      <c r="O346" s="174">
        <v>4801</v>
      </c>
      <c r="P346" s="162">
        <v>0</v>
      </c>
      <c r="Q346" s="162">
        <v>0</v>
      </c>
      <c r="R346" s="162">
        <v>0</v>
      </c>
      <c r="S346" s="162">
        <v>0</v>
      </c>
      <c r="T346" s="162">
        <v>0</v>
      </c>
      <c r="U346" s="332"/>
      <c r="V346" s="196"/>
      <c r="W346" s="173"/>
    </row>
    <row r="347" spans="1:29" ht="15" customHeight="1">
      <c r="A347" s="281"/>
      <c r="B347" s="215"/>
      <c r="C347" s="215"/>
      <c r="D347" s="281"/>
      <c r="E347" s="215"/>
      <c r="F347" s="215"/>
      <c r="G347" s="215"/>
      <c r="H347" s="215"/>
      <c r="I347" s="215"/>
      <c r="J347" s="215"/>
      <c r="K347" s="215"/>
      <c r="L347" s="222"/>
      <c r="M347" s="222"/>
      <c r="N347" s="148"/>
      <c r="O347" s="148"/>
      <c r="P347" s="147"/>
      <c r="Q347" s="147"/>
      <c r="R347" s="147"/>
      <c r="S347" s="147"/>
      <c r="T347" s="147"/>
    </row>
    <row r="348" spans="1:29" s="215" customFormat="1" ht="24" customHeight="1">
      <c r="K348" s="285" t="s">
        <v>548</v>
      </c>
      <c r="L348" s="250">
        <f t="shared" ref="L348:T348" si="132">SUM(L333:L347)</f>
        <v>947751</v>
      </c>
      <c r="M348" s="250">
        <f t="shared" si="132"/>
        <v>962228</v>
      </c>
      <c r="N348" s="251">
        <f t="shared" si="132"/>
        <v>871497</v>
      </c>
      <c r="O348" s="251">
        <f t="shared" si="132"/>
        <v>701850</v>
      </c>
      <c r="P348" s="250">
        <f t="shared" si="132"/>
        <v>740580</v>
      </c>
      <c r="Q348" s="250">
        <f t="shared" si="132"/>
        <v>697558</v>
      </c>
      <c r="R348" s="250">
        <f t="shared" si="132"/>
        <v>654954</v>
      </c>
      <c r="S348" s="250">
        <f t="shared" si="132"/>
        <v>604467</v>
      </c>
      <c r="T348" s="250">
        <f t="shared" si="132"/>
        <v>474300</v>
      </c>
      <c r="U348" s="470"/>
    </row>
    <row r="349" spans="1:29" s="215" customFormat="1" ht="15" customHeight="1">
      <c r="L349" s="250"/>
      <c r="M349" s="250"/>
      <c r="N349" s="251"/>
      <c r="O349" s="251"/>
      <c r="P349" s="250"/>
      <c r="Q349" s="250"/>
      <c r="R349" s="250"/>
      <c r="S349" s="250"/>
      <c r="T349" s="250"/>
      <c r="U349" s="470"/>
    </row>
    <row r="350" spans="1:29" s="215" customFormat="1" ht="24" customHeight="1">
      <c r="K350" s="285" t="s">
        <v>549</v>
      </c>
      <c r="L350" s="250">
        <f t="shared" ref="L350:T350" si="133">L331-L348</f>
        <v>-132052</v>
      </c>
      <c r="M350" s="250">
        <f t="shared" si="133"/>
        <v>-110173</v>
      </c>
      <c r="N350" s="251">
        <f t="shared" si="133"/>
        <v>-387497</v>
      </c>
      <c r="O350" s="251">
        <f t="shared" si="133"/>
        <v>-208200</v>
      </c>
      <c r="P350" s="250">
        <f t="shared" si="133"/>
        <v>-228003</v>
      </c>
      <c r="Q350" s="250">
        <f t="shared" si="133"/>
        <v>-223258</v>
      </c>
      <c r="R350" s="250">
        <f t="shared" si="133"/>
        <v>-180654</v>
      </c>
      <c r="S350" s="250">
        <f t="shared" si="133"/>
        <v>-130167</v>
      </c>
      <c r="T350" s="250">
        <f t="shared" si="133"/>
        <v>0</v>
      </c>
      <c r="U350" s="470"/>
    </row>
    <row r="351" spans="1:29" s="215" customFormat="1" ht="15" customHeight="1">
      <c r="L351" s="250"/>
      <c r="M351" s="250"/>
      <c r="N351" s="251"/>
      <c r="O351" s="251"/>
      <c r="P351" s="250"/>
      <c r="Q351" s="250"/>
      <c r="R351" s="250"/>
      <c r="S351" s="250"/>
      <c r="T351" s="250"/>
      <c r="U351" s="470"/>
    </row>
    <row r="352" spans="1:29" s="215" customFormat="1" ht="24" customHeight="1">
      <c r="K352" s="290" t="s">
        <v>551</v>
      </c>
      <c r="L352" s="250">
        <v>1030456</v>
      </c>
      <c r="M352" s="250">
        <v>920282</v>
      </c>
      <c r="N352" s="251">
        <v>589656</v>
      </c>
      <c r="O352" s="251">
        <f>M352+O350</f>
        <v>712082</v>
      </c>
      <c r="P352" s="250">
        <f>O352+P350</f>
        <v>484079</v>
      </c>
      <c r="Q352" s="250">
        <f>P352+Q350</f>
        <v>260821</v>
      </c>
      <c r="R352" s="250">
        <f>Q352+R350</f>
        <v>80167</v>
      </c>
      <c r="S352" s="250">
        <f>R352+S350</f>
        <v>-50000</v>
      </c>
      <c r="T352" s="250">
        <f>S352+T350</f>
        <v>-50000</v>
      </c>
      <c r="U352" s="470"/>
    </row>
    <row r="353" spans="1:22" ht="15" customHeight="1">
      <c r="A353" s="215"/>
      <c r="B353" s="215"/>
      <c r="C353" s="215"/>
      <c r="D353" s="215"/>
      <c r="E353" s="215"/>
      <c r="F353" s="215"/>
      <c r="G353" s="215"/>
      <c r="H353" s="215"/>
      <c r="I353" s="215"/>
      <c r="J353" s="215"/>
      <c r="K353" s="215"/>
      <c r="L353" s="399"/>
      <c r="M353" s="399"/>
      <c r="N353" s="403"/>
      <c r="O353" s="403"/>
      <c r="P353" s="404"/>
      <c r="Q353" s="404"/>
      <c r="R353" s="404"/>
      <c r="S353" s="404"/>
      <c r="T353" s="404"/>
    </row>
    <row r="354" spans="1:22" ht="24" customHeight="1">
      <c r="A354" s="292" t="s">
        <v>565</v>
      </c>
      <c r="B354" s="215"/>
      <c r="C354" s="215"/>
      <c r="D354" s="215"/>
      <c r="E354" s="215"/>
      <c r="F354" s="215"/>
      <c r="G354" s="215"/>
      <c r="H354" s="215"/>
      <c r="I354" s="215"/>
      <c r="J354" s="215"/>
      <c r="K354" s="215"/>
      <c r="L354" s="399"/>
      <c r="M354" s="399"/>
      <c r="N354" s="403"/>
      <c r="O354" s="403"/>
      <c r="P354" s="404"/>
      <c r="Q354" s="404"/>
      <c r="R354" s="404"/>
      <c r="S354" s="404"/>
      <c r="T354" s="404"/>
    </row>
    <row r="355" spans="1:22" ht="15" customHeight="1">
      <c r="A355" s="215"/>
      <c r="B355" s="215"/>
      <c r="C355" s="215"/>
      <c r="D355" s="215"/>
      <c r="E355" s="215"/>
      <c r="F355" s="215"/>
      <c r="G355" s="215"/>
      <c r="H355" s="215"/>
      <c r="I355" s="215"/>
      <c r="J355" s="215"/>
      <c r="K355" s="215"/>
      <c r="L355" s="399"/>
      <c r="M355" s="399"/>
      <c r="N355" s="403"/>
      <c r="O355" s="403"/>
      <c r="P355" s="404"/>
      <c r="Q355" s="404"/>
      <c r="R355" s="404"/>
      <c r="S355" s="404"/>
      <c r="T355" s="404"/>
    </row>
    <row r="356" spans="1:22" ht="24" customHeight="1">
      <c r="A356" s="281" t="s">
        <v>286</v>
      </c>
      <c r="B356" s="282"/>
      <c r="C356" s="282"/>
      <c r="D356" s="281" t="s">
        <v>57</v>
      </c>
      <c r="E356" s="394"/>
      <c r="F356" s="394"/>
      <c r="G356" s="394"/>
      <c r="H356" s="395"/>
      <c r="I356" s="395"/>
      <c r="J356" s="395"/>
      <c r="K356" s="395"/>
      <c r="L356" s="222">
        <v>0</v>
      </c>
      <c r="M356" s="222">
        <v>0</v>
      </c>
      <c r="N356" s="148">
        <v>0</v>
      </c>
      <c r="O356" s="148">
        <v>0</v>
      </c>
      <c r="P356" s="147">
        <v>0</v>
      </c>
      <c r="Q356" s="147">
        <v>0</v>
      </c>
      <c r="R356" s="147">
        <v>0</v>
      </c>
      <c r="S356" s="147">
        <v>0</v>
      </c>
      <c r="T356" s="147">
        <v>0</v>
      </c>
      <c r="V356" s="152"/>
    </row>
    <row r="357" spans="1:22" ht="24" customHeight="1">
      <c r="A357" s="281" t="s">
        <v>887</v>
      </c>
      <c r="B357" s="282"/>
      <c r="C357" s="282"/>
      <c r="D357" s="281" t="s">
        <v>917</v>
      </c>
      <c r="E357" s="282"/>
      <c r="F357" s="282"/>
      <c r="G357" s="282"/>
      <c r="H357" s="215"/>
      <c r="I357" s="215"/>
      <c r="J357" s="215"/>
      <c r="K357" s="215"/>
      <c r="L357" s="222">
        <v>3930</v>
      </c>
      <c r="M357" s="222">
        <v>0</v>
      </c>
      <c r="N357" s="148">
        <v>0</v>
      </c>
      <c r="O357" s="148">
        <v>0</v>
      </c>
      <c r="P357" s="147">
        <v>0</v>
      </c>
      <c r="Q357" s="147">
        <v>0</v>
      </c>
      <c r="R357" s="147">
        <v>0</v>
      </c>
      <c r="S357" s="147">
        <v>0</v>
      </c>
      <c r="T357" s="147">
        <v>0</v>
      </c>
      <c r="V357" s="149"/>
    </row>
    <row r="358" spans="1:22" ht="24" customHeight="1">
      <c r="A358" s="281" t="s">
        <v>943</v>
      </c>
      <c r="B358" s="282"/>
      <c r="C358" s="282"/>
      <c r="D358" s="281" t="s">
        <v>271</v>
      </c>
      <c r="E358" s="282"/>
      <c r="F358" s="282"/>
      <c r="G358" s="282"/>
      <c r="H358" s="215"/>
      <c r="I358" s="215"/>
      <c r="J358" s="215"/>
      <c r="K358" s="215"/>
      <c r="L358" s="230">
        <v>571615</v>
      </c>
      <c r="M358" s="230">
        <v>0</v>
      </c>
      <c r="N358" s="164">
        <v>0</v>
      </c>
      <c r="O358" s="164">
        <v>0</v>
      </c>
      <c r="P358" s="163">
        <f>P261</f>
        <v>0</v>
      </c>
      <c r="Q358" s="163">
        <f>Q261</f>
        <v>0</v>
      </c>
      <c r="R358" s="163">
        <f>R261</f>
        <v>0</v>
      </c>
      <c r="S358" s="163">
        <f>S261</f>
        <v>0</v>
      </c>
      <c r="T358" s="163">
        <f>T261</f>
        <v>0</v>
      </c>
      <c r="V358" s="149"/>
    </row>
    <row r="359" spans="1:22" ht="15" customHeight="1">
      <c r="A359" s="281"/>
      <c r="B359" s="282"/>
      <c r="C359" s="282"/>
      <c r="D359" s="281"/>
      <c r="E359" s="282"/>
      <c r="F359" s="282"/>
      <c r="G359" s="282"/>
      <c r="H359" s="215"/>
      <c r="I359" s="215"/>
      <c r="J359" s="215"/>
      <c r="K359" s="215"/>
      <c r="L359" s="222"/>
      <c r="M359" s="222"/>
      <c r="N359" s="148"/>
      <c r="O359" s="148"/>
      <c r="P359" s="147"/>
      <c r="Q359" s="147"/>
      <c r="R359" s="147"/>
      <c r="S359" s="147"/>
      <c r="T359" s="147"/>
    </row>
    <row r="360" spans="1:22" s="215" customFormat="1" ht="24" customHeight="1">
      <c r="K360" s="285" t="s">
        <v>545</v>
      </c>
      <c r="L360" s="233">
        <f t="shared" ref="L360" si="134">L356+L357+L358</f>
        <v>575545</v>
      </c>
      <c r="M360" s="233">
        <f t="shared" ref="M360:T360" si="135">M356+M357+M358</f>
        <v>0</v>
      </c>
      <c r="N360" s="234">
        <f t="shared" ref="N360:O360" si="136">N356+N357+N358</f>
        <v>0</v>
      </c>
      <c r="O360" s="234">
        <f t="shared" si="136"/>
        <v>0</v>
      </c>
      <c r="P360" s="233">
        <f t="shared" si="135"/>
        <v>0</v>
      </c>
      <c r="Q360" s="233">
        <f t="shared" si="135"/>
        <v>0</v>
      </c>
      <c r="R360" s="233">
        <f t="shared" si="135"/>
        <v>0</v>
      </c>
      <c r="S360" s="233">
        <f t="shared" ref="S360" si="137">S356+S357+S358</f>
        <v>0</v>
      </c>
      <c r="T360" s="233">
        <f t="shared" si="135"/>
        <v>0</v>
      </c>
      <c r="U360" s="470"/>
    </row>
    <row r="361" spans="1:22" ht="15" customHeight="1">
      <c r="A361" s="215"/>
      <c r="B361" s="215"/>
      <c r="C361" s="215"/>
      <c r="D361" s="215"/>
      <c r="E361" s="215"/>
      <c r="F361" s="215"/>
      <c r="G361" s="215"/>
      <c r="H361" s="215"/>
      <c r="I361" s="215"/>
      <c r="J361" s="215"/>
      <c r="K361" s="285"/>
      <c r="L361" s="233"/>
      <c r="M361" s="233"/>
      <c r="N361" s="169"/>
      <c r="O361" s="169"/>
      <c r="P361" s="168"/>
      <c r="Q361" s="168"/>
      <c r="R361" s="168"/>
      <c r="S361" s="168"/>
      <c r="T361" s="168"/>
    </row>
    <row r="362" spans="1:22" ht="24" customHeight="1">
      <c r="A362" s="281" t="s">
        <v>889</v>
      </c>
      <c r="B362" s="215"/>
      <c r="C362" s="215"/>
      <c r="D362" s="215" t="s">
        <v>888</v>
      </c>
      <c r="E362" s="215"/>
      <c r="F362" s="215"/>
      <c r="G362" s="215"/>
      <c r="H362" s="215"/>
      <c r="I362" s="215"/>
      <c r="J362" s="215"/>
      <c r="K362" s="285"/>
      <c r="L362" s="255">
        <v>3930</v>
      </c>
      <c r="M362" s="255">
        <v>0</v>
      </c>
      <c r="N362" s="198">
        <v>0</v>
      </c>
      <c r="O362" s="198">
        <v>0</v>
      </c>
      <c r="P362" s="197">
        <f t="shared" ref="P362:R362" si="138">P357</f>
        <v>0</v>
      </c>
      <c r="Q362" s="197">
        <f t="shared" si="138"/>
        <v>0</v>
      </c>
      <c r="R362" s="197">
        <f t="shared" si="138"/>
        <v>0</v>
      </c>
      <c r="S362" s="197">
        <f t="shared" ref="S362:T362" si="139">S357</f>
        <v>0</v>
      </c>
      <c r="T362" s="197">
        <f t="shared" si="139"/>
        <v>0</v>
      </c>
      <c r="V362" s="149"/>
    </row>
    <row r="363" spans="1:22" ht="15" customHeight="1">
      <c r="A363" s="281"/>
      <c r="B363" s="215"/>
      <c r="C363" s="215"/>
      <c r="D363" s="215"/>
      <c r="E363" s="215"/>
      <c r="F363" s="215"/>
      <c r="G363" s="215"/>
      <c r="H363" s="215"/>
      <c r="I363" s="215"/>
      <c r="J363" s="215"/>
      <c r="K363" s="285"/>
      <c r="L363" s="222"/>
      <c r="M363" s="222"/>
      <c r="N363" s="148"/>
      <c r="O363" s="148"/>
      <c r="P363" s="147"/>
      <c r="Q363" s="147"/>
      <c r="R363" s="147"/>
      <c r="S363" s="147"/>
      <c r="T363" s="147"/>
    </row>
    <row r="364" spans="1:22" s="215" customFormat="1" ht="24" customHeight="1">
      <c r="K364" s="285" t="s">
        <v>548</v>
      </c>
      <c r="L364" s="250">
        <f t="shared" ref="L364" si="140">L362</f>
        <v>3930</v>
      </c>
      <c r="M364" s="250">
        <f t="shared" ref="M364:T364" si="141">M362</f>
        <v>0</v>
      </c>
      <c r="N364" s="251">
        <f t="shared" ref="N364:O364" si="142">N362</f>
        <v>0</v>
      </c>
      <c r="O364" s="251">
        <f t="shared" si="142"/>
        <v>0</v>
      </c>
      <c r="P364" s="250">
        <f t="shared" si="141"/>
        <v>0</v>
      </c>
      <c r="Q364" s="250">
        <f t="shared" si="141"/>
        <v>0</v>
      </c>
      <c r="R364" s="250">
        <f t="shared" si="141"/>
        <v>0</v>
      </c>
      <c r="S364" s="250">
        <f t="shared" ref="S364" si="143">S362</f>
        <v>0</v>
      </c>
      <c r="T364" s="250">
        <f t="shared" si="141"/>
        <v>0</v>
      </c>
      <c r="U364" s="470"/>
    </row>
    <row r="365" spans="1:22" s="215" customFormat="1" ht="15" customHeight="1">
      <c r="K365" s="285"/>
      <c r="L365" s="250"/>
      <c r="M365" s="250"/>
      <c r="N365" s="251"/>
      <c r="O365" s="251"/>
      <c r="P365" s="250"/>
      <c r="Q365" s="250"/>
      <c r="R365" s="250"/>
      <c r="S365" s="250"/>
      <c r="T365" s="250"/>
      <c r="U365" s="470"/>
    </row>
    <row r="366" spans="1:22" s="215" customFormat="1" ht="24" customHeight="1">
      <c r="K366" s="285" t="s">
        <v>549</v>
      </c>
      <c r="L366" s="250">
        <f t="shared" ref="L366" si="144">L360-L364</f>
        <v>571615</v>
      </c>
      <c r="M366" s="250">
        <f t="shared" ref="M366:T366" si="145">M360-M364</f>
        <v>0</v>
      </c>
      <c r="N366" s="251">
        <f t="shared" ref="N366:O366" si="146">N360-N364</f>
        <v>0</v>
      </c>
      <c r="O366" s="251">
        <f t="shared" si="146"/>
        <v>0</v>
      </c>
      <c r="P366" s="250">
        <f t="shared" ref="P366:S366" si="147">P360-P364</f>
        <v>0</v>
      </c>
      <c r="Q366" s="250">
        <f t="shared" si="147"/>
        <v>0</v>
      </c>
      <c r="R366" s="250">
        <f t="shared" si="147"/>
        <v>0</v>
      </c>
      <c r="S366" s="250">
        <f t="shared" si="147"/>
        <v>0</v>
      </c>
      <c r="T366" s="250">
        <f t="shared" si="145"/>
        <v>0</v>
      </c>
      <c r="U366" s="470"/>
    </row>
    <row r="367" spans="1:22" s="215" customFormat="1" ht="15" customHeight="1">
      <c r="L367" s="250"/>
      <c r="M367" s="250"/>
      <c r="N367" s="251"/>
      <c r="O367" s="251"/>
      <c r="P367" s="250"/>
      <c r="Q367" s="250"/>
      <c r="R367" s="250"/>
      <c r="S367" s="250"/>
      <c r="T367" s="250"/>
      <c r="U367" s="470"/>
    </row>
    <row r="368" spans="1:22" s="215" customFormat="1" ht="24" customHeight="1">
      <c r="K368" s="290" t="s">
        <v>551</v>
      </c>
      <c r="L368" s="250">
        <v>0</v>
      </c>
      <c r="M368" s="250">
        <v>0</v>
      </c>
      <c r="N368" s="251">
        <v>0</v>
      </c>
      <c r="O368" s="251">
        <v>0</v>
      </c>
      <c r="P368" s="250">
        <v>0</v>
      </c>
      <c r="Q368" s="250">
        <v>0</v>
      </c>
      <c r="R368" s="250">
        <v>0</v>
      </c>
      <c r="S368" s="250">
        <v>0</v>
      </c>
      <c r="T368" s="250">
        <v>0</v>
      </c>
      <c r="U368" s="470"/>
    </row>
    <row r="369" spans="1:27" ht="15" customHeight="1">
      <c r="A369" s="215"/>
      <c r="B369" s="215"/>
      <c r="C369" s="215"/>
      <c r="D369" s="215"/>
      <c r="E369" s="215"/>
      <c r="F369" s="215"/>
      <c r="G369" s="215"/>
      <c r="H369" s="215"/>
      <c r="I369" s="215"/>
      <c r="J369" s="215"/>
      <c r="K369" s="215"/>
      <c r="L369" s="399"/>
      <c r="M369" s="399"/>
      <c r="N369" s="403"/>
      <c r="O369" s="403"/>
      <c r="P369" s="404"/>
      <c r="Q369" s="404"/>
      <c r="R369" s="404"/>
      <c r="S369" s="404"/>
      <c r="T369" s="404"/>
    </row>
    <row r="370" spans="1:27" ht="24" customHeight="1">
      <c r="A370" s="292" t="s">
        <v>566</v>
      </c>
      <c r="B370" s="215"/>
      <c r="C370" s="215"/>
      <c r="D370" s="215"/>
      <c r="E370" s="215"/>
      <c r="F370" s="215"/>
      <c r="G370" s="215"/>
      <c r="H370" s="215"/>
      <c r="I370" s="215"/>
      <c r="J370" s="215"/>
      <c r="K370" s="215"/>
      <c r="L370" s="279"/>
      <c r="M370" s="279"/>
      <c r="N370" s="397"/>
      <c r="O370" s="397"/>
      <c r="P370" s="398"/>
      <c r="Q370" s="398"/>
      <c r="R370" s="398"/>
      <c r="S370" s="398"/>
      <c r="T370" s="398"/>
    </row>
    <row r="371" spans="1:27" ht="15" customHeight="1">
      <c r="A371" s="215"/>
      <c r="B371" s="215"/>
      <c r="C371" s="215"/>
      <c r="D371" s="215"/>
      <c r="E371" s="215"/>
      <c r="F371" s="215"/>
      <c r="G371" s="215"/>
      <c r="H371" s="215"/>
      <c r="I371" s="215"/>
      <c r="J371" s="215"/>
      <c r="K371" s="215"/>
      <c r="L371" s="279"/>
      <c r="M371" s="279"/>
      <c r="N371" s="397"/>
      <c r="O371" s="397"/>
      <c r="P371" s="398"/>
      <c r="Q371" s="398"/>
      <c r="R371" s="398"/>
      <c r="S371" s="398"/>
      <c r="T371" s="398"/>
    </row>
    <row r="372" spans="1:27" ht="24" customHeight="1">
      <c r="A372" s="281" t="s">
        <v>1137</v>
      </c>
      <c r="B372" s="520"/>
      <c r="C372" s="520"/>
      <c r="D372" s="652" t="s">
        <v>1166</v>
      </c>
      <c r="E372" s="653"/>
      <c r="F372" s="653"/>
      <c r="G372" s="653"/>
      <c r="H372" s="653"/>
      <c r="I372" s="653"/>
      <c r="J372" s="653"/>
      <c r="K372" s="653"/>
      <c r="L372" s="245">
        <v>0</v>
      </c>
      <c r="M372" s="245">
        <v>42461</v>
      </c>
      <c r="N372" s="186">
        <f>ROUND(N419*0.8,0)</f>
        <v>40000</v>
      </c>
      <c r="O372" s="186">
        <f>ROUND(35000*0.8,0)</f>
        <v>28000</v>
      </c>
      <c r="P372" s="185">
        <f>ROUND(5000*0.8,0)</f>
        <v>4000</v>
      </c>
      <c r="Q372" s="171">
        <v>0</v>
      </c>
      <c r="R372" s="171">
        <v>0</v>
      </c>
      <c r="S372" s="171">
        <v>0</v>
      </c>
      <c r="T372" s="171">
        <v>0</v>
      </c>
    </row>
    <row r="373" spans="1:27" ht="24" customHeight="1">
      <c r="A373" s="281" t="s">
        <v>1164</v>
      </c>
      <c r="B373" s="313"/>
      <c r="C373" s="313"/>
      <c r="D373" s="652" t="s">
        <v>1165</v>
      </c>
      <c r="E373" s="653"/>
      <c r="F373" s="653"/>
      <c r="G373" s="653"/>
      <c r="H373" s="653"/>
      <c r="I373" s="653"/>
      <c r="J373" s="653"/>
      <c r="K373" s="653"/>
      <c r="L373" s="245">
        <v>110317</v>
      </c>
      <c r="M373" s="245">
        <v>-9411</v>
      </c>
      <c r="N373" s="157">
        <v>0</v>
      </c>
      <c r="O373" s="186">
        <v>0</v>
      </c>
      <c r="P373" s="154">
        <v>0</v>
      </c>
      <c r="Q373" s="154">
        <v>0</v>
      </c>
      <c r="R373" s="154">
        <v>0</v>
      </c>
      <c r="S373" s="154">
        <v>0</v>
      </c>
      <c r="T373" s="154">
        <v>0</v>
      </c>
    </row>
    <row r="374" spans="1:27" ht="24" customHeight="1">
      <c r="A374" s="281" t="s">
        <v>685</v>
      </c>
      <c r="B374" s="282"/>
      <c r="C374" s="282"/>
      <c r="D374" s="652" t="s">
        <v>1169</v>
      </c>
      <c r="E374" s="653"/>
      <c r="F374" s="653"/>
      <c r="G374" s="653"/>
      <c r="H374" s="653"/>
      <c r="I374" s="653"/>
      <c r="J374" s="653"/>
      <c r="K374" s="653"/>
      <c r="L374" s="245">
        <v>34798</v>
      </c>
      <c r="M374" s="245">
        <v>0</v>
      </c>
      <c r="N374" s="157">
        <v>0</v>
      </c>
      <c r="O374" s="186">
        <v>0</v>
      </c>
      <c r="P374" s="154">
        <v>0</v>
      </c>
      <c r="Q374" s="154">
        <v>0</v>
      </c>
      <c r="R374" s="154">
        <v>0</v>
      </c>
      <c r="S374" s="154">
        <v>0</v>
      </c>
      <c r="T374" s="154">
        <v>0</v>
      </c>
    </row>
    <row r="375" spans="1:27" ht="24" customHeight="1">
      <c r="A375" s="281" t="s">
        <v>719</v>
      </c>
      <c r="B375" s="282"/>
      <c r="C375" s="282"/>
      <c r="D375" s="652" t="s">
        <v>1212</v>
      </c>
      <c r="E375" s="653"/>
      <c r="F375" s="653"/>
      <c r="G375" s="653"/>
      <c r="H375" s="653"/>
      <c r="I375" s="653"/>
      <c r="J375" s="653"/>
      <c r="K375" s="653"/>
      <c r="L375" s="245">
        <v>85724</v>
      </c>
      <c r="M375" s="245">
        <v>29711</v>
      </c>
      <c r="N375" s="157">
        <f>ROUND(14000*0.5,0)+ROUND(28500*0.8,2)</f>
        <v>29800</v>
      </c>
      <c r="O375" s="157">
        <f>ROUND(28500*0.8,2)</f>
        <v>22800</v>
      </c>
      <c r="P375" s="154">
        <f>ROUND(142700*0.8,0)</f>
        <v>114160</v>
      </c>
      <c r="Q375" s="154">
        <f>ROUND(15900*0.8,0)</f>
        <v>12720</v>
      </c>
      <c r="R375" s="154">
        <v>0</v>
      </c>
      <c r="S375" s="154">
        <v>0</v>
      </c>
      <c r="T375" s="154">
        <v>0</v>
      </c>
      <c r="V375" s="149"/>
    </row>
    <row r="376" spans="1:27" ht="24" customHeight="1">
      <c r="A376" s="281" t="s">
        <v>1349</v>
      </c>
      <c r="B376" s="561"/>
      <c r="C376" s="561"/>
      <c r="D376" s="776" t="s">
        <v>1348</v>
      </c>
      <c r="E376" s="776"/>
      <c r="F376" s="776"/>
      <c r="G376" s="776"/>
      <c r="H376" s="776"/>
      <c r="I376" s="776"/>
      <c r="J376" s="776"/>
      <c r="K376" s="776"/>
      <c r="L376" s="225">
        <v>0</v>
      </c>
      <c r="M376" s="225">
        <v>0</v>
      </c>
      <c r="N376" s="157">
        <v>707138</v>
      </c>
      <c r="O376" s="157">
        <f t="shared" ref="O376" si="148">O414</f>
        <v>52076</v>
      </c>
      <c r="P376" s="154">
        <f>P414</f>
        <v>655062</v>
      </c>
      <c r="Q376" s="154">
        <v>0</v>
      </c>
      <c r="R376" s="154">
        <v>0</v>
      </c>
      <c r="S376" s="154">
        <v>0</v>
      </c>
      <c r="T376" s="154">
        <v>0</v>
      </c>
      <c r="V376" s="149"/>
    </row>
    <row r="377" spans="1:27" ht="24" customHeight="1">
      <c r="A377" s="281" t="s">
        <v>293</v>
      </c>
      <c r="B377" s="282"/>
      <c r="C377" s="282"/>
      <c r="D377" s="281" t="s">
        <v>50</v>
      </c>
      <c r="E377" s="391"/>
      <c r="F377" s="392"/>
      <c r="G377" s="284"/>
      <c r="H377" s="284"/>
      <c r="I377" s="284"/>
      <c r="J377" s="284"/>
      <c r="K377" s="284"/>
      <c r="L377" s="222">
        <v>0</v>
      </c>
      <c r="M377" s="222">
        <v>0</v>
      </c>
      <c r="N377" s="172">
        <v>0</v>
      </c>
      <c r="O377" s="172">
        <v>0</v>
      </c>
      <c r="P377" s="171">
        <v>0</v>
      </c>
      <c r="Q377" s="171">
        <v>0</v>
      </c>
      <c r="R377" s="171">
        <v>0</v>
      </c>
      <c r="S377" s="171">
        <v>0</v>
      </c>
      <c r="T377" s="171">
        <v>0</v>
      </c>
      <c r="V377" s="457"/>
      <c r="W377" s="457"/>
      <c r="X377" s="457"/>
      <c r="Y377" s="457"/>
      <c r="Z377" s="457"/>
      <c r="AA377" s="457"/>
    </row>
    <row r="378" spans="1:27" ht="24" customHeight="1">
      <c r="A378" s="281" t="s">
        <v>295</v>
      </c>
      <c r="B378" s="282"/>
      <c r="C378" s="282"/>
      <c r="D378" s="281" t="s">
        <v>1179</v>
      </c>
      <c r="E378" s="613"/>
      <c r="F378" s="615"/>
      <c r="G378" s="615"/>
      <c r="H378" s="615"/>
      <c r="I378" s="615"/>
      <c r="J378" s="615"/>
      <c r="K378" s="615"/>
      <c r="L378" s="237">
        <v>7429</v>
      </c>
      <c r="M378" s="237">
        <v>6900</v>
      </c>
      <c r="N378" s="172">
        <v>5000</v>
      </c>
      <c r="O378" s="172">
        <v>6000</v>
      </c>
      <c r="P378" s="171">
        <v>6000</v>
      </c>
      <c r="Q378" s="171">
        <v>6000</v>
      </c>
      <c r="R378" s="171">
        <v>6000</v>
      </c>
      <c r="S378" s="171">
        <v>6000</v>
      </c>
      <c r="T378" s="171">
        <v>6000</v>
      </c>
      <c r="V378" s="419"/>
      <c r="W378" s="730"/>
      <c r="X378" s="730"/>
      <c r="Y378" s="730"/>
      <c r="Z378" s="730"/>
      <c r="AA378" s="730"/>
    </row>
    <row r="379" spans="1:27" ht="24" customHeight="1">
      <c r="A379" s="281" t="s">
        <v>916</v>
      </c>
      <c r="B379" s="282"/>
      <c r="C379" s="282"/>
      <c r="D379" s="281" t="s">
        <v>917</v>
      </c>
      <c r="E379" s="282"/>
      <c r="F379" s="215"/>
      <c r="G379" s="215"/>
      <c r="H379" s="215"/>
      <c r="I379" s="215"/>
      <c r="J379" s="215"/>
      <c r="K379" s="215"/>
      <c r="L379" s="237">
        <v>71634</v>
      </c>
      <c r="M379" s="237">
        <v>78157</v>
      </c>
      <c r="N379" s="172">
        <v>0</v>
      </c>
      <c r="O379" s="172">
        <v>0</v>
      </c>
      <c r="P379" s="171">
        <v>0</v>
      </c>
      <c r="Q379" s="171">
        <v>0</v>
      </c>
      <c r="R379" s="171">
        <v>0</v>
      </c>
      <c r="S379" s="171">
        <v>0</v>
      </c>
      <c r="T379" s="171">
        <v>0</v>
      </c>
      <c r="V379" s="731"/>
      <c r="W379" s="503"/>
      <c r="X379" s="503"/>
      <c r="Y379" s="503"/>
      <c r="Z379" s="503"/>
      <c r="AA379" s="503"/>
    </row>
    <row r="380" spans="1:27" ht="24" customHeight="1">
      <c r="A380" s="281" t="s">
        <v>946</v>
      </c>
      <c r="B380" s="282"/>
      <c r="C380" s="282"/>
      <c r="D380" s="281" t="s">
        <v>947</v>
      </c>
      <c r="E380" s="282"/>
      <c r="F380" s="215"/>
      <c r="G380" s="215"/>
      <c r="H380" s="215"/>
      <c r="I380" s="215"/>
      <c r="J380" s="215"/>
      <c r="K380" s="215"/>
      <c r="L380" s="237">
        <v>2479</v>
      </c>
      <c r="M380" s="237">
        <v>2209</v>
      </c>
      <c r="N380" s="172">
        <v>2500</v>
      </c>
      <c r="O380" s="172">
        <v>5000</v>
      </c>
      <c r="P380" s="171">
        <v>3000</v>
      </c>
      <c r="Q380" s="171">
        <v>3000</v>
      </c>
      <c r="R380" s="171">
        <v>3000</v>
      </c>
      <c r="S380" s="171">
        <v>3000</v>
      </c>
      <c r="T380" s="171">
        <v>3000</v>
      </c>
      <c r="V380" s="731"/>
      <c r="W380" s="503"/>
      <c r="X380" s="503"/>
      <c r="Y380" s="503"/>
      <c r="Z380" s="503"/>
      <c r="AA380" s="503"/>
    </row>
    <row r="381" spans="1:27" ht="24" customHeight="1">
      <c r="A381" s="281" t="s">
        <v>296</v>
      </c>
      <c r="B381" s="215"/>
      <c r="C381" s="215"/>
      <c r="D381" s="281" t="s">
        <v>297</v>
      </c>
      <c r="E381" s="615"/>
      <c r="F381" s="615"/>
      <c r="G381" s="615"/>
      <c r="H381" s="615"/>
      <c r="I381" s="615"/>
      <c r="J381" s="615"/>
      <c r="K381" s="615"/>
      <c r="L381" s="237">
        <v>2000</v>
      </c>
      <c r="M381" s="237">
        <v>18000</v>
      </c>
      <c r="N381" s="172">
        <v>10000</v>
      </c>
      <c r="O381" s="172">
        <v>26000</v>
      </c>
      <c r="P381" s="171">
        <v>15000</v>
      </c>
      <c r="Q381" s="171">
        <v>15000</v>
      </c>
      <c r="R381" s="171">
        <v>15000</v>
      </c>
      <c r="S381" s="171">
        <v>15000</v>
      </c>
      <c r="T381" s="171">
        <v>15000</v>
      </c>
      <c r="V381" s="731"/>
      <c r="W381" s="732"/>
      <c r="X381" s="732"/>
      <c r="Y381" s="732"/>
      <c r="Z381" s="732"/>
      <c r="AA381" s="732"/>
    </row>
    <row r="382" spans="1:27" ht="24" customHeight="1">
      <c r="A382" s="281" t="s">
        <v>1043</v>
      </c>
      <c r="B382" s="215"/>
      <c r="C382" s="215"/>
      <c r="D382" s="281" t="s">
        <v>1044</v>
      </c>
      <c r="E382" s="621"/>
      <c r="F382" s="621"/>
      <c r="G382" s="621"/>
      <c r="H382" s="621"/>
      <c r="I382" s="621"/>
      <c r="J382" s="621"/>
      <c r="K382" s="621"/>
      <c r="L382" s="237">
        <v>684319</v>
      </c>
      <c r="M382" s="237">
        <v>693467</v>
      </c>
      <c r="N382" s="223">
        <v>680000</v>
      </c>
      <c r="O382" s="223">
        <f>ROUND((7100*16)*6,0)</f>
        <v>681600</v>
      </c>
      <c r="P382" s="222">
        <f t="shared" ref="P382:T382" si="149">ROUND((7100*16)*6,0)</f>
        <v>681600</v>
      </c>
      <c r="Q382" s="222">
        <f t="shared" si="149"/>
        <v>681600</v>
      </c>
      <c r="R382" s="222">
        <f t="shared" si="149"/>
        <v>681600</v>
      </c>
      <c r="S382" s="222">
        <f t="shared" si="149"/>
        <v>681600</v>
      </c>
      <c r="T382" s="222">
        <f t="shared" si="149"/>
        <v>681600</v>
      </c>
      <c r="V382" s="419"/>
      <c r="W382" s="419"/>
      <c r="X382" s="419"/>
      <c r="Y382" s="419"/>
      <c r="Z382" s="419"/>
      <c r="AA382" s="419"/>
    </row>
    <row r="383" spans="1:27" ht="24" customHeight="1">
      <c r="A383" s="281" t="s">
        <v>298</v>
      </c>
      <c r="B383" s="282"/>
      <c r="C383" s="632"/>
      <c r="D383" s="770" t="s">
        <v>6</v>
      </c>
      <c r="E383" s="770"/>
      <c r="F383" s="770"/>
      <c r="G383" s="770"/>
      <c r="H383" s="770"/>
      <c r="I383" s="770"/>
      <c r="J383" s="770"/>
      <c r="K383" s="770"/>
      <c r="L383" s="225">
        <v>204</v>
      </c>
      <c r="M383" s="225">
        <v>4423</v>
      </c>
      <c r="N383" s="157">
        <v>1000</v>
      </c>
      <c r="O383" s="157">
        <v>1200</v>
      </c>
      <c r="P383" s="154">
        <v>600</v>
      </c>
      <c r="Q383" s="154">
        <v>0</v>
      </c>
      <c r="R383" s="154">
        <v>0</v>
      </c>
      <c r="S383" s="154">
        <v>0</v>
      </c>
      <c r="T383" s="154">
        <v>0</v>
      </c>
      <c r="V383" s="419"/>
      <c r="W383" s="733"/>
      <c r="X383" s="733"/>
      <c r="Y383" s="733"/>
      <c r="Z383" s="733"/>
      <c r="AA383" s="733"/>
    </row>
    <row r="384" spans="1:27" ht="24" customHeight="1">
      <c r="A384" s="281" t="s">
        <v>1376</v>
      </c>
      <c r="B384" s="586"/>
      <c r="C384" s="586"/>
      <c r="D384" s="770" t="s">
        <v>1373</v>
      </c>
      <c r="E384" s="770"/>
      <c r="F384" s="770"/>
      <c r="G384" s="770"/>
      <c r="H384" s="770"/>
      <c r="I384" s="770"/>
      <c r="J384" s="770"/>
      <c r="K384" s="770"/>
      <c r="L384" s="225">
        <v>0</v>
      </c>
      <c r="M384" s="225">
        <v>6001</v>
      </c>
      <c r="N384" s="157">
        <v>0</v>
      </c>
      <c r="O384" s="157">
        <v>0</v>
      </c>
      <c r="P384" s="154">
        <v>0</v>
      </c>
      <c r="Q384" s="154">
        <v>0</v>
      </c>
      <c r="R384" s="154">
        <v>0</v>
      </c>
      <c r="S384" s="154">
        <v>0</v>
      </c>
      <c r="T384" s="154">
        <v>0</v>
      </c>
      <c r="V384" s="419"/>
      <c r="W384" s="733"/>
      <c r="X384" s="733"/>
      <c r="Y384" s="733"/>
      <c r="Z384" s="733"/>
      <c r="AA384" s="733"/>
    </row>
    <row r="385" spans="1:30" ht="24" customHeight="1">
      <c r="A385" s="281" t="s">
        <v>1297</v>
      </c>
      <c r="B385" s="508"/>
      <c r="C385" s="508"/>
      <c r="D385" s="508" t="s">
        <v>1298</v>
      </c>
      <c r="E385" s="508"/>
      <c r="F385" s="508"/>
      <c r="G385" s="508"/>
      <c r="H385" s="508"/>
      <c r="I385" s="508"/>
      <c r="J385" s="508"/>
      <c r="K385" s="508"/>
      <c r="L385" s="225">
        <v>0</v>
      </c>
      <c r="M385" s="225">
        <v>93095</v>
      </c>
      <c r="N385" s="157">
        <v>0</v>
      </c>
      <c r="O385" s="157">
        <f>410000-M385</f>
        <v>316905</v>
      </c>
      <c r="P385" s="154">
        <v>0</v>
      </c>
      <c r="Q385" s="154">
        <v>0</v>
      </c>
      <c r="R385" s="154">
        <v>0</v>
      </c>
      <c r="S385" s="154">
        <v>0</v>
      </c>
      <c r="T385" s="154">
        <v>0</v>
      </c>
      <c r="V385" s="419"/>
      <c r="W385" s="734"/>
      <c r="X385" s="734"/>
      <c r="Y385" s="734"/>
      <c r="Z385" s="734"/>
      <c r="AA385" s="734"/>
    </row>
    <row r="386" spans="1:30" ht="24" customHeight="1">
      <c r="A386" s="281" t="s">
        <v>1095</v>
      </c>
      <c r="B386" s="313"/>
      <c r="C386" s="313"/>
      <c r="D386" s="534" t="s">
        <v>1096</v>
      </c>
      <c r="E386" s="534"/>
      <c r="F386" s="534"/>
      <c r="G386" s="534"/>
      <c r="H386" s="534"/>
      <c r="I386" s="534"/>
      <c r="J386" s="534"/>
      <c r="K386" s="534"/>
      <c r="L386" s="225">
        <v>87932</v>
      </c>
      <c r="M386" s="225">
        <v>1148170</v>
      </c>
      <c r="N386" s="157">
        <v>55000</v>
      </c>
      <c r="O386" s="157">
        <v>55000</v>
      </c>
      <c r="P386" s="154">
        <v>0</v>
      </c>
      <c r="Q386" s="154">
        <v>0</v>
      </c>
      <c r="R386" s="154">
        <v>0</v>
      </c>
      <c r="S386" s="154">
        <v>0</v>
      </c>
      <c r="T386" s="154">
        <v>0</v>
      </c>
      <c r="V386" s="418"/>
      <c r="W386" s="459"/>
      <c r="X386" s="459"/>
      <c r="Y386" s="459"/>
      <c r="Z386" s="459"/>
      <c r="AA386" s="459"/>
    </row>
    <row r="387" spans="1:30" ht="24" customHeight="1">
      <c r="A387" s="281" t="s">
        <v>1092</v>
      </c>
      <c r="B387" s="282"/>
      <c r="C387" s="282"/>
      <c r="D387" s="537" t="s">
        <v>1093</v>
      </c>
      <c r="E387" s="537"/>
      <c r="F387" s="537"/>
      <c r="G387" s="537"/>
      <c r="H387" s="537"/>
      <c r="I387" s="537"/>
      <c r="J387" s="537"/>
      <c r="K387" s="537"/>
      <c r="L387" s="225">
        <v>1424</v>
      </c>
      <c r="M387" s="225">
        <v>7727</v>
      </c>
      <c r="N387" s="157">
        <f>N426-N375</f>
        <v>12700</v>
      </c>
      <c r="O387" s="157">
        <f>O426-O375</f>
        <v>19700</v>
      </c>
      <c r="P387" s="154">
        <f>P426-P375</f>
        <v>294740</v>
      </c>
      <c r="Q387" s="154">
        <f t="shared" ref="Q387" si="150">Q426-Q375</f>
        <v>32780</v>
      </c>
      <c r="R387" s="154">
        <v>0</v>
      </c>
      <c r="S387" s="154">
        <v>0</v>
      </c>
      <c r="T387" s="154">
        <v>0</v>
      </c>
      <c r="V387" s="418"/>
      <c r="W387" s="459"/>
      <c r="X387" s="459"/>
      <c r="Y387" s="459"/>
      <c r="Z387" s="459"/>
      <c r="AA387" s="459"/>
    </row>
    <row r="388" spans="1:30" ht="24" customHeight="1">
      <c r="A388" s="281" t="s">
        <v>1275</v>
      </c>
      <c r="B388" s="475"/>
      <c r="C388" s="475"/>
      <c r="D388" s="475" t="s">
        <v>1276</v>
      </c>
      <c r="E388" s="475"/>
      <c r="F388" s="475"/>
      <c r="G388" s="475"/>
      <c r="H388" s="475"/>
      <c r="I388" s="475"/>
      <c r="J388" s="475"/>
      <c r="K388" s="475"/>
      <c r="L388" s="225">
        <v>0</v>
      </c>
      <c r="M388" s="225">
        <v>12627</v>
      </c>
      <c r="N388" s="157">
        <v>0</v>
      </c>
      <c r="O388" s="157">
        <v>1513</v>
      </c>
      <c r="P388" s="154">
        <v>0</v>
      </c>
      <c r="Q388" s="154">
        <v>0</v>
      </c>
      <c r="R388" s="154">
        <v>0</v>
      </c>
      <c r="S388" s="154">
        <v>0</v>
      </c>
      <c r="T388" s="154">
        <v>0</v>
      </c>
    </row>
    <row r="389" spans="1:30" ht="24" customHeight="1">
      <c r="A389" s="281" t="s">
        <v>299</v>
      </c>
      <c r="B389" s="509"/>
      <c r="C389" s="509"/>
      <c r="D389" s="281" t="s">
        <v>300</v>
      </c>
      <c r="E389" s="509"/>
      <c r="F389" s="509"/>
      <c r="G389" s="509"/>
      <c r="H389" s="509"/>
      <c r="I389" s="509"/>
      <c r="J389" s="509"/>
      <c r="K389" s="509"/>
      <c r="L389" s="225">
        <v>0</v>
      </c>
      <c r="M389" s="225">
        <v>4295000</v>
      </c>
      <c r="N389" s="157">
        <v>0</v>
      </c>
      <c r="O389" s="157">
        <v>0</v>
      </c>
      <c r="P389" s="154">
        <v>0</v>
      </c>
      <c r="Q389" s="154">
        <v>0</v>
      </c>
      <c r="R389" s="154">
        <v>0</v>
      </c>
      <c r="S389" s="154">
        <v>0</v>
      </c>
      <c r="T389" s="154">
        <v>0</v>
      </c>
      <c r="V389" s="152"/>
    </row>
    <row r="390" spans="1:30" ht="24" customHeight="1">
      <c r="A390" s="281" t="s">
        <v>1273</v>
      </c>
      <c r="B390" s="476"/>
      <c r="C390" s="476"/>
      <c r="D390" s="281" t="s">
        <v>1274</v>
      </c>
      <c r="E390" s="476"/>
      <c r="F390" s="476"/>
      <c r="G390" s="476"/>
      <c r="H390" s="476"/>
      <c r="I390" s="476"/>
      <c r="J390" s="476"/>
      <c r="K390" s="476"/>
      <c r="L390" s="225">
        <v>0</v>
      </c>
      <c r="M390" s="225">
        <v>49789</v>
      </c>
      <c r="N390" s="157">
        <v>0</v>
      </c>
      <c r="O390" s="157">
        <v>0</v>
      </c>
      <c r="P390" s="154">
        <v>0</v>
      </c>
      <c r="Q390" s="154">
        <v>0</v>
      </c>
      <c r="R390" s="154">
        <v>0</v>
      </c>
      <c r="S390" s="154">
        <v>0</v>
      </c>
      <c r="T390" s="154">
        <v>0</v>
      </c>
      <c r="V390" s="152"/>
    </row>
    <row r="391" spans="1:30" ht="24" customHeight="1">
      <c r="A391" s="281" t="s">
        <v>905</v>
      </c>
      <c r="B391" s="540"/>
      <c r="C391" s="540"/>
      <c r="D391" s="281" t="s">
        <v>1147</v>
      </c>
      <c r="E391" s="540"/>
      <c r="F391" s="540"/>
      <c r="G391" s="540"/>
      <c r="H391" s="540"/>
      <c r="I391" s="540"/>
      <c r="J391" s="540"/>
      <c r="K391" s="540"/>
      <c r="L391" s="225">
        <v>193963</v>
      </c>
      <c r="M391" s="225">
        <v>0</v>
      </c>
      <c r="N391" s="157">
        <f>N423</f>
        <v>152184</v>
      </c>
      <c r="O391" s="157">
        <v>152184</v>
      </c>
      <c r="P391" s="154">
        <v>0</v>
      </c>
      <c r="Q391" s="154">
        <v>0</v>
      </c>
      <c r="R391" s="154">
        <v>0</v>
      </c>
      <c r="S391" s="154">
        <v>0</v>
      </c>
      <c r="T391" s="154">
        <v>0</v>
      </c>
      <c r="V391" s="152"/>
    </row>
    <row r="392" spans="1:30" ht="24" customHeight="1">
      <c r="A392" s="281" t="s">
        <v>1254</v>
      </c>
      <c r="B392" s="451"/>
      <c r="C392" s="451"/>
      <c r="D392" s="281" t="s">
        <v>1255</v>
      </c>
      <c r="E392" s="451"/>
      <c r="F392" s="451"/>
      <c r="G392" s="451"/>
      <c r="H392" s="451"/>
      <c r="I392" s="451"/>
      <c r="J392" s="451"/>
      <c r="K392" s="451"/>
      <c r="L392" s="225">
        <v>0</v>
      </c>
      <c r="M392" s="225">
        <v>49795</v>
      </c>
      <c r="N392" s="157">
        <f>55000+7000</f>
        <v>62000</v>
      </c>
      <c r="O392" s="157">
        <v>62000</v>
      </c>
      <c r="P392" s="154">
        <f>55000+7000-12500</f>
        <v>49500</v>
      </c>
      <c r="Q392" s="154">
        <f>64500-10000</f>
        <v>54500</v>
      </c>
      <c r="R392" s="154">
        <f t="shared" ref="R392:T392" si="151">64500-10000</f>
        <v>54500</v>
      </c>
      <c r="S392" s="154">
        <f t="shared" si="151"/>
        <v>54500</v>
      </c>
      <c r="T392" s="154">
        <f t="shared" si="151"/>
        <v>54500</v>
      </c>
      <c r="V392" s="152"/>
    </row>
    <row r="393" spans="1:30" ht="24" customHeight="1">
      <c r="A393" s="281" t="s">
        <v>1253</v>
      </c>
      <c r="B393" s="450"/>
      <c r="C393" s="450"/>
      <c r="D393" s="281" t="s">
        <v>1160</v>
      </c>
      <c r="E393" s="450"/>
      <c r="F393" s="450"/>
      <c r="G393" s="450"/>
      <c r="H393" s="450"/>
      <c r="I393" s="450"/>
      <c r="J393" s="450"/>
      <c r="K393" s="450"/>
      <c r="L393" s="226">
        <v>270401</v>
      </c>
      <c r="M393" s="226">
        <v>0</v>
      </c>
      <c r="N393" s="157">
        <v>0</v>
      </c>
      <c r="O393" s="157">
        <v>0</v>
      </c>
      <c r="P393" s="154">
        <v>0</v>
      </c>
      <c r="Q393" s="154">
        <v>0</v>
      </c>
      <c r="R393" s="154">
        <v>0</v>
      </c>
      <c r="S393" s="154">
        <v>0</v>
      </c>
      <c r="T393" s="154">
        <v>0</v>
      </c>
      <c r="V393" s="152"/>
    </row>
    <row r="394" spans="1:30" ht="24" customHeight="1">
      <c r="A394" s="281" t="s">
        <v>1326</v>
      </c>
      <c r="B394" s="445"/>
      <c r="C394" s="445"/>
      <c r="D394" s="281" t="s">
        <v>1327</v>
      </c>
      <c r="E394" s="445"/>
      <c r="F394" s="445"/>
      <c r="G394" s="445"/>
      <c r="H394" s="445"/>
      <c r="I394" s="445"/>
      <c r="J394" s="445"/>
      <c r="K394" s="445"/>
      <c r="L394" s="230">
        <v>0</v>
      </c>
      <c r="M394" s="230">
        <v>13500</v>
      </c>
      <c r="N394" s="164">
        <v>0</v>
      </c>
      <c r="O394" s="164">
        <v>0</v>
      </c>
      <c r="P394" s="163">
        <v>0</v>
      </c>
      <c r="Q394" s="163">
        <f t="shared" ref="Q394:S394" si="152">Q423</f>
        <v>0</v>
      </c>
      <c r="R394" s="163">
        <f t="shared" si="152"/>
        <v>0</v>
      </c>
      <c r="S394" s="163">
        <f t="shared" si="152"/>
        <v>0</v>
      </c>
      <c r="T394" s="163">
        <f t="shared" ref="T394" si="153">T423</f>
        <v>0</v>
      </c>
      <c r="V394" s="351"/>
    </row>
    <row r="395" spans="1:30" ht="15" customHeight="1">
      <c r="A395" s="215"/>
      <c r="B395" s="215"/>
      <c r="C395" s="215"/>
      <c r="D395" s="215"/>
      <c r="E395" s="215"/>
      <c r="F395" s="215"/>
      <c r="G395" s="215"/>
      <c r="H395" s="215"/>
      <c r="I395" s="215"/>
      <c r="J395" s="215"/>
      <c r="K395" s="215"/>
      <c r="L395" s="231"/>
      <c r="M395" s="231"/>
      <c r="N395" s="166"/>
      <c r="O395" s="166"/>
      <c r="P395" s="165"/>
      <c r="Q395" s="165"/>
      <c r="R395" s="165"/>
      <c r="S395" s="165"/>
      <c r="T395" s="165"/>
    </row>
    <row r="396" spans="1:30" s="215" customFormat="1" ht="24" customHeight="1">
      <c r="K396" s="285" t="s">
        <v>545</v>
      </c>
      <c r="L396" s="233">
        <f t="shared" ref="L396" si="154">SUM(L372:L395)</f>
        <v>1552624</v>
      </c>
      <c r="M396" s="233">
        <f t="shared" ref="M396:T396" si="155">SUM(M372:M395)</f>
        <v>6541621</v>
      </c>
      <c r="N396" s="234">
        <f t="shared" ref="N396" si="156">SUM(N372:N395)</f>
        <v>1757322</v>
      </c>
      <c r="O396" s="234">
        <f>SUM(O372:O395)</f>
        <v>1429978</v>
      </c>
      <c r="P396" s="233">
        <f t="shared" si="155"/>
        <v>1823662</v>
      </c>
      <c r="Q396" s="233">
        <f t="shared" si="155"/>
        <v>805600</v>
      </c>
      <c r="R396" s="233">
        <f t="shared" si="155"/>
        <v>760100</v>
      </c>
      <c r="S396" s="233">
        <f t="shared" si="155"/>
        <v>760100</v>
      </c>
      <c r="T396" s="233">
        <f t="shared" si="155"/>
        <v>760100</v>
      </c>
      <c r="U396" s="470"/>
      <c r="W396" s="308"/>
      <c r="X396" s="308"/>
      <c r="Y396" s="308"/>
      <c r="Z396" s="308"/>
      <c r="AA396" s="308"/>
    </row>
    <row r="397" spans="1:30" ht="15" customHeight="1">
      <c r="A397" s="215"/>
      <c r="B397" s="215"/>
      <c r="C397" s="215"/>
      <c r="D397" s="215"/>
      <c r="E397" s="215"/>
      <c r="F397" s="215"/>
      <c r="G397" s="215"/>
      <c r="H397" s="215"/>
      <c r="I397" s="215"/>
      <c r="J397" s="215"/>
      <c r="K397" s="215"/>
      <c r="L397" s="231"/>
      <c r="M397" s="231"/>
      <c r="N397" s="166"/>
      <c r="O397" s="166"/>
      <c r="P397" s="165"/>
      <c r="Q397" s="165"/>
      <c r="R397" s="165"/>
      <c r="S397" s="165"/>
      <c r="T397" s="165"/>
    </row>
    <row r="398" spans="1:30" ht="24" customHeight="1">
      <c r="A398" s="285" t="s">
        <v>1267</v>
      </c>
      <c r="B398" s="427"/>
      <c r="C398" s="427"/>
      <c r="D398" s="427"/>
      <c r="E398" s="427"/>
      <c r="F398" s="427"/>
      <c r="G398" s="427"/>
      <c r="H398" s="427"/>
      <c r="I398" s="427"/>
      <c r="J398" s="427"/>
      <c r="K398" s="427"/>
      <c r="L398" s="231"/>
      <c r="M398" s="231"/>
      <c r="N398" s="166"/>
      <c r="O398" s="166"/>
      <c r="P398" s="165"/>
      <c r="Q398" s="165"/>
      <c r="R398" s="165"/>
      <c r="S398" s="165"/>
      <c r="T398" s="165"/>
    </row>
    <row r="399" spans="1:30" ht="24" customHeight="1">
      <c r="A399" s="386" t="s">
        <v>1150</v>
      </c>
      <c r="B399" s="386"/>
      <c r="C399" s="386"/>
      <c r="D399" s="281" t="s">
        <v>888</v>
      </c>
      <c r="E399" s="385"/>
      <c r="F399" s="385"/>
      <c r="G399" s="386"/>
      <c r="H399" s="386"/>
      <c r="I399" s="386"/>
      <c r="J399" s="386"/>
      <c r="K399" s="386"/>
      <c r="L399" s="231">
        <v>2400</v>
      </c>
      <c r="M399" s="231">
        <v>6000</v>
      </c>
      <c r="N399" s="166">
        <v>0</v>
      </c>
      <c r="O399" s="166">
        <v>0</v>
      </c>
      <c r="P399" s="165">
        <v>0</v>
      </c>
      <c r="Q399" s="165">
        <v>0</v>
      </c>
      <c r="R399" s="165">
        <v>0</v>
      </c>
      <c r="S399" s="165">
        <v>0</v>
      </c>
      <c r="T399" s="165">
        <v>0</v>
      </c>
    </row>
    <row r="400" spans="1:30" ht="24" customHeight="1">
      <c r="A400" s="281" t="s">
        <v>1106</v>
      </c>
      <c r="B400" s="353"/>
      <c r="C400" s="353"/>
      <c r="D400" s="281" t="s">
        <v>724</v>
      </c>
      <c r="E400" s="353"/>
      <c r="F400" s="353"/>
      <c r="G400" s="353"/>
      <c r="H400" s="353"/>
      <c r="I400" s="353"/>
      <c r="J400" s="353"/>
      <c r="K400" s="353"/>
      <c r="L400" s="222">
        <v>0</v>
      </c>
      <c r="M400" s="222">
        <v>37824</v>
      </c>
      <c r="N400" s="148">
        <f>27500+7000</f>
        <v>34500</v>
      </c>
      <c r="O400" s="148">
        <v>34500</v>
      </c>
      <c r="P400" s="147">
        <f>27500+7000</f>
        <v>34500</v>
      </c>
      <c r="Q400" s="147">
        <f t="shared" ref="Q400:T400" si="157">27500+7000</f>
        <v>34500</v>
      </c>
      <c r="R400" s="147">
        <f t="shared" si="157"/>
        <v>34500</v>
      </c>
      <c r="S400" s="147">
        <f t="shared" si="157"/>
        <v>34500</v>
      </c>
      <c r="T400" s="147">
        <f t="shared" si="157"/>
        <v>34500</v>
      </c>
      <c r="V400" s="457"/>
      <c r="W400" s="419"/>
      <c r="X400" s="419"/>
      <c r="Y400" s="419"/>
      <c r="Z400" s="419"/>
      <c r="AA400" s="419"/>
      <c r="AB400" s="419"/>
      <c r="AC400" s="419"/>
      <c r="AD400" s="419"/>
    </row>
    <row r="401" spans="1:30" ht="24" customHeight="1">
      <c r="A401" s="281" t="s">
        <v>1107</v>
      </c>
      <c r="B401" s="353"/>
      <c r="C401" s="353"/>
      <c r="D401" s="661" t="s">
        <v>725</v>
      </c>
      <c r="E401" s="660"/>
      <c r="F401" s="660"/>
      <c r="G401" s="660"/>
      <c r="H401" s="660"/>
      <c r="I401" s="660"/>
      <c r="J401" s="660"/>
      <c r="K401" s="660"/>
      <c r="L401" s="222">
        <v>0</v>
      </c>
      <c r="M401" s="222">
        <v>5971</v>
      </c>
      <c r="N401" s="151">
        <v>27500</v>
      </c>
      <c r="O401" s="151">
        <v>27500</v>
      </c>
      <c r="P401" s="150">
        <v>15000</v>
      </c>
      <c r="Q401" s="150">
        <v>20000</v>
      </c>
      <c r="R401" s="150">
        <v>20000</v>
      </c>
      <c r="S401" s="150">
        <v>20000</v>
      </c>
      <c r="T401" s="150">
        <v>20000</v>
      </c>
      <c r="V401" s="418"/>
      <c r="W401" s="419"/>
      <c r="X401" s="419"/>
      <c r="Y401" s="503"/>
      <c r="Z401" s="419"/>
      <c r="AA401" s="419"/>
      <c r="AB401" s="419"/>
      <c r="AC401" s="419"/>
      <c r="AD401" s="419"/>
    </row>
    <row r="402" spans="1:30" ht="24" customHeight="1">
      <c r="A402" s="461" t="s">
        <v>1041</v>
      </c>
      <c r="B402" s="284"/>
      <c r="C402" s="284"/>
      <c r="D402" s="281" t="s">
        <v>374</v>
      </c>
      <c r="E402" s="284"/>
      <c r="F402" s="284"/>
      <c r="G402" s="284"/>
      <c r="H402" s="284"/>
      <c r="I402" s="284"/>
      <c r="J402" s="284"/>
      <c r="K402" s="284"/>
      <c r="L402" s="256">
        <v>2479</v>
      </c>
      <c r="M402" s="256">
        <v>2209</v>
      </c>
      <c r="N402" s="199">
        <f t="shared" ref="N402" si="158">N380</f>
        <v>2500</v>
      </c>
      <c r="O402" s="199">
        <f>O380</f>
        <v>5000</v>
      </c>
      <c r="P402" s="695">
        <f t="shared" ref="P402:T402" si="159">P380</f>
        <v>3000</v>
      </c>
      <c r="Q402" s="695">
        <f t="shared" si="159"/>
        <v>3000</v>
      </c>
      <c r="R402" s="695">
        <f t="shared" si="159"/>
        <v>3000</v>
      </c>
      <c r="S402" s="695">
        <f t="shared" si="159"/>
        <v>3000</v>
      </c>
      <c r="T402" s="695">
        <f t="shared" si="159"/>
        <v>3000</v>
      </c>
      <c r="V402" s="418"/>
      <c r="W402" s="419"/>
      <c r="X402" s="419"/>
      <c r="Y402" s="748"/>
      <c r="Z402" s="419"/>
      <c r="AA402" s="419"/>
      <c r="AB402" s="419"/>
      <c r="AC402" s="419"/>
      <c r="AD402" s="419"/>
    </row>
    <row r="403" spans="1:30" s="215" customFormat="1" ht="24" customHeight="1">
      <c r="A403" s="295"/>
      <c r="L403" s="233">
        <f t="shared" ref="L403" si="160">SUM(L399:L402)</f>
        <v>4879</v>
      </c>
      <c r="M403" s="233">
        <f t="shared" ref="M403:T403" si="161">SUM(M399:M402)</f>
        <v>52004</v>
      </c>
      <c r="N403" s="234">
        <f t="shared" si="161"/>
        <v>64500</v>
      </c>
      <c r="O403" s="234">
        <f t="shared" ref="O403" si="162">SUM(O399:O402)</f>
        <v>67000</v>
      </c>
      <c r="P403" s="233">
        <f t="shared" ref="P403:S403" si="163">SUM(P399:P402)</f>
        <v>52500</v>
      </c>
      <c r="Q403" s="233">
        <f t="shared" si="163"/>
        <v>57500</v>
      </c>
      <c r="R403" s="233">
        <f t="shared" si="163"/>
        <v>57500</v>
      </c>
      <c r="S403" s="233">
        <f t="shared" si="163"/>
        <v>57500</v>
      </c>
      <c r="T403" s="233">
        <f t="shared" si="161"/>
        <v>57500</v>
      </c>
      <c r="U403" s="470"/>
      <c r="V403" s="322"/>
      <c r="W403" s="322"/>
      <c r="X403" s="322"/>
      <c r="Y403" s="322"/>
      <c r="Z403" s="322"/>
      <c r="AA403" s="322"/>
      <c r="AB403" s="322"/>
      <c r="AC403" s="322"/>
      <c r="AD403" s="322"/>
    </row>
    <row r="404" spans="1:30" ht="15" customHeight="1">
      <c r="A404" s="295"/>
      <c r="B404" s="215"/>
      <c r="C404" s="215"/>
      <c r="D404" s="215"/>
      <c r="E404" s="215"/>
      <c r="F404" s="215"/>
      <c r="G404" s="215"/>
      <c r="H404" s="215"/>
      <c r="I404" s="215"/>
      <c r="J404" s="215"/>
      <c r="K404" s="215"/>
      <c r="L404" s="233"/>
      <c r="M404" s="233"/>
      <c r="N404" s="169"/>
      <c r="O404" s="169"/>
      <c r="P404" s="168"/>
      <c r="Q404" s="168"/>
      <c r="R404" s="168"/>
      <c r="S404" s="168"/>
      <c r="T404" s="168"/>
    </row>
    <row r="405" spans="1:30" ht="24" customHeight="1">
      <c r="A405" s="285" t="s">
        <v>975</v>
      </c>
      <c r="B405" s="215"/>
      <c r="C405" s="215"/>
      <c r="D405" s="215"/>
      <c r="E405" s="215"/>
      <c r="F405" s="215"/>
      <c r="G405" s="215"/>
      <c r="H405" s="215"/>
      <c r="I405" s="215"/>
      <c r="J405" s="215"/>
      <c r="K405" s="215"/>
      <c r="L405" s="231"/>
      <c r="M405" s="231"/>
      <c r="N405" s="166"/>
      <c r="O405" s="166"/>
      <c r="P405" s="165"/>
      <c r="Q405" s="165"/>
      <c r="R405" s="165"/>
      <c r="S405" s="165"/>
      <c r="T405" s="165"/>
    </row>
    <row r="406" spans="1:30" ht="24" customHeight="1">
      <c r="A406" s="476" t="s">
        <v>1281</v>
      </c>
      <c r="B406" s="476"/>
      <c r="C406" s="476"/>
      <c r="D406" s="281" t="s">
        <v>1247</v>
      </c>
      <c r="E406" s="475"/>
      <c r="F406" s="475"/>
      <c r="G406" s="475"/>
      <c r="H406" s="475"/>
      <c r="I406" s="284"/>
      <c r="J406" s="284"/>
      <c r="K406" s="284"/>
      <c r="L406" s="241">
        <v>0</v>
      </c>
      <c r="M406" s="179">
        <v>52025</v>
      </c>
      <c r="N406" s="187">
        <v>0</v>
      </c>
      <c r="O406" s="187">
        <v>0</v>
      </c>
      <c r="P406" s="179">
        <v>0</v>
      </c>
      <c r="Q406" s="179">
        <v>0</v>
      </c>
      <c r="R406" s="179">
        <v>0</v>
      </c>
      <c r="S406" s="179">
        <v>0</v>
      </c>
      <c r="T406" s="179">
        <v>0</v>
      </c>
      <c r="V406" s="149"/>
    </row>
    <row r="407" spans="1:30" ht="24" customHeight="1">
      <c r="A407" s="215" t="s">
        <v>918</v>
      </c>
      <c r="B407" s="215"/>
      <c r="C407" s="215"/>
      <c r="D407" s="281" t="s">
        <v>888</v>
      </c>
      <c r="E407" s="282"/>
      <c r="F407" s="282"/>
      <c r="G407" s="282"/>
      <c r="H407" s="282"/>
      <c r="I407" s="284"/>
      <c r="J407" s="284"/>
      <c r="K407" s="284"/>
      <c r="L407" s="241">
        <v>69234</v>
      </c>
      <c r="M407" s="241">
        <v>72157</v>
      </c>
      <c r="N407" s="187">
        <f t="shared" ref="N407" si="164">N379</f>
        <v>0</v>
      </c>
      <c r="O407" s="187">
        <v>0</v>
      </c>
      <c r="P407" s="179">
        <f t="shared" ref="P407:R407" si="165">P379</f>
        <v>0</v>
      </c>
      <c r="Q407" s="179">
        <f t="shared" si="165"/>
        <v>0</v>
      </c>
      <c r="R407" s="179">
        <f t="shared" si="165"/>
        <v>0</v>
      </c>
      <c r="S407" s="179">
        <f>S379</f>
        <v>0</v>
      </c>
      <c r="T407" s="179">
        <f>T379</f>
        <v>0</v>
      </c>
      <c r="V407" s="149"/>
    </row>
    <row r="408" spans="1:30" ht="24" customHeight="1">
      <c r="A408" s="281" t="s">
        <v>1035</v>
      </c>
      <c r="B408" s="284"/>
      <c r="C408" s="284"/>
      <c r="D408" s="281" t="s">
        <v>260</v>
      </c>
      <c r="E408" s="284"/>
      <c r="F408" s="284"/>
      <c r="G408" s="284"/>
      <c r="H408" s="284"/>
      <c r="I408" s="284"/>
      <c r="J408" s="284"/>
      <c r="K408" s="284"/>
      <c r="L408" s="222">
        <v>21792</v>
      </c>
      <c r="M408" s="222">
        <v>5856</v>
      </c>
      <c r="N408" s="186">
        <v>50000</v>
      </c>
      <c r="O408" s="186">
        <v>25000</v>
      </c>
      <c r="P408" s="185">
        <v>25000</v>
      </c>
      <c r="Q408" s="185">
        <v>25000</v>
      </c>
      <c r="R408" s="185">
        <v>25000</v>
      </c>
      <c r="S408" s="185">
        <v>25000</v>
      </c>
      <c r="T408" s="185">
        <v>25000</v>
      </c>
      <c r="V408" s="152"/>
    </row>
    <row r="409" spans="1:30" ht="24" customHeight="1">
      <c r="A409" s="281" t="s">
        <v>1356</v>
      </c>
      <c r="B409" s="284"/>
      <c r="C409" s="284"/>
      <c r="D409" s="281" t="s">
        <v>1354</v>
      </c>
      <c r="E409" s="284"/>
      <c r="F409" s="284"/>
      <c r="G409" s="284"/>
      <c r="H409" s="284"/>
      <c r="I409" s="284"/>
      <c r="J409" s="284"/>
      <c r="K409" s="284"/>
      <c r="L409" s="225">
        <v>0</v>
      </c>
      <c r="M409" s="225">
        <v>120631</v>
      </c>
      <c r="N409" s="157">
        <v>0</v>
      </c>
      <c r="O409" s="157">
        <v>0</v>
      </c>
      <c r="P409" s="154">
        <v>0</v>
      </c>
      <c r="Q409" s="154">
        <v>0</v>
      </c>
      <c r="R409" s="154">
        <v>0</v>
      </c>
      <c r="S409" s="154">
        <v>0</v>
      </c>
      <c r="T409" s="154">
        <v>0</v>
      </c>
      <c r="V409" s="152"/>
    </row>
    <row r="410" spans="1:30" ht="24" customHeight="1">
      <c r="A410" s="281" t="s">
        <v>1266</v>
      </c>
      <c r="B410" s="284"/>
      <c r="C410" s="284"/>
      <c r="D410" s="281" t="s">
        <v>312</v>
      </c>
      <c r="E410" s="284"/>
      <c r="F410" s="284"/>
      <c r="G410" s="284"/>
      <c r="H410" s="284"/>
      <c r="I410" s="284"/>
      <c r="J410" s="284"/>
      <c r="K410" s="284"/>
      <c r="L410" s="222">
        <v>0</v>
      </c>
      <c r="M410" s="222">
        <v>0</v>
      </c>
      <c r="N410" s="186">
        <v>525</v>
      </c>
      <c r="O410" s="186">
        <v>525</v>
      </c>
      <c r="P410" s="185">
        <v>525</v>
      </c>
      <c r="Q410" s="185">
        <v>525</v>
      </c>
      <c r="R410" s="185">
        <v>525</v>
      </c>
      <c r="S410" s="185">
        <v>525</v>
      </c>
      <c r="T410" s="185">
        <v>525</v>
      </c>
      <c r="V410" s="152"/>
    </row>
    <row r="411" spans="1:30" ht="24" customHeight="1">
      <c r="A411" s="281" t="s">
        <v>1240</v>
      </c>
      <c r="B411" s="284"/>
      <c r="C411" s="284"/>
      <c r="D411" s="281" t="s">
        <v>18</v>
      </c>
      <c r="E411" s="284"/>
      <c r="F411" s="284"/>
      <c r="G411" s="284"/>
      <c r="H411" s="284"/>
      <c r="I411" s="284"/>
      <c r="J411" s="284"/>
      <c r="K411" s="284"/>
      <c r="L411" s="222">
        <v>768</v>
      </c>
      <c r="M411" s="222">
        <v>1087</v>
      </c>
      <c r="N411" s="186">
        <v>1000</v>
      </c>
      <c r="O411" s="186">
        <v>1100</v>
      </c>
      <c r="P411" s="185">
        <v>1200</v>
      </c>
      <c r="Q411" s="185">
        <v>1200</v>
      </c>
      <c r="R411" s="185">
        <v>1200</v>
      </c>
      <c r="S411" s="185">
        <v>1200</v>
      </c>
      <c r="T411" s="185">
        <v>1200</v>
      </c>
      <c r="V411" s="152"/>
    </row>
    <row r="412" spans="1:30" ht="24" customHeight="1">
      <c r="A412" s="534" t="s">
        <v>1097</v>
      </c>
      <c r="B412" s="284"/>
      <c r="C412" s="284"/>
      <c r="D412" s="283" t="s">
        <v>1098</v>
      </c>
      <c r="E412" s="284"/>
      <c r="F412" s="284"/>
      <c r="G412" s="284"/>
      <c r="H412" s="284"/>
      <c r="I412" s="284"/>
      <c r="J412" s="284"/>
      <c r="K412" s="284"/>
      <c r="L412" s="237">
        <v>88105</v>
      </c>
      <c r="M412" s="237">
        <v>1067717</v>
      </c>
      <c r="N412" s="172">
        <v>55000</v>
      </c>
      <c r="O412" s="157">
        <v>55000</v>
      </c>
      <c r="P412" s="171">
        <v>0</v>
      </c>
      <c r="Q412" s="171">
        <v>0</v>
      </c>
      <c r="R412" s="171">
        <v>0</v>
      </c>
      <c r="S412" s="171">
        <v>0</v>
      </c>
      <c r="T412" s="171">
        <v>0</v>
      </c>
      <c r="V412" s="167"/>
    </row>
    <row r="413" spans="1:30" ht="24" customHeight="1">
      <c r="A413" s="528" t="s">
        <v>1299</v>
      </c>
      <c r="B413" s="284"/>
      <c r="C413" s="284"/>
      <c r="D413" s="283" t="s">
        <v>1324</v>
      </c>
      <c r="E413" s="284"/>
      <c r="F413" s="284"/>
      <c r="G413" s="284"/>
      <c r="H413" s="284"/>
      <c r="I413" s="284"/>
      <c r="J413" s="284"/>
      <c r="K413" s="284"/>
      <c r="L413" s="237">
        <v>0</v>
      </c>
      <c r="M413" s="237">
        <v>93095</v>
      </c>
      <c r="N413" s="172">
        <v>385000</v>
      </c>
      <c r="O413" s="157">
        <v>318507</v>
      </c>
      <c r="P413" s="171">
        <v>0</v>
      </c>
      <c r="Q413" s="171">
        <v>0</v>
      </c>
      <c r="R413" s="171">
        <v>0</v>
      </c>
      <c r="S413" s="171">
        <v>0</v>
      </c>
      <c r="T413" s="171">
        <v>0</v>
      </c>
      <c r="V413" s="149"/>
    </row>
    <row r="414" spans="1:30" ht="24" customHeight="1">
      <c r="A414" s="637" t="s">
        <v>1350</v>
      </c>
      <c r="B414" s="635"/>
      <c r="C414" s="635"/>
      <c r="D414" s="1" t="s">
        <v>1347</v>
      </c>
      <c r="E414" s="643"/>
      <c r="F414" s="643"/>
      <c r="G414" s="643"/>
      <c r="H414" s="643"/>
      <c r="I414" s="643"/>
      <c r="J414" s="643"/>
      <c r="K414" s="643"/>
      <c r="L414" s="225">
        <v>0</v>
      </c>
      <c r="M414" s="225">
        <v>0</v>
      </c>
      <c r="N414" s="157">
        <v>707138</v>
      </c>
      <c r="O414" s="157">
        <v>52076</v>
      </c>
      <c r="P414" s="154">
        <f>52076+602986</f>
        <v>655062</v>
      </c>
      <c r="Q414" s="154">
        <v>0</v>
      </c>
      <c r="R414" s="154">
        <v>0</v>
      </c>
      <c r="S414" s="154">
        <v>0</v>
      </c>
      <c r="T414" s="154">
        <v>0</v>
      </c>
      <c r="V414" s="149"/>
    </row>
    <row r="415" spans="1:30" ht="24" customHeight="1">
      <c r="A415" s="635" t="s">
        <v>1400</v>
      </c>
      <c r="B415" s="284"/>
      <c r="C415" s="284"/>
      <c r="D415" s="644" t="s">
        <v>1399</v>
      </c>
      <c r="E415" s="284"/>
      <c r="F415" s="284"/>
      <c r="G415" s="284"/>
      <c r="H415" s="284"/>
      <c r="I415" s="284"/>
      <c r="J415" s="284"/>
      <c r="K415" s="284"/>
      <c r="L415" s="237">
        <v>0</v>
      </c>
      <c r="M415" s="237">
        <v>0</v>
      </c>
      <c r="N415" s="172">
        <v>0</v>
      </c>
      <c r="O415" s="172">
        <v>0</v>
      </c>
      <c r="P415" s="171">
        <v>0</v>
      </c>
      <c r="Q415" s="171">
        <v>151300</v>
      </c>
      <c r="R415" s="171">
        <v>151300</v>
      </c>
      <c r="S415" s="171">
        <v>151300</v>
      </c>
      <c r="T415" s="171">
        <v>0</v>
      </c>
      <c r="V415" s="149"/>
    </row>
    <row r="416" spans="1:30" ht="24" customHeight="1">
      <c r="A416" s="477" t="s">
        <v>1283</v>
      </c>
      <c r="B416" s="284"/>
      <c r="C416" s="284"/>
      <c r="D416" s="1" t="s">
        <v>1284</v>
      </c>
      <c r="E416" s="284"/>
      <c r="F416" s="284"/>
      <c r="G416" s="284"/>
      <c r="H416" s="284"/>
      <c r="I416" s="284"/>
      <c r="J416" s="284"/>
      <c r="K416" s="284"/>
      <c r="L416" s="237">
        <v>0</v>
      </c>
      <c r="M416" s="237">
        <v>18769</v>
      </c>
      <c r="N416" s="172">
        <v>14000</v>
      </c>
      <c r="O416" s="157">
        <v>12524</v>
      </c>
      <c r="P416" s="171">
        <v>4000</v>
      </c>
      <c r="Q416" s="171">
        <v>4000</v>
      </c>
      <c r="R416" s="171">
        <v>0</v>
      </c>
      <c r="S416" s="171">
        <v>0</v>
      </c>
      <c r="T416" s="171">
        <v>0</v>
      </c>
      <c r="V416" s="149"/>
    </row>
    <row r="417" spans="1:39" ht="24" customHeight="1">
      <c r="A417" s="282" t="s">
        <v>1073</v>
      </c>
      <c r="B417" s="284"/>
      <c r="C417" s="284"/>
      <c r="D417" s="283" t="s">
        <v>1086</v>
      </c>
      <c r="E417" s="284"/>
      <c r="F417" s="284"/>
      <c r="G417" s="284"/>
      <c r="H417" s="284"/>
      <c r="I417" s="284"/>
      <c r="J417" s="284"/>
      <c r="K417" s="284"/>
      <c r="L417" s="237">
        <v>605242</v>
      </c>
      <c r="M417" s="237">
        <v>405718</v>
      </c>
      <c r="N417" s="172">
        <f>300000+200000</f>
        <v>500000</v>
      </c>
      <c r="O417" s="172">
        <v>500000</v>
      </c>
      <c r="P417" s="171">
        <f>250000+700000</f>
        <v>950000</v>
      </c>
      <c r="Q417" s="171">
        <v>250000</v>
      </c>
      <c r="R417" s="171">
        <f>39341+57513</f>
        <v>96854</v>
      </c>
      <c r="S417" s="171">
        <f>124228+60659+5000</f>
        <v>189887</v>
      </c>
      <c r="T417" s="171">
        <f>312037+25000+5000</f>
        <v>342037</v>
      </c>
      <c r="V417" s="149"/>
    </row>
    <row r="418" spans="1:39" ht="24" customHeight="1">
      <c r="A418" s="282" t="s">
        <v>301</v>
      </c>
      <c r="B418" s="284"/>
      <c r="C418" s="284"/>
      <c r="D418" s="644" t="s">
        <v>174</v>
      </c>
      <c r="E418" s="284"/>
      <c r="F418" s="284"/>
      <c r="G418" s="284"/>
      <c r="H418" s="284"/>
      <c r="I418" s="284"/>
      <c r="J418" s="284"/>
      <c r="K418" s="284"/>
      <c r="L418" s="237">
        <v>2916</v>
      </c>
      <c r="M418" s="237">
        <v>8065</v>
      </c>
      <c r="N418" s="148">
        <v>12500</v>
      </c>
      <c r="O418" s="148">
        <v>12500</v>
      </c>
      <c r="P418" s="147">
        <v>12500</v>
      </c>
      <c r="Q418" s="147">
        <v>12500</v>
      </c>
      <c r="R418" s="147">
        <v>12500</v>
      </c>
      <c r="S418" s="147">
        <v>12500</v>
      </c>
      <c r="T418" s="147">
        <v>12500</v>
      </c>
    </row>
    <row r="419" spans="1:39" ht="24" customHeight="1">
      <c r="A419" s="528" t="s">
        <v>1064</v>
      </c>
      <c r="B419" s="284"/>
      <c r="C419" s="284"/>
      <c r="D419" s="283" t="s">
        <v>1180</v>
      </c>
      <c r="E419" s="284"/>
      <c r="F419" s="284"/>
      <c r="G419" s="284"/>
      <c r="H419" s="284"/>
      <c r="I419" s="284"/>
      <c r="J419" s="284"/>
      <c r="K419" s="284"/>
      <c r="L419" s="237">
        <v>0</v>
      </c>
      <c r="M419" s="237">
        <v>53077</v>
      </c>
      <c r="N419" s="148">
        <f>40000+10000</f>
        <v>50000</v>
      </c>
      <c r="O419" s="148">
        <f>10000+35000</f>
        <v>45000</v>
      </c>
      <c r="P419" s="147">
        <v>5000</v>
      </c>
      <c r="Q419" s="147">
        <v>0</v>
      </c>
      <c r="R419" s="147">
        <v>0</v>
      </c>
      <c r="S419" s="147">
        <v>0</v>
      </c>
      <c r="T419" s="147">
        <v>0</v>
      </c>
      <c r="V419" s="167"/>
    </row>
    <row r="420" spans="1:39" ht="24" customHeight="1">
      <c r="A420" s="534" t="s">
        <v>936</v>
      </c>
      <c r="B420" s="284"/>
      <c r="C420" s="284"/>
      <c r="D420" s="644" t="s">
        <v>1182</v>
      </c>
      <c r="E420" s="128"/>
      <c r="F420" s="128"/>
      <c r="G420" s="128"/>
      <c r="H420" s="128"/>
      <c r="I420" s="128"/>
      <c r="J420" s="128"/>
      <c r="K420" s="128"/>
      <c r="L420" s="237">
        <v>0</v>
      </c>
      <c r="M420" s="237">
        <v>0</v>
      </c>
      <c r="N420" s="172">
        <v>0</v>
      </c>
      <c r="O420" s="172">
        <v>0</v>
      </c>
      <c r="P420" s="171">
        <v>0</v>
      </c>
      <c r="Q420" s="171">
        <v>0</v>
      </c>
      <c r="R420" s="171">
        <v>110400</v>
      </c>
      <c r="S420" s="171">
        <v>0</v>
      </c>
      <c r="T420" s="171">
        <v>0</v>
      </c>
      <c r="V420" s="149"/>
    </row>
    <row r="421" spans="1:39" ht="24" customHeight="1">
      <c r="A421" s="534" t="s">
        <v>938</v>
      </c>
      <c r="B421" s="284"/>
      <c r="C421" s="284"/>
      <c r="D421" s="644" t="s">
        <v>937</v>
      </c>
      <c r="E421" s="284"/>
      <c r="F421" s="284"/>
      <c r="G421" s="284"/>
      <c r="H421" s="284"/>
      <c r="I421" s="284"/>
      <c r="J421" s="284"/>
      <c r="K421" s="284"/>
      <c r="L421" s="237">
        <v>0</v>
      </c>
      <c r="M421" s="237">
        <v>0</v>
      </c>
      <c r="N421" s="172">
        <v>0</v>
      </c>
      <c r="O421" s="172">
        <v>0</v>
      </c>
      <c r="P421" s="171">
        <f>ROUND((303225+45484-66372-3800)/3,0)</f>
        <v>92846</v>
      </c>
      <c r="Q421" s="171">
        <f t="shared" ref="Q421:R421" si="166">ROUND((303225+45484-66372-3800)/3,0)</f>
        <v>92846</v>
      </c>
      <c r="R421" s="171">
        <f t="shared" si="166"/>
        <v>92846</v>
      </c>
      <c r="S421" s="171">
        <v>0</v>
      </c>
      <c r="T421" s="171">
        <v>0</v>
      </c>
      <c r="V421" s="149"/>
    </row>
    <row r="422" spans="1:39" ht="24" customHeight="1">
      <c r="A422" s="538" t="s">
        <v>302</v>
      </c>
      <c r="B422" s="284"/>
      <c r="C422" s="284"/>
      <c r="D422" s="644" t="s">
        <v>283</v>
      </c>
      <c r="E422" s="284"/>
      <c r="F422" s="284"/>
      <c r="G422" s="284"/>
      <c r="H422" s="284"/>
      <c r="I422" s="284"/>
      <c r="J422" s="284"/>
      <c r="K422" s="284"/>
      <c r="L422" s="224">
        <v>5125</v>
      </c>
      <c r="M422" s="224">
        <v>354220</v>
      </c>
      <c r="N422" s="151">
        <f>(700000-105000)+(1614988-161499+12)</f>
        <v>2048501</v>
      </c>
      <c r="O422" s="151">
        <f>414068-15000+1382929-400000</f>
        <v>1381997</v>
      </c>
      <c r="P422" s="150">
        <f>15000+400000</f>
        <v>415000</v>
      </c>
      <c r="Q422" s="150">
        <v>0</v>
      </c>
      <c r="R422" s="150">
        <v>0</v>
      </c>
      <c r="S422" s="150">
        <v>0</v>
      </c>
      <c r="T422" s="150">
        <v>0</v>
      </c>
      <c r="V422" s="207"/>
      <c r="W422" s="184"/>
    </row>
    <row r="423" spans="1:39" ht="24" customHeight="1">
      <c r="A423" s="281" t="s">
        <v>303</v>
      </c>
      <c r="B423" s="284"/>
      <c r="C423" s="284"/>
      <c r="D423" s="644" t="s">
        <v>304</v>
      </c>
      <c r="E423" s="296"/>
      <c r="F423" s="296"/>
      <c r="G423" s="296"/>
      <c r="H423" s="296"/>
      <c r="I423" s="296"/>
      <c r="J423" s="296"/>
      <c r="K423" s="296"/>
      <c r="L423" s="224">
        <v>221880</v>
      </c>
      <c r="M423" s="224">
        <v>0</v>
      </c>
      <c r="N423" s="151">
        <v>152184</v>
      </c>
      <c r="O423" s="151">
        <v>152184</v>
      </c>
      <c r="P423" s="150">
        <v>0</v>
      </c>
      <c r="Q423" s="150">
        <v>0</v>
      </c>
      <c r="R423" s="150">
        <v>0</v>
      </c>
      <c r="S423" s="150">
        <v>0</v>
      </c>
      <c r="T423" s="150">
        <v>0</v>
      </c>
      <c r="V423" s="149"/>
      <c r="W423" s="184"/>
    </row>
    <row r="424" spans="1:39" ht="24" customHeight="1">
      <c r="A424" s="281" t="s">
        <v>1313</v>
      </c>
      <c r="B424" s="284"/>
      <c r="C424" s="284"/>
      <c r="D424" s="1" t="s">
        <v>1314</v>
      </c>
      <c r="E424" s="296"/>
      <c r="F424" s="296"/>
      <c r="G424" s="296"/>
      <c r="H424" s="296"/>
      <c r="I424" s="296"/>
      <c r="J424" s="296"/>
      <c r="K424" s="296"/>
      <c r="L424" s="225">
        <v>0</v>
      </c>
      <c r="M424" s="225">
        <v>0</v>
      </c>
      <c r="N424" s="157">
        <v>1400000</v>
      </c>
      <c r="O424" s="157">
        <f>420000</f>
        <v>420000</v>
      </c>
      <c r="P424" s="154">
        <f>220500+1249500-700000</f>
        <v>770000</v>
      </c>
      <c r="Q424" s="154">
        <f>31500+178500</f>
        <v>210000</v>
      </c>
      <c r="R424" s="154">
        <v>0</v>
      </c>
      <c r="S424" s="154">
        <v>0</v>
      </c>
      <c r="T424" s="154">
        <v>0</v>
      </c>
      <c r="V424" s="149"/>
      <c r="W424" s="571"/>
      <c r="X424" s="571"/>
    </row>
    <row r="425" spans="1:39" ht="24" customHeight="1">
      <c r="A425" s="281" t="s">
        <v>305</v>
      </c>
      <c r="B425" s="284"/>
      <c r="C425" s="284"/>
      <c r="D425" s="644" t="s">
        <v>306</v>
      </c>
      <c r="E425" s="284"/>
      <c r="F425" s="284"/>
      <c r="G425" s="284"/>
      <c r="H425" s="284"/>
      <c r="I425" s="284"/>
      <c r="J425" s="284"/>
      <c r="K425" s="284"/>
      <c r="L425" s="222">
        <v>22707</v>
      </c>
      <c r="M425" s="222">
        <v>0</v>
      </c>
      <c r="N425" s="148">
        <v>0</v>
      </c>
      <c r="O425" s="148">
        <v>0</v>
      </c>
      <c r="P425" s="147">
        <v>0</v>
      </c>
      <c r="Q425" s="147">
        <v>0</v>
      </c>
      <c r="R425" s="147">
        <v>0</v>
      </c>
      <c r="S425" s="147">
        <v>0</v>
      </c>
      <c r="T425" s="147">
        <v>0</v>
      </c>
      <c r="X425" s="571"/>
    </row>
    <row r="426" spans="1:39" ht="24" customHeight="1">
      <c r="A426" s="281" t="s">
        <v>668</v>
      </c>
      <c r="B426" s="284"/>
      <c r="C426" s="284"/>
      <c r="D426" s="644" t="s">
        <v>900</v>
      </c>
      <c r="E426" s="284"/>
      <c r="F426" s="284"/>
      <c r="G426" s="284"/>
      <c r="H426" s="284"/>
      <c r="I426" s="284"/>
      <c r="J426" s="284"/>
      <c r="K426" s="284"/>
      <c r="L426" s="222">
        <v>87147</v>
      </c>
      <c r="M426" s="222">
        <v>37438</v>
      </c>
      <c r="N426" s="157">
        <f>14000+28500</f>
        <v>42500</v>
      </c>
      <c r="O426" s="186">
        <v>42500</v>
      </c>
      <c r="P426" s="154">
        <f>142700+266200</f>
        <v>408900</v>
      </c>
      <c r="Q426" s="147">
        <f>15900+29600</f>
        <v>45500</v>
      </c>
      <c r="R426" s="147">
        <v>0</v>
      </c>
      <c r="S426" s="147">
        <v>0</v>
      </c>
      <c r="T426" s="147">
        <v>0</v>
      </c>
    </row>
    <row r="427" spans="1:39" ht="24" customHeight="1">
      <c r="A427" s="281" t="s">
        <v>1168</v>
      </c>
      <c r="B427" s="284"/>
      <c r="C427" s="284"/>
      <c r="D427" s="786" t="s">
        <v>1181</v>
      </c>
      <c r="E427" s="786"/>
      <c r="F427" s="786"/>
      <c r="G427" s="786"/>
      <c r="H427" s="786"/>
      <c r="I427" s="786"/>
      <c r="J427" s="786"/>
      <c r="K427" s="786"/>
      <c r="L427" s="222">
        <v>0</v>
      </c>
      <c r="M427" s="222">
        <v>109785</v>
      </c>
      <c r="N427" s="157">
        <f>7000+2000</f>
        <v>9000</v>
      </c>
      <c r="O427" s="186">
        <v>616</v>
      </c>
      <c r="P427" s="154">
        <v>0</v>
      </c>
      <c r="Q427" s="154">
        <v>0</v>
      </c>
      <c r="R427" s="147">
        <v>0</v>
      </c>
      <c r="S427" s="147">
        <v>0</v>
      </c>
      <c r="T427" s="147">
        <v>0</v>
      </c>
      <c r="V427" s="457"/>
      <c r="W427" s="457"/>
      <c r="X427" s="457"/>
      <c r="Y427" s="457"/>
      <c r="Z427" s="457"/>
      <c r="AA427" s="457"/>
      <c r="AB427" s="457"/>
      <c r="AC427" s="457"/>
      <c r="AD427" s="457"/>
      <c r="AE427" s="457"/>
      <c r="AF427" s="457"/>
      <c r="AG427" s="457"/>
      <c r="AH427" s="457"/>
      <c r="AI427" s="457"/>
      <c r="AJ427" s="457"/>
      <c r="AK427" s="457"/>
    </row>
    <row r="428" spans="1:39" ht="24" customHeight="1">
      <c r="A428" s="287" t="s">
        <v>1259</v>
      </c>
      <c r="B428" s="282"/>
      <c r="C428" s="282"/>
      <c r="D428" s="281"/>
      <c r="E428" s="282"/>
      <c r="F428" s="282"/>
      <c r="G428" s="282"/>
      <c r="H428" s="282"/>
      <c r="I428" s="282"/>
      <c r="J428" s="282"/>
      <c r="K428" s="282"/>
      <c r="L428" s="224"/>
      <c r="M428" s="224"/>
      <c r="N428" s="151"/>
      <c r="O428" s="151"/>
      <c r="P428" s="150"/>
      <c r="Q428" s="150"/>
      <c r="R428" s="150"/>
      <c r="S428" s="150"/>
      <c r="T428" s="150"/>
      <c r="V428" s="458"/>
      <c r="W428" s="458"/>
      <c r="X428" s="458"/>
      <c r="Y428" s="458"/>
      <c r="Z428" s="458"/>
      <c r="AA428" s="458"/>
      <c r="AB428" s="458"/>
      <c r="AC428" s="458"/>
      <c r="AD428" s="458"/>
      <c r="AE428" s="458"/>
      <c r="AF428" s="458"/>
      <c r="AG428" s="458"/>
      <c r="AH428" s="458"/>
      <c r="AI428" s="458"/>
      <c r="AJ428" s="458"/>
      <c r="AK428" s="458"/>
    </row>
    <row r="429" spans="1:39" ht="24" customHeight="1">
      <c r="A429" s="281" t="s">
        <v>1260</v>
      </c>
      <c r="B429" s="354"/>
      <c r="C429" s="354"/>
      <c r="D429" s="281" t="s">
        <v>1042</v>
      </c>
      <c r="E429" s="354"/>
      <c r="F429" s="354"/>
      <c r="G429" s="354"/>
      <c r="H429" s="354"/>
      <c r="I429" s="354"/>
      <c r="J429" s="282"/>
      <c r="K429" s="282"/>
      <c r="L429" s="224">
        <v>0</v>
      </c>
      <c r="M429" s="224">
        <v>0</v>
      </c>
      <c r="N429" s="151">
        <v>135000</v>
      </c>
      <c r="O429" s="151">
        <v>135000</v>
      </c>
      <c r="P429" s="150">
        <v>185000</v>
      </c>
      <c r="Q429" s="150">
        <v>190000</v>
      </c>
      <c r="R429" s="150">
        <v>190000</v>
      </c>
      <c r="S429" s="150">
        <v>195000</v>
      </c>
      <c r="T429" s="150">
        <v>200000</v>
      </c>
      <c r="V429" s="459"/>
      <c r="W429" s="459"/>
      <c r="X429" s="459"/>
      <c r="Y429" s="459"/>
      <c r="Z429" s="459"/>
      <c r="AA429" s="459"/>
      <c r="AB429" s="459"/>
      <c r="AC429" s="459"/>
      <c r="AD429" s="459"/>
      <c r="AE429" s="459"/>
      <c r="AF429" s="459"/>
      <c r="AG429" s="459"/>
      <c r="AH429" s="459"/>
      <c r="AI429" s="459"/>
      <c r="AJ429" s="459"/>
      <c r="AK429" s="459"/>
      <c r="AM429" s="200"/>
    </row>
    <row r="430" spans="1:39" ht="24" customHeight="1">
      <c r="A430" s="281" t="s">
        <v>1261</v>
      </c>
      <c r="B430" s="354"/>
      <c r="C430" s="354"/>
      <c r="D430" s="281" t="s">
        <v>292</v>
      </c>
      <c r="E430" s="354"/>
      <c r="F430" s="354"/>
      <c r="G430" s="354"/>
      <c r="H430" s="354"/>
      <c r="I430" s="354"/>
      <c r="J430" s="282"/>
      <c r="K430" s="282"/>
      <c r="L430" s="225">
        <v>0</v>
      </c>
      <c r="M430" s="225">
        <v>0</v>
      </c>
      <c r="N430" s="157">
        <v>195937</v>
      </c>
      <c r="O430" s="157">
        <v>195937</v>
      </c>
      <c r="P430" s="154">
        <v>144138</v>
      </c>
      <c r="Q430" s="154">
        <v>138588</v>
      </c>
      <c r="R430" s="154">
        <v>132888</v>
      </c>
      <c r="S430" s="154">
        <v>127188</v>
      </c>
      <c r="T430" s="154">
        <v>121338</v>
      </c>
      <c r="V430" s="459"/>
      <c r="W430" s="459"/>
      <c r="X430" s="459"/>
      <c r="Y430" s="459"/>
      <c r="Z430" s="459"/>
      <c r="AA430" s="459"/>
      <c r="AB430" s="459"/>
      <c r="AC430" s="459"/>
      <c r="AD430" s="459"/>
      <c r="AE430" s="459"/>
      <c r="AF430" s="459"/>
      <c r="AG430" s="459"/>
      <c r="AH430" s="459"/>
      <c r="AI430" s="459"/>
      <c r="AJ430" s="459"/>
      <c r="AK430" s="459"/>
      <c r="AM430" s="200"/>
    </row>
    <row r="431" spans="1:39" ht="24" customHeight="1">
      <c r="A431" s="287" t="s">
        <v>906</v>
      </c>
      <c r="B431" s="496"/>
      <c r="C431" s="496"/>
      <c r="D431" s="281"/>
      <c r="E431" s="496"/>
      <c r="F431" s="496"/>
      <c r="G431" s="496"/>
      <c r="H431" s="496"/>
      <c r="I431" s="496"/>
      <c r="J431" s="496"/>
      <c r="K431" s="496"/>
      <c r="L431" s="224"/>
      <c r="M431" s="224"/>
      <c r="N431" s="151"/>
      <c r="O431" s="151"/>
      <c r="P431" s="150"/>
      <c r="Q431" s="150"/>
      <c r="R431" s="150"/>
      <c r="S431" s="150"/>
      <c r="T431" s="150"/>
    </row>
    <row r="432" spans="1:39" ht="24" customHeight="1">
      <c r="A432" s="281" t="s">
        <v>307</v>
      </c>
      <c r="B432" s="282"/>
      <c r="C432" s="282"/>
      <c r="D432" s="281" t="s">
        <v>1042</v>
      </c>
      <c r="E432" s="282"/>
      <c r="F432" s="282"/>
      <c r="G432" s="282"/>
      <c r="H432" s="282"/>
      <c r="I432" s="282"/>
      <c r="J432" s="282"/>
      <c r="K432" s="282"/>
      <c r="L432" s="224">
        <v>75000</v>
      </c>
      <c r="M432" s="224">
        <v>75000</v>
      </c>
      <c r="N432" s="151">
        <v>77419</v>
      </c>
      <c r="O432" s="151">
        <v>75000</v>
      </c>
      <c r="P432" s="150">
        <v>75000</v>
      </c>
      <c r="Q432" s="150">
        <v>75000</v>
      </c>
      <c r="R432" s="150">
        <v>84675</v>
      </c>
      <c r="S432" s="150">
        <v>0</v>
      </c>
      <c r="T432" s="150">
        <v>0</v>
      </c>
      <c r="V432" s="200"/>
      <c r="W432" s="152"/>
    </row>
    <row r="433" spans="1:23" ht="24" customHeight="1">
      <c r="A433" s="581" t="s">
        <v>1363</v>
      </c>
      <c r="B433" s="284"/>
      <c r="C433" s="284"/>
      <c r="D433" s="281" t="s">
        <v>1332</v>
      </c>
      <c r="E433" s="284"/>
      <c r="F433" s="284"/>
      <c r="G433" s="284"/>
      <c r="H433" s="284"/>
      <c r="I433" s="284"/>
      <c r="J433" s="284"/>
      <c r="K433" s="585"/>
      <c r="L433" s="230">
        <v>0</v>
      </c>
      <c r="M433" s="230">
        <v>6825</v>
      </c>
      <c r="N433" s="164">
        <v>0</v>
      </c>
      <c r="O433" s="164">
        <v>0</v>
      </c>
      <c r="P433" s="163">
        <v>0</v>
      </c>
      <c r="Q433" s="163">
        <v>0</v>
      </c>
      <c r="R433" s="163">
        <v>0</v>
      </c>
      <c r="S433" s="163">
        <v>0</v>
      </c>
      <c r="T433" s="163">
        <v>0</v>
      </c>
      <c r="V433" s="200"/>
      <c r="W433" s="152"/>
    </row>
    <row r="434" spans="1:23" s="215" customFormat="1" ht="24" customHeight="1">
      <c r="L434" s="233">
        <f t="shared" ref="L434" si="167">SUM(L406:L433)</f>
        <v>1199916</v>
      </c>
      <c r="M434" s="233">
        <f t="shared" ref="M434:T434" si="168">SUM(M406:M433)</f>
        <v>2481465</v>
      </c>
      <c r="N434" s="234">
        <f t="shared" ref="N434" si="169">SUM(N406:N433)</f>
        <v>5835704</v>
      </c>
      <c r="O434" s="234">
        <f t="shared" si="168"/>
        <v>3425466</v>
      </c>
      <c r="P434" s="233">
        <f t="shared" si="168"/>
        <v>3744171</v>
      </c>
      <c r="Q434" s="233">
        <f t="shared" si="168"/>
        <v>1196459</v>
      </c>
      <c r="R434" s="233">
        <f t="shared" si="168"/>
        <v>898188</v>
      </c>
      <c r="S434" s="233">
        <f t="shared" si="168"/>
        <v>702600</v>
      </c>
      <c r="T434" s="233">
        <f t="shared" si="168"/>
        <v>702600</v>
      </c>
      <c r="U434" s="470"/>
      <c r="V434" s="200"/>
    </row>
    <row r="435" spans="1:23" s="215" customFormat="1" ht="15" customHeight="1">
      <c r="L435" s="233"/>
      <c r="M435" s="233"/>
      <c r="N435" s="234"/>
      <c r="O435" s="234"/>
      <c r="P435" s="233"/>
      <c r="Q435" s="233"/>
      <c r="R435" s="233"/>
      <c r="S435" s="233"/>
      <c r="T435" s="233"/>
      <c r="U435" s="470"/>
    </row>
    <row r="436" spans="1:23" s="215" customFormat="1" ht="24" customHeight="1">
      <c r="K436" s="285" t="s">
        <v>548</v>
      </c>
      <c r="L436" s="233">
        <f t="shared" ref="L436:T436" si="170">L403+L434</f>
        <v>1204795</v>
      </c>
      <c r="M436" s="233">
        <f t="shared" si="170"/>
        <v>2533469</v>
      </c>
      <c r="N436" s="234">
        <f t="shared" si="170"/>
        <v>5900204</v>
      </c>
      <c r="O436" s="234">
        <f t="shared" si="170"/>
        <v>3492466</v>
      </c>
      <c r="P436" s="233">
        <f t="shared" si="170"/>
        <v>3796671</v>
      </c>
      <c r="Q436" s="233">
        <f t="shared" si="170"/>
        <v>1253959</v>
      </c>
      <c r="R436" s="233">
        <f t="shared" si="170"/>
        <v>955688</v>
      </c>
      <c r="S436" s="233">
        <f t="shared" si="170"/>
        <v>760100</v>
      </c>
      <c r="T436" s="233">
        <f t="shared" si="170"/>
        <v>760100</v>
      </c>
      <c r="U436" s="470"/>
    </row>
    <row r="437" spans="1:23" s="215" customFormat="1" ht="15" customHeight="1">
      <c r="L437" s="231"/>
      <c r="M437" s="231"/>
      <c r="N437" s="232"/>
      <c r="O437" s="232"/>
      <c r="P437" s="231"/>
      <c r="Q437" s="231"/>
      <c r="R437" s="231"/>
      <c r="S437" s="231"/>
      <c r="T437" s="231"/>
      <c r="U437" s="470"/>
    </row>
    <row r="438" spans="1:23" s="215" customFormat="1" ht="24" customHeight="1">
      <c r="K438" s="285" t="s">
        <v>549</v>
      </c>
      <c r="L438" s="250">
        <f t="shared" ref="L438:T438" si="171">L396-L436</f>
        <v>347829</v>
      </c>
      <c r="M438" s="250">
        <f t="shared" si="171"/>
        <v>4008152</v>
      </c>
      <c r="N438" s="251">
        <f t="shared" si="171"/>
        <v>-4142882</v>
      </c>
      <c r="O438" s="251">
        <f t="shared" si="171"/>
        <v>-2062488</v>
      </c>
      <c r="P438" s="250">
        <f t="shared" si="171"/>
        <v>-1973009</v>
      </c>
      <c r="Q438" s="250">
        <f t="shared" si="171"/>
        <v>-448359</v>
      </c>
      <c r="R438" s="250">
        <f t="shared" si="171"/>
        <v>-195588</v>
      </c>
      <c r="S438" s="250">
        <f t="shared" si="171"/>
        <v>0</v>
      </c>
      <c r="T438" s="250">
        <f t="shared" si="171"/>
        <v>0</v>
      </c>
      <c r="U438" s="470"/>
    </row>
    <row r="439" spans="1:23" s="215" customFormat="1" ht="15" customHeight="1">
      <c r="K439" s="285"/>
      <c r="L439" s="250"/>
      <c r="M439" s="250"/>
      <c r="N439" s="251"/>
      <c r="O439" s="251"/>
      <c r="P439" s="250"/>
      <c r="Q439" s="250"/>
      <c r="R439" s="250"/>
      <c r="S439" s="250"/>
      <c r="T439" s="250"/>
      <c r="U439" s="470"/>
    </row>
    <row r="440" spans="1:23" s="215" customFormat="1" ht="24" customHeight="1">
      <c r="F440" s="769" t="s">
        <v>1269</v>
      </c>
      <c r="G440" s="769"/>
      <c r="H440" s="769"/>
      <c r="I440" s="769"/>
      <c r="J440" s="769"/>
      <c r="K440" s="769"/>
      <c r="L440" s="257">
        <v>0</v>
      </c>
      <c r="M440" s="257">
        <v>0</v>
      </c>
      <c r="N440" s="258">
        <v>0</v>
      </c>
      <c r="O440" s="258">
        <f>M440+(O392+O380-O403)</f>
        <v>0</v>
      </c>
      <c r="P440" s="257">
        <f>O440+(P392+P380-P403)</f>
        <v>0</v>
      </c>
      <c r="Q440" s="257">
        <f>P440+(Q392+Q380-Q403)</f>
        <v>0</v>
      </c>
      <c r="R440" s="257">
        <f>Q440+(R392+R380-R403)</f>
        <v>0</v>
      </c>
      <c r="S440" s="257">
        <f>R440+(S392+S380-S403)</f>
        <v>0</v>
      </c>
      <c r="T440" s="257">
        <f>S440+(T392+T380-T403)</f>
        <v>0</v>
      </c>
      <c r="U440" s="470"/>
    </row>
    <row r="441" spans="1:23" s="215" customFormat="1" ht="15" customHeight="1">
      <c r="F441" s="297"/>
      <c r="G441" s="297"/>
      <c r="H441" s="297"/>
      <c r="I441" s="297"/>
      <c r="J441" s="297"/>
      <c r="K441" s="297"/>
      <c r="L441" s="259"/>
      <c r="M441" s="259"/>
      <c r="N441" s="430"/>
      <c r="O441" s="430"/>
      <c r="P441" s="259"/>
      <c r="Q441" s="259"/>
      <c r="R441" s="259"/>
      <c r="S441" s="259"/>
      <c r="T441" s="259"/>
      <c r="U441" s="470"/>
    </row>
    <row r="442" spans="1:23" s="215" customFormat="1" ht="24" customHeight="1">
      <c r="F442" s="769" t="s">
        <v>1268</v>
      </c>
      <c r="G442" s="769"/>
      <c r="H442" s="769"/>
      <c r="I442" s="769"/>
      <c r="J442" s="769"/>
      <c r="K442" s="769"/>
      <c r="L442" s="257">
        <v>676555</v>
      </c>
      <c r="M442" s="257">
        <v>4684706</v>
      </c>
      <c r="N442" s="258">
        <v>831196</v>
      </c>
      <c r="O442" s="258">
        <f>M442+(O396-O392-O380-O434)</f>
        <v>2622218</v>
      </c>
      <c r="P442" s="257">
        <f>O442+(P396-P392-P380-P434)</f>
        <v>649209</v>
      </c>
      <c r="Q442" s="257">
        <f>P442+(Q396-Q392-Q380-Q434)</f>
        <v>200850</v>
      </c>
      <c r="R442" s="257">
        <f>Q442+(R396-R392-R380-R434)</f>
        <v>5262</v>
      </c>
      <c r="S442" s="257">
        <f>R442+(S396-S392-S380-S434)</f>
        <v>5262</v>
      </c>
      <c r="T442" s="257">
        <f>S442+(T396-T392-T380-T434)</f>
        <v>5262</v>
      </c>
      <c r="U442" s="470"/>
    </row>
    <row r="443" spans="1:23" s="215" customFormat="1" ht="15" customHeight="1">
      <c r="K443" s="285"/>
      <c r="L443" s="250"/>
      <c r="M443" s="250"/>
      <c r="N443" s="251"/>
      <c r="O443" s="251"/>
      <c r="P443" s="250"/>
      <c r="Q443" s="250"/>
      <c r="R443" s="250"/>
      <c r="S443" s="250"/>
      <c r="T443" s="250"/>
      <c r="U443" s="470"/>
    </row>
    <row r="444" spans="1:23" s="215" customFormat="1" ht="24" customHeight="1" thickBot="1">
      <c r="K444" s="290" t="s">
        <v>551</v>
      </c>
      <c r="L444" s="260">
        <v>676555</v>
      </c>
      <c r="M444" s="260">
        <v>4684706</v>
      </c>
      <c r="N444" s="261">
        <v>831196</v>
      </c>
      <c r="O444" s="261">
        <f>O440+O442</f>
        <v>2622218</v>
      </c>
      <c r="P444" s="260">
        <f t="shared" ref="P444:T444" si="172">P440+P442</f>
        <v>649209</v>
      </c>
      <c r="Q444" s="260">
        <f t="shared" si="172"/>
        <v>200850</v>
      </c>
      <c r="R444" s="260">
        <f t="shared" si="172"/>
        <v>5262</v>
      </c>
      <c r="S444" s="260">
        <f t="shared" si="172"/>
        <v>5262</v>
      </c>
      <c r="T444" s="260">
        <f t="shared" si="172"/>
        <v>5262</v>
      </c>
      <c r="U444" s="470"/>
      <c r="V444" s="713"/>
    </row>
    <row r="445" spans="1:23" ht="15" customHeight="1" thickTop="1">
      <c r="A445" s="215"/>
      <c r="B445" s="215"/>
      <c r="C445" s="215"/>
      <c r="D445" s="215"/>
      <c r="E445" s="215"/>
      <c r="F445" s="215"/>
      <c r="G445" s="215"/>
      <c r="H445" s="215"/>
      <c r="I445" s="215"/>
      <c r="J445" s="215"/>
      <c r="K445" s="290"/>
      <c r="L445" s="400"/>
      <c r="M445" s="400"/>
      <c r="N445" s="405"/>
      <c r="O445" s="405"/>
      <c r="P445" s="406"/>
      <c r="Q445" s="406"/>
      <c r="R445" s="406"/>
      <c r="S445" s="406"/>
      <c r="T445" s="406"/>
    </row>
    <row r="446" spans="1:23" ht="24" customHeight="1">
      <c r="A446" s="292" t="s">
        <v>948</v>
      </c>
      <c r="B446" s="569"/>
      <c r="C446" s="569"/>
      <c r="D446" s="569"/>
      <c r="E446" s="569"/>
      <c r="F446" s="569"/>
      <c r="G446" s="215"/>
      <c r="H446" s="215"/>
      <c r="I446" s="215"/>
      <c r="J446" s="215"/>
      <c r="K446" s="290"/>
      <c r="L446" s="400"/>
      <c r="M446" s="400"/>
      <c r="N446" s="405"/>
      <c r="O446" s="405"/>
      <c r="P446" s="406"/>
      <c r="Q446" s="406"/>
      <c r="R446" s="406"/>
      <c r="S446" s="406"/>
      <c r="T446" s="406"/>
    </row>
    <row r="447" spans="1:23" ht="15" customHeight="1">
      <c r="A447" s="215"/>
      <c r="B447" s="215"/>
      <c r="C447" s="215"/>
      <c r="D447" s="615"/>
      <c r="E447" s="615"/>
      <c r="F447" s="615"/>
      <c r="G447" s="615"/>
      <c r="H447" s="615"/>
      <c r="I447" s="615"/>
      <c r="J447" s="615"/>
      <c r="K447" s="290"/>
      <c r="L447" s="400"/>
      <c r="M447" s="400"/>
      <c r="N447" s="405"/>
      <c r="O447" s="405"/>
      <c r="P447" s="406"/>
      <c r="Q447" s="406"/>
      <c r="R447" s="406"/>
      <c r="S447" s="406"/>
      <c r="T447" s="406"/>
    </row>
    <row r="448" spans="1:23" ht="24" customHeight="1">
      <c r="A448" s="281" t="s">
        <v>1215</v>
      </c>
      <c r="B448" s="282"/>
      <c r="C448" s="215"/>
      <c r="D448" s="281" t="s">
        <v>949</v>
      </c>
      <c r="E448" s="630"/>
      <c r="F448" s="631"/>
      <c r="G448" s="631"/>
      <c r="H448" s="631"/>
      <c r="I448" s="631"/>
      <c r="J448" s="631"/>
      <c r="K448" s="631"/>
      <c r="L448" s="237">
        <v>11750</v>
      </c>
      <c r="M448" s="237">
        <v>5175</v>
      </c>
      <c r="N448" s="172">
        <v>16000</v>
      </c>
      <c r="O448" s="157">
        <v>7000</v>
      </c>
      <c r="P448" s="154">
        <v>7000</v>
      </c>
      <c r="Q448" s="171">
        <v>16000</v>
      </c>
      <c r="R448" s="171">
        <v>16000</v>
      </c>
      <c r="S448" s="171">
        <v>16000</v>
      </c>
      <c r="T448" s="171">
        <v>16000</v>
      </c>
      <c r="U448" s="546"/>
      <c r="V448" s="524"/>
      <c r="W448" s="212"/>
    </row>
    <row r="449" spans="1:23" ht="24" customHeight="1">
      <c r="A449" s="281" t="s">
        <v>1155</v>
      </c>
      <c r="B449" s="282"/>
      <c r="C449" s="215"/>
      <c r="D449" s="281" t="s">
        <v>917</v>
      </c>
      <c r="E449" s="630"/>
      <c r="F449" s="631"/>
      <c r="G449" s="631"/>
      <c r="H449" s="631"/>
      <c r="I449" s="631"/>
      <c r="J449" s="631"/>
      <c r="K449" s="631"/>
      <c r="L449" s="237">
        <v>30960</v>
      </c>
      <c r="M449" s="237">
        <v>42920</v>
      </c>
      <c r="N449" s="172">
        <v>0</v>
      </c>
      <c r="O449" s="172">
        <v>0</v>
      </c>
      <c r="P449" s="171">
        <v>0</v>
      </c>
      <c r="Q449" s="171">
        <v>0</v>
      </c>
      <c r="R449" s="171">
        <v>0</v>
      </c>
      <c r="S449" s="171">
        <v>0</v>
      </c>
      <c r="T449" s="171">
        <v>0</v>
      </c>
      <c r="U449" s="546"/>
      <c r="V449" s="524"/>
      <c r="W449" s="212"/>
    </row>
    <row r="450" spans="1:23" ht="24" customHeight="1">
      <c r="A450" s="281" t="s">
        <v>1225</v>
      </c>
      <c r="B450" s="215"/>
      <c r="C450" s="215"/>
      <c r="D450" s="281" t="s">
        <v>287</v>
      </c>
      <c r="E450" s="631"/>
      <c r="F450" s="631"/>
      <c r="G450" s="631"/>
      <c r="H450" s="631"/>
      <c r="I450" s="631"/>
      <c r="J450" s="631"/>
      <c r="K450" s="631"/>
      <c r="L450" s="237">
        <v>12264</v>
      </c>
      <c r="M450" s="237">
        <v>0</v>
      </c>
      <c r="N450" s="172">
        <v>0</v>
      </c>
      <c r="O450" s="172">
        <v>0</v>
      </c>
      <c r="P450" s="171">
        <v>0</v>
      </c>
      <c r="Q450" s="171">
        <v>0</v>
      </c>
      <c r="R450" s="171">
        <v>0</v>
      </c>
      <c r="S450" s="171">
        <v>0</v>
      </c>
      <c r="T450" s="171">
        <v>0</v>
      </c>
      <c r="U450" s="546"/>
      <c r="V450" s="524"/>
    </row>
    <row r="451" spans="1:23" ht="24" customHeight="1">
      <c r="A451" s="442" t="s">
        <v>1213</v>
      </c>
      <c r="B451" s="215"/>
      <c r="C451" s="215"/>
      <c r="D451" s="281" t="s">
        <v>294</v>
      </c>
      <c r="E451" s="615"/>
      <c r="F451" s="615"/>
      <c r="G451" s="615"/>
      <c r="H451" s="615"/>
      <c r="I451" s="615"/>
      <c r="J451" s="615"/>
      <c r="K451" s="615"/>
      <c r="L451" s="237">
        <v>3400</v>
      </c>
      <c r="M451" s="237">
        <v>1300</v>
      </c>
      <c r="N451" s="172">
        <v>6500</v>
      </c>
      <c r="O451" s="157">
        <v>3000</v>
      </c>
      <c r="P451" s="154">
        <v>3000</v>
      </c>
      <c r="Q451" s="171">
        <v>6000</v>
      </c>
      <c r="R451" s="171">
        <v>6000</v>
      </c>
      <c r="S451" s="171">
        <v>6000</v>
      </c>
      <c r="T451" s="171">
        <v>6000</v>
      </c>
      <c r="U451" s="546"/>
      <c r="V451" s="524"/>
    </row>
    <row r="452" spans="1:23" ht="24" customHeight="1">
      <c r="A452" s="281" t="s">
        <v>1214</v>
      </c>
      <c r="B452" s="282"/>
      <c r="C452" s="215"/>
      <c r="D452" s="281" t="s">
        <v>950</v>
      </c>
      <c r="E452" s="630"/>
      <c r="F452" s="631"/>
      <c r="G452" s="631"/>
      <c r="H452" s="631"/>
      <c r="I452" s="631"/>
      <c r="J452" s="631"/>
      <c r="K452" s="631"/>
      <c r="L452" s="222">
        <v>16390</v>
      </c>
      <c r="M452" s="222">
        <v>9655</v>
      </c>
      <c r="N452" s="172">
        <v>24500</v>
      </c>
      <c r="O452" s="157">
        <v>15000</v>
      </c>
      <c r="P452" s="154">
        <v>15000</v>
      </c>
      <c r="Q452" s="171">
        <v>24500</v>
      </c>
      <c r="R452" s="171">
        <v>24500</v>
      </c>
      <c r="S452" s="171">
        <v>24500</v>
      </c>
      <c r="T452" s="171">
        <v>24500</v>
      </c>
      <c r="U452" s="546"/>
      <c r="V452" s="524"/>
      <c r="W452" s="212"/>
    </row>
    <row r="453" spans="1:23" ht="24" customHeight="1">
      <c r="A453" s="281" t="s">
        <v>1216</v>
      </c>
      <c r="B453" s="282"/>
      <c r="C453" s="215"/>
      <c r="D453" s="281" t="s">
        <v>988</v>
      </c>
      <c r="E453" s="630"/>
      <c r="F453" s="631"/>
      <c r="G453" s="631"/>
      <c r="H453" s="631"/>
      <c r="I453" s="631"/>
      <c r="J453" s="631"/>
      <c r="K453" s="631"/>
      <c r="L453" s="237">
        <v>1650</v>
      </c>
      <c r="M453" s="237">
        <v>650</v>
      </c>
      <c r="N453" s="172">
        <v>2275</v>
      </c>
      <c r="O453" s="157">
        <v>1000</v>
      </c>
      <c r="P453" s="154">
        <v>1000</v>
      </c>
      <c r="Q453" s="171">
        <v>2275</v>
      </c>
      <c r="R453" s="171">
        <v>2275</v>
      </c>
      <c r="S453" s="171">
        <v>2275</v>
      </c>
      <c r="T453" s="171">
        <v>2275</v>
      </c>
      <c r="U453" s="546"/>
      <c r="V453" s="524"/>
      <c r="W453" s="212"/>
    </row>
    <row r="454" spans="1:23" ht="24" customHeight="1">
      <c r="A454" s="281" t="s">
        <v>1217</v>
      </c>
      <c r="B454" s="282"/>
      <c r="C454" s="215"/>
      <c r="D454" s="770" t="s">
        <v>288</v>
      </c>
      <c r="E454" s="770"/>
      <c r="F454" s="770"/>
      <c r="G454" s="770"/>
      <c r="H454" s="770"/>
      <c r="I454" s="770"/>
      <c r="J454" s="770"/>
      <c r="K454" s="770"/>
      <c r="L454" s="222">
        <v>7569</v>
      </c>
      <c r="M454" s="222">
        <v>5545</v>
      </c>
      <c r="N454" s="148">
        <v>7000</v>
      </c>
      <c r="O454" s="148">
        <v>7000</v>
      </c>
      <c r="P454" s="147">
        <v>7000</v>
      </c>
      <c r="Q454" s="147">
        <v>7000</v>
      </c>
      <c r="R454" s="147">
        <v>7000</v>
      </c>
      <c r="S454" s="147">
        <v>7000</v>
      </c>
      <c r="T454" s="147">
        <v>7000</v>
      </c>
      <c r="U454" s="546"/>
      <c r="V454" s="524"/>
      <c r="W454" s="212"/>
    </row>
    <row r="455" spans="1:23" ht="24" customHeight="1">
      <c r="A455" s="281" t="s">
        <v>1218</v>
      </c>
      <c r="B455" s="282"/>
      <c r="C455" s="215"/>
      <c r="D455" s="770" t="s">
        <v>908</v>
      </c>
      <c r="E455" s="770"/>
      <c r="F455" s="770"/>
      <c r="G455" s="770"/>
      <c r="H455" s="770"/>
      <c r="I455" s="770"/>
      <c r="J455" s="770"/>
      <c r="K455" s="770"/>
      <c r="L455" s="222">
        <v>684</v>
      </c>
      <c r="M455" s="222">
        <v>720</v>
      </c>
      <c r="N455" s="148">
        <v>750</v>
      </c>
      <c r="O455" s="148">
        <v>700</v>
      </c>
      <c r="P455" s="147">
        <v>700</v>
      </c>
      <c r="Q455" s="147">
        <v>700</v>
      </c>
      <c r="R455" s="147">
        <v>700</v>
      </c>
      <c r="S455" s="147">
        <v>700</v>
      </c>
      <c r="T455" s="147">
        <v>700</v>
      </c>
      <c r="U455" s="546"/>
      <c r="V455" s="524"/>
      <c r="W455" s="212"/>
    </row>
    <row r="456" spans="1:23" ht="24" customHeight="1">
      <c r="A456" s="281" t="s">
        <v>1219</v>
      </c>
      <c r="B456" s="282"/>
      <c r="C456" s="215"/>
      <c r="D456" s="770" t="s">
        <v>658</v>
      </c>
      <c r="E456" s="770"/>
      <c r="F456" s="770"/>
      <c r="G456" s="770"/>
      <c r="H456" s="770"/>
      <c r="I456" s="770"/>
      <c r="J456" s="770"/>
      <c r="K456" s="770"/>
      <c r="L456" s="222">
        <v>0</v>
      </c>
      <c r="M456" s="222">
        <v>2916</v>
      </c>
      <c r="N456" s="148">
        <v>5000</v>
      </c>
      <c r="O456" s="148">
        <v>2500</v>
      </c>
      <c r="P456" s="147">
        <v>2500</v>
      </c>
      <c r="Q456" s="147">
        <v>2500</v>
      </c>
      <c r="R456" s="147">
        <v>2500</v>
      </c>
      <c r="S456" s="147">
        <v>2500</v>
      </c>
      <c r="T456" s="147">
        <v>2500</v>
      </c>
      <c r="U456" s="546"/>
      <c r="V456" s="524"/>
      <c r="W456" s="212"/>
    </row>
    <row r="457" spans="1:23" ht="24" customHeight="1">
      <c r="A457" s="281" t="s">
        <v>1220</v>
      </c>
      <c r="B457" s="215"/>
      <c r="C457" s="215"/>
      <c r="D457" s="281" t="s">
        <v>291</v>
      </c>
      <c r="E457" s="215"/>
      <c r="F457" s="215"/>
      <c r="G457" s="215"/>
      <c r="H457" s="215"/>
      <c r="I457" s="215"/>
      <c r="J457" s="215"/>
      <c r="K457" s="215"/>
      <c r="L457" s="237">
        <v>12845</v>
      </c>
      <c r="M457" s="237">
        <v>3288</v>
      </c>
      <c r="N457" s="172">
        <v>6000</v>
      </c>
      <c r="O457" s="172">
        <v>2983</v>
      </c>
      <c r="P457" s="171">
        <v>3000</v>
      </c>
      <c r="Q457" s="171">
        <v>3000</v>
      </c>
      <c r="R457" s="171">
        <v>3000</v>
      </c>
      <c r="S457" s="171">
        <v>3000</v>
      </c>
      <c r="T457" s="171">
        <v>3000</v>
      </c>
      <c r="U457" s="546"/>
      <c r="V457" s="524"/>
    </row>
    <row r="458" spans="1:23" ht="24" customHeight="1">
      <c r="A458" s="281" t="s">
        <v>1221</v>
      </c>
      <c r="B458" s="215"/>
      <c r="C458" s="215"/>
      <c r="D458" s="281" t="s">
        <v>1029</v>
      </c>
      <c r="E458" s="483"/>
      <c r="F458" s="483"/>
      <c r="G458" s="483"/>
      <c r="H458" s="483"/>
      <c r="I458" s="483"/>
      <c r="J458" s="483"/>
      <c r="K458" s="483"/>
      <c r="L458" s="237">
        <v>0</v>
      </c>
      <c r="M458" s="237">
        <v>63777</v>
      </c>
      <c r="N458" s="172">
        <f>78867+25-100+128000-107500-1900+25+11488-1135+85500+11000-623</f>
        <v>203647</v>
      </c>
      <c r="O458" s="172">
        <f>203647-11730+10000-1759</f>
        <v>200158</v>
      </c>
      <c r="P458" s="171">
        <v>53633</v>
      </c>
      <c r="Q458" s="171">
        <v>44633</v>
      </c>
      <c r="R458" s="171">
        <v>44633</v>
      </c>
      <c r="S458" s="171">
        <v>44633</v>
      </c>
      <c r="T458" s="171">
        <v>44633</v>
      </c>
      <c r="U458" s="546"/>
      <c r="V458" s="524"/>
    </row>
    <row r="459" spans="1:23" ht="24" customHeight="1">
      <c r="A459" s="281" t="s">
        <v>1222</v>
      </c>
      <c r="B459" s="215"/>
      <c r="C459" s="215"/>
      <c r="D459" s="281" t="s">
        <v>1031</v>
      </c>
      <c r="E459" s="483"/>
      <c r="F459" s="483"/>
      <c r="G459" s="483"/>
      <c r="H459" s="483"/>
      <c r="I459" s="483"/>
      <c r="J459" s="483"/>
      <c r="K459" s="483"/>
      <c r="L459" s="237">
        <v>144650</v>
      </c>
      <c r="M459" s="237">
        <v>125000</v>
      </c>
      <c r="N459" s="172">
        <f>42295+9000+500+98000-30000-70000-8980+500-30356+4000+149599-822-320</f>
        <v>163416</v>
      </c>
      <c r="O459" s="172">
        <f>188772+51565</f>
        <v>240337</v>
      </c>
      <c r="P459" s="171">
        <v>45000</v>
      </c>
      <c r="Q459" s="171">
        <v>84065</v>
      </c>
      <c r="R459" s="171">
        <v>84065</v>
      </c>
      <c r="S459" s="171">
        <v>84065</v>
      </c>
      <c r="T459" s="171">
        <v>84065</v>
      </c>
      <c r="U459" s="546"/>
      <c r="V459" s="524"/>
    </row>
    <row r="460" spans="1:23" ht="24" customHeight="1">
      <c r="A460" s="281" t="s">
        <v>1223</v>
      </c>
      <c r="B460" s="364"/>
      <c r="C460" s="364"/>
      <c r="D460" s="281" t="s">
        <v>1132</v>
      </c>
      <c r="E460" s="483"/>
      <c r="F460" s="483"/>
      <c r="G460" s="483"/>
      <c r="H460" s="483"/>
      <c r="I460" s="483"/>
      <c r="J460" s="483"/>
      <c r="K460" s="483"/>
      <c r="L460" s="237">
        <v>0</v>
      </c>
      <c r="M460" s="237">
        <v>109650</v>
      </c>
      <c r="N460" s="172">
        <v>0</v>
      </c>
      <c r="O460" s="172">
        <v>0</v>
      </c>
      <c r="P460" s="171">
        <v>0</v>
      </c>
      <c r="Q460" s="171">
        <f>137775-137775</f>
        <v>0</v>
      </c>
      <c r="R460" s="171">
        <v>0</v>
      </c>
      <c r="S460" s="171">
        <f>155775-155775</f>
        <v>0</v>
      </c>
      <c r="T460" s="171">
        <f>155775-155775</f>
        <v>0</v>
      </c>
      <c r="U460" s="546"/>
      <c r="V460" s="524"/>
    </row>
    <row r="461" spans="1:23" ht="24" customHeight="1">
      <c r="A461" s="281" t="s">
        <v>1224</v>
      </c>
      <c r="B461" s="282"/>
      <c r="C461" s="215"/>
      <c r="D461" s="782" t="s">
        <v>990</v>
      </c>
      <c r="E461" s="782"/>
      <c r="F461" s="782"/>
      <c r="G461" s="782"/>
      <c r="H461" s="782"/>
      <c r="I461" s="782"/>
      <c r="J461" s="782"/>
      <c r="K461" s="782"/>
      <c r="L461" s="224">
        <v>446</v>
      </c>
      <c r="M461" s="224">
        <v>312</v>
      </c>
      <c r="N461" s="151">
        <v>250</v>
      </c>
      <c r="O461" s="151">
        <v>50</v>
      </c>
      <c r="P461" s="150">
        <v>50</v>
      </c>
      <c r="Q461" s="150">
        <v>50</v>
      </c>
      <c r="R461" s="150">
        <v>50</v>
      </c>
      <c r="S461" s="150">
        <v>50</v>
      </c>
      <c r="T461" s="150">
        <v>50</v>
      </c>
      <c r="U461" s="546"/>
      <c r="V461" s="524"/>
      <c r="W461" s="212"/>
    </row>
    <row r="462" spans="1:23" ht="24" customHeight="1">
      <c r="A462" s="281" t="s">
        <v>1377</v>
      </c>
      <c r="B462" s="586"/>
      <c r="C462" s="587"/>
      <c r="D462" s="770" t="s">
        <v>1373</v>
      </c>
      <c r="E462" s="770"/>
      <c r="F462" s="770"/>
      <c r="G462" s="770"/>
      <c r="H462" s="770"/>
      <c r="I462" s="770"/>
      <c r="J462" s="770"/>
      <c r="K462" s="770"/>
      <c r="L462" s="225">
        <v>0</v>
      </c>
      <c r="M462" s="225">
        <v>137</v>
      </c>
      <c r="N462" s="157">
        <v>0</v>
      </c>
      <c r="O462" s="157">
        <v>0</v>
      </c>
      <c r="P462" s="154">
        <v>0</v>
      </c>
      <c r="Q462" s="154">
        <v>0</v>
      </c>
      <c r="R462" s="154">
        <v>0</v>
      </c>
      <c r="S462" s="154">
        <v>0</v>
      </c>
      <c r="T462" s="154">
        <v>0</v>
      </c>
      <c r="U462" s="546"/>
      <c r="V462" s="524"/>
      <c r="W462" s="212"/>
    </row>
    <row r="463" spans="1:23" ht="24" customHeight="1">
      <c r="A463" s="281" t="s">
        <v>1230</v>
      </c>
      <c r="B463" s="282"/>
      <c r="C463" s="215"/>
      <c r="D463" s="770" t="s">
        <v>991</v>
      </c>
      <c r="E463" s="770"/>
      <c r="F463" s="770"/>
      <c r="G463" s="770"/>
      <c r="H463" s="770"/>
      <c r="I463" s="770"/>
      <c r="J463" s="770"/>
      <c r="K463" s="770"/>
      <c r="L463" s="225">
        <v>50000</v>
      </c>
      <c r="M463" s="225">
        <v>97771</v>
      </c>
      <c r="N463" s="157">
        <v>0</v>
      </c>
      <c r="O463" s="157">
        <v>0</v>
      </c>
      <c r="P463" s="154">
        <v>0</v>
      </c>
      <c r="Q463" s="154">
        <v>0</v>
      </c>
      <c r="R463" s="154">
        <v>0</v>
      </c>
      <c r="S463" s="154">
        <v>0</v>
      </c>
      <c r="T463" s="154">
        <v>0</v>
      </c>
      <c r="U463" s="546"/>
      <c r="V463" s="524"/>
      <c r="W463" s="212"/>
    </row>
    <row r="464" spans="1:23" ht="24" customHeight="1">
      <c r="A464" s="281" t="s">
        <v>1226</v>
      </c>
      <c r="B464" s="215"/>
      <c r="C464" s="215"/>
      <c r="D464" s="281" t="s">
        <v>992</v>
      </c>
      <c r="E464" s="215"/>
      <c r="F464" s="215"/>
      <c r="G464" s="215"/>
      <c r="H464" s="215"/>
      <c r="I464" s="215"/>
      <c r="J464" s="215"/>
      <c r="K464" s="215"/>
      <c r="L464" s="225">
        <v>4064</v>
      </c>
      <c r="M464" s="225">
        <v>191</v>
      </c>
      <c r="N464" s="157">
        <v>0</v>
      </c>
      <c r="O464" s="157">
        <v>0</v>
      </c>
      <c r="P464" s="154">
        <v>0</v>
      </c>
      <c r="Q464" s="154">
        <v>0</v>
      </c>
      <c r="R464" s="154">
        <v>0</v>
      </c>
      <c r="S464" s="154">
        <v>0</v>
      </c>
      <c r="T464" s="154">
        <v>0</v>
      </c>
      <c r="U464" s="546"/>
      <c r="V464" s="524"/>
    </row>
    <row r="465" spans="1:22" ht="24" customHeight="1">
      <c r="A465" s="281" t="s">
        <v>1227</v>
      </c>
      <c r="B465" s="215"/>
      <c r="C465" s="215"/>
      <c r="D465" s="281" t="s">
        <v>989</v>
      </c>
      <c r="E465" s="353"/>
      <c r="F465" s="353"/>
      <c r="G465" s="353"/>
      <c r="H465" s="353"/>
      <c r="I465" s="353"/>
      <c r="J465" s="353"/>
      <c r="K465" s="353"/>
      <c r="L465" s="228">
        <v>930</v>
      </c>
      <c r="M465" s="228">
        <v>2002</v>
      </c>
      <c r="N465" s="159">
        <v>1000</v>
      </c>
      <c r="O465" s="159">
        <v>3929</v>
      </c>
      <c r="P465" s="158">
        <v>2000</v>
      </c>
      <c r="Q465" s="158">
        <v>2000</v>
      </c>
      <c r="R465" s="158">
        <v>2000</v>
      </c>
      <c r="S465" s="158">
        <v>2000</v>
      </c>
      <c r="T465" s="158">
        <v>2000</v>
      </c>
      <c r="U465" s="546"/>
      <c r="V465" s="524"/>
    </row>
    <row r="466" spans="1:22" ht="24" customHeight="1">
      <c r="A466" s="281" t="s">
        <v>1228</v>
      </c>
      <c r="B466" s="215"/>
      <c r="C466" s="215"/>
      <c r="D466" s="281" t="s">
        <v>1100</v>
      </c>
      <c r="E466" s="215"/>
      <c r="F466" s="215"/>
      <c r="G466" s="215"/>
      <c r="H466" s="215"/>
      <c r="I466" s="215"/>
      <c r="J466" s="215"/>
      <c r="K466" s="215"/>
      <c r="L466" s="224">
        <v>7825</v>
      </c>
      <c r="M466" s="224">
        <v>0</v>
      </c>
      <c r="N466" s="151">
        <v>1000</v>
      </c>
      <c r="O466" s="151">
        <v>3475</v>
      </c>
      <c r="P466" s="150">
        <v>1000</v>
      </c>
      <c r="Q466" s="150">
        <v>1000</v>
      </c>
      <c r="R466" s="150">
        <v>1000</v>
      </c>
      <c r="S466" s="150">
        <v>1000</v>
      </c>
      <c r="T466" s="150">
        <v>1000</v>
      </c>
      <c r="U466" s="546"/>
      <c r="V466" s="524"/>
    </row>
    <row r="467" spans="1:22" ht="24" customHeight="1">
      <c r="A467" s="281" t="s">
        <v>1229</v>
      </c>
      <c r="B467" s="364"/>
      <c r="C467" s="364"/>
      <c r="D467" s="281" t="s">
        <v>1114</v>
      </c>
      <c r="E467" s="364"/>
      <c r="F467" s="364"/>
      <c r="G467" s="364"/>
      <c r="H467" s="364"/>
      <c r="I467" s="364"/>
      <c r="J467" s="364"/>
      <c r="K467" s="364"/>
      <c r="L467" s="225">
        <v>0</v>
      </c>
      <c r="M467" s="225">
        <v>0</v>
      </c>
      <c r="N467" s="157">
        <v>35000</v>
      </c>
      <c r="O467" s="157">
        <f>20000+21000</f>
        <v>41000</v>
      </c>
      <c r="P467" s="154">
        <v>0</v>
      </c>
      <c r="Q467" s="154">
        <f>30000-30000</f>
        <v>0</v>
      </c>
      <c r="R467" s="154">
        <v>0</v>
      </c>
      <c r="S467" s="154">
        <v>0</v>
      </c>
      <c r="T467" s="154">
        <v>0</v>
      </c>
      <c r="U467" s="546"/>
      <c r="V467" s="524"/>
    </row>
    <row r="468" spans="1:22" ht="24" customHeight="1">
      <c r="A468" s="678" t="s">
        <v>1410</v>
      </c>
      <c r="B468" s="679"/>
      <c r="C468" s="679"/>
      <c r="D468" s="678" t="s">
        <v>1411</v>
      </c>
      <c r="E468" s="679"/>
      <c r="F468" s="679"/>
      <c r="G468" s="679"/>
      <c r="H468" s="679"/>
      <c r="I468" s="679"/>
      <c r="J468" s="679"/>
      <c r="K468" s="679"/>
      <c r="L468" s="230">
        <v>0</v>
      </c>
      <c r="M468" s="230">
        <v>0</v>
      </c>
      <c r="N468" s="164">
        <v>0</v>
      </c>
      <c r="O468" s="164">
        <v>800</v>
      </c>
      <c r="P468" s="163">
        <v>0</v>
      </c>
      <c r="Q468" s="163">
        <f>30000-30000</f>
        <v>0</v>
      </c>
      <c r="R468" s="163">
        <v>0</v>
      </c>
      <c r="S468" s="163">
        <v>0</v>
      </c>
      <c r="T468" s="163">
        <v>0</v>
      </c>
      <c r="U468" s="546"/>
      <c r="V468" s="524"/>
    </row>
    <row r="469" spans="1:22" ht="15" customHeight="1">
      <c r="A469" s="215"/>
      <c r="B469" s="215"/>
      <c r="C469" s="215"/>
      <c r="D469" s="215"/>
      <c r="E469" s="215"/>
      <c r="F469" s="215"/>
      <c r="G469" s="215"/>
      <c r="H469" s="215"/>
      <c r="I469" s="215"/>
      <c r="J469" s="215"/>
      <c r="K469" s="215"/>
      <c r="L469" s="231"/>
      <c r="M469" s="231"/>
      <c r="N469" s="166"/>
      <c r="O469" s="166"/>
      <c r="P469" s="165"/>
      <c r="Q469" s="165"/>
      <c r="R469" s="165"/>
      <c r="S469" s="165"/>
      <c r="T469" s="165"/>
    </row>
    <row r="470" spans="1:22" s="215" customFormat="1" ht="24" customHeight="1">
      <c r="K470" s="285" t="s">
        <v>545</v>
      </c>
      <c r="L470" s="233">
        <f>SUM(L448:L469)</f>
        <v>305427</v>
      </c>
      <c r="M470" s="233">
        <f t="shared" ref="M470:T470" si="173">SUM(M448:M469)</f>
        <v>471009</v>
      </c>
      <c r="N470" s="234">
        <f t="shared" si="173"/>
        <v>472338</v>
      </c>
      <c r="O470" s="234">
        <f t="shared" si="173"/>
        <v>528932</v>
      </c>
      <c r="P470" s="233">
        <f t="shared" si="173"/>
        <v>140883</v>
      </c>
      <c r="Q470" s="233">
        <f t="shared" si="173"/>
        <v>193723</v>
      </c>
      <c r="R470" s="233">
        <f t="shared" si="173"/>
        <v>193723</v>
      </c>
      <c r="S470" s="233">
        <f t="shared" si="173"/>
        <v>193723</v>
      </c>
      <c r="T470" s="233">
        <f t="shared" si="173"/>
        <v>193723</v>
      </c>
      <c r="U470" s="470"/>
      <c r="V470" s="714"/>
    </row>
    <row r="471" spans="1:22" ht="15" customHeight="1">
      <c r="A471" s="215"/>
      <c r="B471" s="215"/>
      <c r="C471" s="215"/>
      <c r="D471" s="215"/>
      <c r="E471" s="215"/>
      <c r="F471" s="215"/>
      <c r="G471" s="215"/>
      <c r="H471" s="215"/>
      <c r="I471" s="215"/>
      <c r="J471" s="215"/>
      <c r="K471" s="215"/>
      <c r="L471" s="231"/>
      <c r="M471" s="231"/>
      <c r="N471" s="166"/>
      <c r="O471" s="166"/>
      <c r="P471" s="165"/>
      <c r="Q471" s="165"/>
      <c r="R471" s="165"/>
      <c r="S471" s="165"/>
      <c r="T471" s="165"/>
    </row>
    <row r="472" spans="1:22" ht="24" customHeight="1">
      <c r="A472" s="285" t="s">
        <v>750</v>
      </c>
      <c r="B472" s="215"/>
      <c r="C472" s="215"/>
      <c r="D472" s="215"/>
      <c r="E472" s="215"/>
      <c r="F472" s="215"/>
      <c r="G472" s="215"/>
      <c r="H472" s="215"/>
      <c r="I472" s="215"/>
      <c r="J472" s="215"/>
      <c r="K472" s="215"/>
      <c r="L472" s="231"/>
      <c r="M472" s="231"/>
      <c r="N472" s="166"/>
      <c r="O472" s="166"/>
      <c r="P472" s="165"/>
      <c r="Q472" s="165"/>
      <c r="R472" s="165"/>
      <c r="S472" s="165"/>
      <c r="T472" s="165"/>
    </row>
    <row r="473" spans="1:22" ht="24" customHeight="1">
      <c r="A473" s="281" t="s">
        <v>1151</v>
      </c>
      <c r="B473" s="386"/>
      <c r="C473" s="386"/>
      <c r="D473" s="386" t="s">
        <v>888</v>
      </c>
      <c r="E473" s="386"/>
      <c r="F473" s="386"/>
      <c r="G473" s="386"/>
      <c r="H473" s="386"/>
      <c r="I473" s="386"/>
      <c r="J473" s="386"/>
      <c r="K473" s="386"/>
      <c r="L473" s="231">
        <v>4800</v>
      </c>
      <c r="M473" s="231">
        <v>10350</v>
      </c>
      <c r="N473" s="166">
        <v>0</v>
      </c>
      <c r="O473" s="166">
        <v>0</v>
      </c>
      <c r="P473" s="165">
        <v>0</v>
      </c>
      <c r="Q473" s="165">
        <v>0</v>
      </c>
      <c r="R473" s="165">
        <v>0</v>
      </c>
      <c r="S473" s="165">
        <v>0</v>
      </c>
      <c r="T473" s="165">
        <v>0</v>
      </c>
    </row>
    <row r="474" spans="1:22" ht="24" customHeight="1">
      <c r="A474" s="281" t="s">
        <v>951</v>
      </c>
      <c r="B474" s="215"/>
      <c r="C474" s="215"/>
      <c r="D474" s="281" t="s">
        <v>10</v>
      </c>
      <c r="E474" s="215"/>
      <c r="F474" s="215"/>
      <c r="G474" s="215"/>
      <c r="H474" s="215"/>
      <c r="I474" s="215"/>
      <c r="J474" s="215"/>
      <c r="K474" s="215"/>
      <c r="L474" s="224">
        <v>95</v>
      </c>
      <c r="M474" s="224">
        <v>1166</v>
      </c>
      <c r="N474" s="151">
        <f t="shared" ref="N474" si="174">ROUND(N456/3,0)</f>
        <v>1667</v>
      </c>
      <c r="O474" s="151">
        <f>ROUND(O456/3,0)</f>
        <v>833</v>
      </c>
      <c r="P474" s="150">
        <f t="shared" ref="P474:S474" si="175">ROUND(P456/3,0)</f>
        <v>833</v>
      </c>
      <c r="Q474" s="150">
        <f t="shared" si="175"/>
        <v>833</v>
      </c>
      <c r="R474" s="150">
        <f t="shared" si="175"/>
        <v>833</v>
      </c>
      <c r="S474" s="150">
        <f t="shared" si="175"/>
        <v>833</v>
      </c>
      <c r="T474" s="150">
        <f t="shared" ref="T474" si="176">ROUND(T456/3,0)</f>
        <v>833</v>
      </c>
      <c r="V474" s="149"/>
    </row>
    <row r="475" spans="1:22" ht="24" customHeight="1">
      <c r="A475" s="281" t="s">
        <v>952</v>
      </c>
      <c r="B475" s="282"/>
      <c r="C475" s="282"/>
      <c r="D475" s="281" t="s">
        <v>1079</v>
      </c>
      <c r="E475" s="618"/>
      <c r="F475" s="618"/>
      <c r="G475" s="618"/>
      <c r="H475" s="618"/>
      <c r="I475" s="618"/>
      <c r="J475" s="618"/>
      <c r="K475" s="618"/>
      <c r="L475" s="241">
        <v>17626</v>
      </c>
      <c r="M475" s="241">
        <v>4287</v>
      </c>
      <c r="N475" s="187">
        <v>16000</v>
      </c>
      <c r="O475" s="187">
        <v>16000</v>
      </c>
      <c r="P475" s="179">
        <v>16000</v>
      </c>
      <c r="Q475" s="179">
        <v>16000</v>
      </c>
      <c r="R475" s="179">
        <v>16000</v>
      </c>
      <c r="S475" s="179">
        <v>16000</v>
      </c>
      <c r="T475" s="179">
        <v>16000</v>
      </c>
    </row>
    <row r="476" spans="1:22" ht="24" customHeight="1">
      <c r="A476" s="281" t="s">
        <v>953</v>
      </c>
      <c r="B476" s="284"/>
      <c r="C476" s="284"/>
      <c r="D476" s="281" t="s">
        <v>289</v>
      </c>
      <c r="E476" s="284"/>
      <c r="F476" s="284"/>
      <c r="G476" s="284"/>
      <c r="H476" s="284"/>
      <c r="I476" s="284"/>
      <c r="J476" s="284"/>
      <c r="K476" s="284"/>
      <c r="L476" s="222">
        <v>0</v>
      </c>
      <c r="M476" s="222">
        <v>32865</v>
      </c>
      <c r="N476" s="148">
        <v>35000</v>
      </c>
      <c r="O476" s="148">
        <v>35000</v>
      </c>
      <c r="P476" s="147">
        <v>0</v>
      </c>
      <c r="Q476" s="147">
        <v>0</v>
      </c>
      <c r="R476" s="147">
        <v>0</v>
      </c>
      <c r="S476" s="147">
        <v>0</v>
      </c>
      <c r="T476" s="147">
        <v>0</v>
      </c>
      <c r="V476" s="149"/>
    </row>
    <row r="477" spans="1:22" ht="24" customHeight="1">
      <c r="A477" s="281" t="s">
        <v>954</v>
      </c>
      <c r="B477" s="284"/>
      <c r="C477" s="284"/>
      <c r="D477" s="772" t="s">
        <v>290</v>
      </c>
      <c r="E477" s="772"/>
      <c r="F477" s="772"/>
      <c r="G477" s="772"/>
      <c r="H477" s="772"/>
      <c r="I477" s="772"/>
      <c r="J477" s="772"/>
      <c r="K477" s="772"/>
      <c r="L477" s="239">
        <v>93750</v>
      </c>
      <c r="M477" s="239">
        <v>79377</v>
      </c>
      <c r="N477" s="176">
        <f>58000+58000+53000</f>
        <v>169000</v>
      </c>
      <c r="O477" s="176">
        <v>169000</v>
      </c>
      <c r="P477" s="175">
        <v>55000</v>
      </c>
      <c r="Q477" s="175">
        <v>55000</v>
      </c>
      <c r="R477" s="175">
        <v>55000</v>
      </c>
      <c r="S477" s="175">
        <v>55000</v>
      </c>
      <c r="T477" s="175">
        <v>55000</v>
      </c>
      <c r="V477" s="149"/>
    </row>
    <row r="478" spans="1:22" s="215" customFormat="1" ht="24" customHeight="1">
      <c r="K478" s="285"/>
      <c r="L478" s="250">
        <f t="shared" ref="L478" si="177">SUM(L473:L477)</f>
        <v>116271</v>
      </c>
      <c r="M478" s="250">
        <f t="shared" ref="M478:T478" si="178">SUM(M473:M477)</f>
        <v>128045</v>
      </c>
      <c r="N478" s="251">
        <f t="shared" si="178"/>
        <v>221667</v>
      </c>
      <c r="O478" s="251">
        <f t="shared" ref="O478" si="179">SUM(O473:O477)</f>
        <v>220833</v>
      </c>
      <c r="P478" s="250">
        <f t="shared" ref="P478:S478" si="180">SUM(P473:P477)</f>
        <v>71833</v>
      </c>
      <c r="Q478" s="250">
        <f t="shared" si="180"/>
        <v>71833</v>
      </c>
      <c r="R478" s="250">
        <f t="shared" si="180"/>
        <v>71833</v>
      </c>
      <c r="S478" s="250">
        <f t="shared" si="180"/>
        <v>71833</v>
      </c>
      <c r="T478" s="250">
        <f t="shared" si="178"/>
        <v>71833</v>
      </c>
      <c r="U478" s="470"/>
      <c r="V478" s="713"/>
    </row>
    <row r="479" spans="1:22" ht="15" customHeight="1">
      <c r="A479" s="215"/>
      <c r="B479" s="215"/>
      <c r="C479" s="215"/>
      <c r="D479" s="215"/>
      <c r="E479" s="215"/>
      <c r="F479" s="215"/>
      <c r="G479" s="215"/>
      <c r="H479" s="215"/>
      <c r="I479" s="215"/>
      <c r="J479" s="215"/>
      <c r="K479" s="215"/>
      <c r="L479" s="250"/>
      <c r="M479" s="250"/>
      <c r="N479" s="191"/>
      <c r="O479" s="191"/>
      <c r="P479" s="190"/>
      <c r="Q479" s="190"/>
      <c r="R479" s="190"/>
      <c r="S479" s="190"/>
      <c r="T479" s="190"/>
    </row>
    <row r="480" spans="1:22" ht="24" customHeight="1">
      <c r="A480" s="285" t="s">
        <v>834</v>
      </c>
      <c r="B480" s="660"/>
      <c r="C480" s="660"/>
      <c r="D480" s="660"/>
      <c r="E480" s="640"/>
      <c r="F480" s="215"/>
      <c r="G480" s="215"/>
      <c r="H480" s="215"/>
      <c r="I480" s="215"/>
      <c r="J480" s="215"/>
      <c r="K480" s="215"/>
      <c r="L480" s="250"/>
      <c r="M480" s="250"/>
      <c r="N480" s="191"/>
      <c r="O480" s="191"/>
      <c r="P480" s="190"/>
      <c r="Q480" s="190"/>
      <c r="R480" s="190"/>
      <c r="S480" s="190"/>
      <c r="T480" s="190"/>
    </row>
    <row r="481" spans="1:35" ht="24" customHeight="1">
      <c r="A481" s="281" t="s">
        <v>955</v>
      </c>
      <c r="B481" s="215"/>
      <c r="C481" s="215"/>
      <c r="D481" s="215" t="s">
        <v>888</v>
      </c>
      <c r="E481" s="215"/>
      <c r="F481" s="215"/>
      <c r="G481" s="215"/>
      <c r="H481" s="215"/>
      <c r="I481" s="215"/>
      <c r="J481" s="215"/>
      <c r="K481" s="215"/>
      <c r="L481" s="225">
        <v>25360</v>
      </c>
      <c r="M481" s="225">
        <v>31020</v>
      </c>
      <c r="N481" s="157">
        <v>0</v>
      </c>
      <c r="O481" s="157">
        <v>0</v>
      </c>
      <c r="P481" s="154">
        <v>0</v>
      </c>
      <c r="Q481" s="154">
        <v>0</v>
      </c>
      <c r="R481" s="154">
        <v>0</v>
      </c>
      <c r="S481" s="154">
        <v>0</v>
      </c>
      <c r="T481" s="154">
        <v>0</v>
      </c>
      <c r="U481" s="339"/>
      <c r="V481" s="149"/>
    </row>
    <row r="482" spans="1:35" ht="24" customHeight="1">
      <c r="A482" s="281" t="s">
        <v>956</v>
      </c>
      <c r="B482" s="282"/>
      <c r="C482" s="282"/>
      <c r="D482" s="281" t="s">
        <v>49</v>
      </c>
      <c r="E482" s="282"/>
      <c r="F482" s="282"/>
      <c r="G482" s="282"/>
      <c r="H482" s="282"/>
      <c r="I482" s="282"/>
      <c r="J482" s="282"/>
      <c r="K482" s="282"/>
      <c r="L482" s="225">
        <v>1569</v>
      </c>
      <c r="M482" s="225">
        <v>588</v>
      </c>
      <c r="N482" s="157">
        <v>2000</v>
      </c>
      <c r="O482" s="157">
        <v>1176</v>
      </c>
      <c r="P482" s="154">
        <v>1750</v>
      </c>
      <c r="Q482" s="154">
        <v>1750</v>
      </c>
      <c r="R482" s="154">
        <v>1750</v>
      </c>
      <c r="S482" s="154">
        <v>1750</v>
      </c>
      <c r="T482" s="154">
        <v>1750</v>
      </c>
    </row>
    <row r="483" spans="1:35" ht="24" customHeight="1">
      <c r="A483" s="281" t="s">
        <v>957</v>
      </c>
      <c r="B483" s="282"/>
      <c r="C483" s="282"/>
      <c r="D483" s="281" t="s">
        <v>90</v>
      </c>
      <c r="E483" s="633"/>
      <c r="F483" s="633"/>
      <c r="G483" s="633"/>
      <c r="H483" s="633"/>
      <c r="I483" s="633"/>
      <c r="J483" s="633"/>
      <c r="K483" s="633"/>
      <c r="L483" s="224">
        <v>0</v>
      </c>
      <c r="M483" s="224">
        <v>0</v>
      </c>
      <c r="N483" s="151">
        <v>4500</v>
      </c>
      <c r="O483" s="151">
        <v>0</v>
      </c>
      <c r="P483" s="150">
        <v>0</v>
      </c>
      <c r="Q483" s="150">
        <v>0</v>
      </c>
      <c r="R483" s="150">
        <v>0</v>
      </c>
      <c r="S483" s="150">
        <v>0</v>
      </c>
      <c r="T483" s="150">
        <v>0</v>
      </c>
    </row>
    <row r="484" spans="1:35" ht="24" customHeight="1">
      <c r="A484" s="281" t="s">
        <v>958</v>
      </c>
      <c r="B484" s="282"/>
      <c r="C484" s="282"/>
      <c r="D484" s="281" t="s">
        <v>12</v>
      </c>
      <c r="E484" s="352"/>
      <c r="F484" s="352"/>
      <c r="G484" s="352"/>
      <c r="H484" s="352"/>
      <c r="I484" s="352"/>
      <c r="J484" s="352"/>
      <c r="K484" s="352"/>
      <c r="L484" s="237">
        <v>0</v>
      </c>
      <c r="M484" s="237">
        <v>499</v>
      </c>
      <c r="N484" s="172">
        <v>2000</v>
      </c>
      <c r="O484" s="172">
        <f>O465</f>
        <v>3929</v>
      </c>
      <c r="P484" s="171">
        <f t="shared" ref="P484:T484" si="181">P465</f>
        <v>2000</v>
      </c>
      <c r="Q484" s="171">
        <f t="shared" si="181"/>
        <v>2000</v>
      </c>
      <c r="R484" s="171">
        <f t="shared" si="181"/>
        <v>2000</v>
      </c>
      <c r="S484" s="171">
        <f t="shared" si="181"/>
        <v>2000</v>
      </c>
      <c r="T484" s="171">
        <f t="shared" si="181"/>
        <v>2000</v>
      </c>
    </row>
    <row r="485" spans="1:35" ht="24" customHeight="1">
      <c r="A485" s="281" t="s">
        <v>959</v>
      </c>
      <c r="B485" s="284"/>
      <c r="C485" s="284"/>
      <c r="D485" s="281" t="s">
        <v>289</v>
      </c>
      <c r="E485" s="284"/>
      <c r="F485" s="284"/>
      <c r="G485" s="284"/>
      <c r="H485" s="284"/>
      <c r="I485" s="284"/>
      <c r="J485" s="284"/>
      <c r="K485" s="284"/>
      <c r="L485" s="225">
        <v>48689</v>
      </c>
      <c r="M485" s="225">
        <v>163750</v>
      </c>
      <c r="N485" s="151">
        <v>0</v>
      </c>
      <c r="O485" s="151">
        <v>15084</v>
      </c>
      <c r="P485" s="150">
        <v>0</v>
      </c>
      <c r="Q485" s="150">
        <v>0</v>
      </c>
      <c r="R485" s="150">
        <v>0</v>
      </c>
      <c r="S485" s="150">
        <v>0</v>
      </c>
      <c r="T485" s="150">
        <v>0</v>
      </c>
      <c r="V485" s="149"/>
    </row>
    <row r="486" spans="1:35" ht="24" customHeight="1">
      <c r="A486" s="281" t="s">
        <v>960</v>
      </c>
      <c r="B486" s="284"/>
      <c r="C486" s="284"/>
      <c r="D486" s="772" t="s">
        <v>290</v>
      </c>
      <c r="E486" s="772"/>
      <c r="F486" s="772"/>
      <c r="G486" s="772"/>
      <c r="H486" s="772"/>
      <c r="I486" s="772"/>
      <c r="J486" s="772"/>
      <c r="K486" s="772"/>
      <c r="L486" s="224">
        <v>0</v>
      </c>
      <c r="M486" s="224">
        <v>0</v>
      </c>
      <c r="N486" s="151">
        <f>150000+35000</f>
        <v>185000</v>
      </c>
      <c r="O486" s="151">
        <f>130000+13574</f>
        <v>143574</v>
      </c>
      <c r="P486" s="150">
        <v>45000</v>
      </c>
      <c r="Q486" s="150">
        <v>45000</v>
      </c>
      <c r="R486" s="150">
        <v>45000</v>
      </c>
      <c r="S486" s="150">
        <v>45000</v>
      </c>
      <c r="T486" s="150">
        <v>45000</v>
      </c>
      <c r="V486" s="457"/>
      <c r="W486" s="457"/>
      <c r="X486" s="457"/>
      <c r="Y486" s="457"/>
      <c r="Z486" s="457"/>
      <c r="AA486" s="457"/>
      <c r="AB486" s="457"/>
      <c r="AC486" s="457"/>
      <c r="AD486" s="419"/>
      <c r="AE486" s="419"/>
      <c r="AF486" s="419"/>
      <c r="AG486" s="419"/>
      <c r="AH486" s="419"/>
      <c r="AI486" s="419"/>
    </row>
    <row r="487" spans="1:35" ht="24" customHeight="1">
      <c r="A487" s="360" t="s">
        <v>980</v>
      </c>
      <c r="B487" s="284"/>
      <c r="C487" s="284"/>
      <c r="D487" s="281"/>
      <c r="E487" s="284"/>
      <c r="F487" s="284"/>
      <c r="G487" s="284"/>
      <c r="H487" s="284"/>
      <c r="I487" s="284"/>
      <c r="J487" s="284"/>
      <c r="K487" s="284"/>
      <c r="L487" s="224"/>
      <c r="M487" s="224"/>
      <c r="N487" s="151"/>
      <c r="O487" s="151"/>
      <c r="P487" s="150"/>
      <c r="Q487" s="150"/>
      <c r="R487" s="150"/>
      <c r="S487" s="150"/>
      <c r="T487" s="150"/>
      <c r="V487" s="458"/>
      <c r="W487" s="458"/>
      <c r="X487" s="458"/>
      <c r="Y487" s="458"/>
      <c r="Z487" s="458"/>
      <c r="AA487" s="458"/>
      <c r="AB487" s="458"/>
      <c r="AC487" s="458"/>
      <c r="AD487" s="524"/>
      <c r="AE487" s="524"/>
      <c r="AF487" s="524"/>
      <c r="AG487" s="524"/>
      <c r="AH487" s="524"/>
      <c r="AI487" s="524"/>
    </row>
    <row r="488" spans="1:35" ht="24" customHeight="1">
      <c r="A488" s="281" t="s">
        <v>961</v>
      </c>
      <c r="B488" s="284"/>
      <c r="C488" s="284"/>
      <c r="D488" s="281" t="s">
        <v>1042</v>
      </c>
      <c r="E488" s="284"/>
      <c r="F488" s="284"/>
      <c r="G488" s="284"/>
      <c r="H488" s="284"/>
      <c r="I488" s="284"/>
      <c r="J488" s="284"/>
      <c r="K488" s="284"/>
      <c r="L488" s="224">
        <v>33184</v>
      </c>
      <c r="M488" s="224">
        <v>37924</v>
      </c>
      <c r="N488" s="151">
        <f>ROUND(40880.11*0.969621,0)</f>
        <v>39638</v>
      </c>
      <c r="O488" s="151">
        <v>39638</v>
      </c>
      <c r="P488" s="150">
        <f>ROUND(42728.32*0.969621,0)</f>
        <v>41430</v>
      </c>
      <c r="Q488" s="150">
        <f>ROUND(44660.1*0.969621,0)</f>
        <v>43303</v>
      </c>
      <c r="R488" s="150">
        <f>ROUND(46679.21*0.969621,0)</f>
        <v>45261</v>
      </c>
      <c r="S488" s="150">
        <f>ROUND(48789.6*0.969621,0)</f>
        <v>47307</v>
      </c>
      <c r="T488" s="150">
        <f>ROUND(50995.41*0.969621,0)</f>
        <v>49446</v>
      </c>
      <c r="V488" s="593"/>
      <c r="W488" s="593"/>
      <c r="X488" s="593"/>
      <c r="Y488" s="593"/>
      <c r="Z488" s="593"/>
      <c r="AA488" s="593"/>
      <c r="AB488" s="593"/>
      <c r="AC488" s="593"/>
      <c r="AD488" s="593"/>
      <c r="AE488" s="593"/>
      <c r="AF488" s="593"/>
      <c r="AG488" s="593"/>
      <c r="AH488" s="593"/>
      <c r="AI488" s="593"/>
    </row>
    <row r="489" spans="1:35" ht="24" customHeight="1">
      <c r="A489" s="281" t="s">
        <v>962</v>
      </c>
      <c r="B489" s="284"/>
      <c r="C489" s="284"/>
      <c r="D489" s="281" t="s">
        <v>292</v>
      </c>
      <c r="E489" s="284"/>
      <c r="F489" s="284"/>
      <c r="G489" s="284"/>
      <c r="H489" s="284"/>
      <c r="I489" s="284"/>
      <c r="J489" s="284"/>
      <c r="K489" s="284"/>
      <c r="L489" s="239">
        <v>42870</v>
      </c>
      <c r="M489" s="239">
        <v>32892</v>
      </c>
      <c r="N489" s="176">
        <f>ROUND(32154.22*0.969621,0)</f>
        <v>31177</v>
      </c>
      <c r="O489" s="176">
        <v>31177</v>
      </c>
      <c r="P489" s="175">
        <f>ROUND(30306*0.969621,0)</f>
        <v>29385</v>
      </c>
      <c r="Q489" s="175">
        <f>ROUND(28374.23*0.969621,0)</f>
        <v>27512</v>
      </c>
      <c r="R489" s="175">
        <f>ROUND(26355.12*0.969621,0)</f>
        <v>25554</v>
      </c>
      <c r="S489" s="175">
        <f>ROUND(24244.72*0.969621,0)</f>
        <v>23508</v>
      </c>
      <c r="T489" s="175">
        <f>ROUND(22038.91*0.969621,0)</f>
        <v>21369</v>
      </c>
      <c r="V489" s="593"/>
      <c r="W489" s="593"/>
      <c r="X489" s="593"/>
      <c r="Y489" s="593"/>
      <c r="Z489" s="593"/>
      <c r="AA489" s="593"/>
      <c r="AB489" s="593"/>
      <c r="AC489" s="593"/>
      <c r="AD489" s="593"/>
      <c r="AE489" s="593"/>
      <c r="AF489" s="593"/>
      <c r="AG489" s="593"/>
      <c r="AH489" s="593"/>
      <c r="AI489" s="593"/>
    </row>
    <row r="490" spans="1:35" s="215" customFormat="1" ht="24" customHeight="1">
      <c r="K490" s="285"/>
      <c r="L490" s="250">
        <f t="shared" ref="L490" si="182">SUM(L481:L489)</f>
        <v>151672</v>
      </c>
      <c r="M490" s="250">
        <f t="shared" ref="M490:T490" si="183">SUM(M481:M489)</f>
        <v>266673</v>
      </c>
      <c r="N490" s="251">
        <f t="shared" si="183"/>
        <v>264315</v>
      </c>
      <c r="O490" s="251">
        <f t="shared" ref="O490" si="184">SUM(O481:O489)</f>
        <v>234578</v>
      </c>
      <c r="P490" s="250">
        <f>SUM(P481:P489)</f>
        <v>119565</v>
      </c>
      <c r="Q490" s="250">
        <f t="shared" ref="Q490:S490" si="185">SUM(Q481:Q489)</f>
        <v>119565</v>
      </c>
      <c r="R490" s="250">
        <f t="shared" si="185"/>
        <v>119565</v>
      </c>
      <c r="S490" s="250">
        <f t="shared" si="185"/>
        <v>119565</v>
      </c>
      <c r="T490" s="250">
        <f t="shared" si="183"/>
        <v>119565</v>
      </c>
      <c r="U490" s="470"/>
      <c r="V490" s="713"/>
      <c r="W490" s="713"/>
      <c r="X490" s="713"/>
      <c r="Y490" s="713"/>
      <c r="Z490" s="713"/>
      <c r="AA490" s="713"/>
      <c r="AB490" s="713"/>
      <c r="AC490" s="713"/>
      <c r="AD490" s="590"/>
      <c r="AE490" s="590"/>
      <c r="AF490" s="590"/>
      <c r="AG490" s="590"/>
      <c r="AH490" s="590"/>
      <c r="AI490" s="590"/>
    </row>
    <row r="491" spans="1:35" ht="15" customHeight="1">
      <c r="A491" s="215"/>
      <c r="B491" s="215"/>
      <c r="C491" s="215"/>
      <c r="D491" s="215"/>
      <c r="E491" s="215"/>
      <c r="F491" s="215"/>
      <c r="G491" s="215"/>
      <c r="H491" s="215"/>
      <c r="I491" s="215"/>
      <c r="J491" s="215"/>
      <c r="K491" s="215"/>
      <c r="L491" s="250"/>
      <c r="M491" s="250"/>
      <c r="N491" s="191"/>
      <c r="O491" s="191"/>
      <c r="P491" s="190"/>
      <c r="Q491" s="190"/>
      <c r="R491" s="190"/>
      <c r="S491" s="190"/>
      <c r="T491" s="190"/>
    </row>
    <row r="492" spans="1:35" ht="24" customHeight="1">
      <c r="A492" s="285" t="s">
        <v>981</v>
      </c>
      <c r="B492" s="640"/>
      <c r="C492" s="640"/>
      <c r="D492" s="640"/>
      <c r="E492" s="640"/>
      <c r="F492" s="640"/>
      <c r="G492" s="215"/>
      <c r="H492" s="215"/>
      <c r="I492" s="215"/>
      <c r="J492" s="215"/>
      <c r="K492" s="215"/>
      <c r="L492" s="250"/>
      <c r="M492" s="250"/>
      <c r="N492" s="191"/>
      <c r="O492" s="191"/>
      <c r="P492" s="190"/>
      <c r="Q492" s="190"/>
      <c r="R492" s="190"/>
      <c r="S492" s="190"/>
      <c r="T492" s="190"/>
    </row>
    <row r="493" spans="1:35" ht="24" customHeight="1">
      <c r="A493" s="281" t="s">
        <v>1152</v>
      </c>
      <c r="B493" s="386"/>
      <c r="C493" s="386"/>
      <c r="D493" s="386" t="s">
        <v>888</v>
      </c>
      <c r="E493" s="386"/>
      <c r="F493" s="386"/>
      <c r="G493" s="386"/>
      <c r="H493" s="386"/>
      <c r="I493" s="386"/>
      <c r="J493" s="386"/>
      <c r="K493" s="386"/>
      <c r="L493" s="245">
        <v>800</v>
      </c>
      <c r="M493" s="245">
        <v>1550</v>
      </c>
      <c r="N493" s="186">
        <v>0</v>
      </c>
      <c r="O493" s="186">
        <v>0</v>
      </c>
      <c r="P493" s="185">
        <v>0</v>
      </c>
      <c r="Q493" s="185">
        <v>0</v>
      </c>
      <c r="R493" s="185">
        <v>0</v>
      </c>
      <c r="S493" s="185">
        <v>0</v>
      </c>
      <c r="T493" s="185">
        <v>0</v>
      </c>
    </row>
    <row r="494" spans="1:35" ht="24" customHeight="1">
      <c r="A494" s="281" t="s">
        <v>1357</v>
      </c>
      <c r="B494" s="284"/>
      <c r="C494" s="284"/>
      <c r="D494" s="281" t="s">
        <v>1354</v>
      </c>
      <c r="E494" s="284"/>
      <c r="F494" s="284"/>
      <c r="G494" s="284"/>
      <c r="H494" s="284"/>
      <c r="I494" s="284"/>
      <c r="J494" s="284"/>
      <c r="K494" s="284"/>
      <c r="L494" s="225">
        <v>0</v>
      </c>
      <c r="M494" s="225">
        <v>2753</v>
      </c>
      <c r="N494" s="157">
        <v>0</v>
      </c>
      <c r="O494" s="157">
        <v>0</v>
      </c>
      <c r="P494" s="154">
        <v>0</v>
      </c>
      <c r="Q494" s="154">
        <v>0</v>
      </c>
      <c r="R494" s="154">
        <v>0</v>
      </c>
      <c r="S494" s="154">
        <v>0</v>
      </c>
      <c r="T494" s="154">
        <v>0</v>
      </c>
    </row>
    <row r="495" spans="1:35" ht="24" customHeight="1">
      <c r="A495" s="281" t="s">
        <v>1390</v>
      </c>
      <c r="B495" s="284"/>
      <c r="C495" s="284"/>
      <c r="D495" s="281" t="s">
        <v>1391</v>
      </c>
      <c r="E495" s="284"/>
      <c r="F495" s="284"/>
      <c r="G495" s="284"/>
      <c r="H495" s="284"/>
      <c r="I495" s="284"/>
      <c r="J495" s="284"/>
      <c r="K495" s="284"/>
      <c r="L495" s="225">
        <v>0</v>
      </c>
      <c r="M495" s="225">
        <v>0</v>
      </c>
      <c r="N495" s="157">
        <v>0</v>
      </c>
      <c r="O495" s="157">
        <v>0</v>
      </c>
      <c r="P495" s="154">
        <v>0</v>
      </c>
      <c r="Q495" s="154">
        <v>0</v>
      </c>
      <c r="R495" s="154">
        <v>0</v>
      </c>
      <c r="S495" s="154">
        <v>0</v>
      </c>
      <c r="T495" s="154">
        <v>0</v>
      </c>
    </row>
    <row r="496" spans="1:35" ht="24" customHeight="1">
      <c r="A496" s="281" t="s">
        <v>1392</v>
      </c>
      <c r="B496" s="284"/>
      <c r="C496" s="284"/>
      <c r="D496" s="281" t="s">
        <v>1393</v>
      </c>
      <c r="E496" s="284"/>
      <c r="F496" s="284"/>
      <c r="G496" s="284"/>
      <c r="H496" s="284"/>
      <c r="I496" s="284"/>
      <c r="J496" s="284"/>
      <c r="K496" s="284"/>
      <c r="L496" s="225">
        <v>0</v>
      </c>
      <c r="M496" s="225">
        <v>0</v>
      </c>
      <c r="N496" s="157">
        <v>0</v>
      </c>
      <c r="O496" s="157">
        <v>0</v>
      </c>
      <c r="P496" s="154">
        <v>0</v>
      </c>
      <c r="Q496" s="154">
        <v>0</v>
      </c>
      <c r="R496" s="154">
        <v>0</v>
      </c>
      <c r="S496" s="154">
        <v>0</v>
      </c>
      <c r="T496" s="154">
        <v>0</v>
      </c>
    </row>
    <row r="497" spans="1:35" ht="24" customHeight="1">
      <c r="A497" s="281" t="s">
        <v>963</v>
      </c>
      <c r="B497" s="284"/>
      <c r="C497" s="284"/>
      <c r="D497" s="281" t="s">
        <v>289</v>
      </c>
      <c r="E497" s="284"/>
      <c r="F497" s="284"/>
      <c r="G497" s="284"/>
      <c r="H497" s="284"/>
      <c r="I497" s="284"/>
      <c r="J497" s="284"/>
      <c r="K497" s="284"/>
      <c r="L497" s="225">
        <v>12143</v>
      </c>
      <c r="M497" s="225">
        <v>33731</v>
      </c>
      <c r="N497" s="148">
        <f>22000+6000+15000+35000</f>
        <v>78000</v>
      </c>
      <c r="O497" s="148">
        <f>78000-3415-1169+800</f>
        <v>74216</v>
      </c>
      <c r="P497" s="147">
        <v>0</v>
      </c>
      <c r="Q497" s="147">
        <v>0</v>
      </c>
      <c r="R497" s="147">
        <v>0</v>
      </c>
      <c r="S497" s="147">
        <v>0</v>
      </c>
      <c r="T497" s="147">
        <v>0</v>
      </c>
      <c r="V497" s="149"/>
    </row>
    <row r="498" spans="1:35" ht="24" customHeight="1">
      <c r="A498" s="281" t="s">
        <v>1116</v>
      </c>
      <c r="B498" s="284"/>
      <c r="C498" s="284"/>
      <c r="D498" s="281" t="s">
        <v>1144</v>
      </c>
      <c r="E498" s="284"/>
      <c r="F498" s="284"/>
      <c r="G498" s="284"/>
      <c r="H498" s="284"/>
      <c r="I498" s="284"/>
      <c r="J498" s="284"/>
      <c r="K498" s="284"/>
      <c r="L498" s="245">
        <v>0</v>
      </c>
      <c r="M498" s="245">
        <v>78206</v>
      </c>
      <c r="N498" s="186">
        <v>0</v>
      </c>
      <c r="O498" s="186">
        <v>0</v>
      </c>
      <c r="P498" s="185">
        <v>0</v>
      </c>
      <c r="Q498" s="185">
        <v>0</v>
      </c>
      <c r="R498" s="185">
        <v>0</v>
      </c>
      <c r="S498" s="185">
        <v>0</v>
      </c>
      <c r="T498" s="185">
        <v>0</v>
      </c>
    </row>
    <row r="499" spans="1:35" ht="24" customHeight="1">
      <c r="A499" s="281" t="s">
        <v>1343</v>
      </c>
      <c r="B499" s="284"/>
      <c r="C499" s="284"/>
      <c r="D499" s="281" t="s">
        <v>1346</v>
      </c>
      <c r="E499" s="284"/>
      <c r="F499" s="284"/>
      <c r="G499" s="284"/>
      <c r="H499" s="284"/>
      <c r="I499" s="284"/>
      <c r="J499" s="284"/>
      <c r="K499" s="284"/>
      <c r="L499" s="245">
        <v>0</v>
      </c>
      <c r="M499" s="245">
        <v>0</v>
      </c>
      <c r="N499" s="186">
        <f>26050-1121</f>
        <v>24929</v>
      </c>
      <c r="O499" s="186">
        <v>24929</v>
      </c>
      <c r="P499" s="185">
        <v>0</v>
      </c>
      <c r="Q499" s="185">
        <v>0</v>
      </c>
      <c r="R499" s="185">
        <v>0</v>
      </c>
      <c r="S499" s="185">
        <v>0</v>
      </c>
      <c r="T499" s="185">
        <v>0</v>
      </c>
    </row>
    <row r="500" spans="1:35" ht="24" customHeight="1">
      <c r="A500" s="281" t="s">
        <v>1115</v>
      </c>
      <c r="B500" s="284"/>
      <c r="C500" s="284"/>
      <c r="D500" s="281" t="s">
        <v>290</v>
      </c>
      <c r="E500" s="284"/>
      <c r="F500" s="284"/>
      <c r="G500" s="284"/>
      <c r="H500" s="284"/>
      <c r="I500" s="284"/>
      <c r="J500" s="284"/>
      <c r="K500" s="284"/>
      <c r="L500" s="225">
        <v>0</v>
      </c>
      <c r="M500" s="225">
        <v>0</v>
      </c>
      <c r="N500" s="148">
        <v>25000</v>
      </c>
      <c r="O500" s="148">
        <v>25000</v>
      </c>
      <c r="P500" s="147">
        <v>0</v>
      </c>
      <c r="Q500" s="147">
        <v>0</v>
      </c>
      <c r="R500" s="147">
        <v>0</v>
      </c>
      <c r="S500" s="147">
        <v>0</v>
      </c>
      <c r="T500" s="147">
        <v>0</v>
      </c>
      <c r="V500" s="457"/>
      <c r="W500" s="457"/>
      <c r="X500" s="457"/>
      <c r="Y500" s="457"/>
      <c r="Z500" s="457"/>
      <c r="AA500" s="457"/>
      <c r="AB500" s="457"/>
      <c r="AC500" s="419"/>
      <c r="AD500" s="419"/>
      <c r="AE500" s="419"/>
      <c r="AF500" s="419"/>
      <c r="AG500" s="419"/>
      <c r="AH500" s="419"/>
      <c r="AI500" s="419"/>
    </row>
    <row r="501" spans="1:35" ht="24" customHeight="1">
      <c r="A501" s="360" t="s">
        <v>980</v>
      </c>
      <c r="B501" s="284"/>
      <c r="C501" s="284"/>
      <c r="D501" s="281"/>
      <c r="E501" s="284"/>
      <c r="F501" s="284"/>
      <c r="G501" s="284"/>
      <c r="H501" s="284"/>
      <c r="I501" s="284"/>
      <c r="J501" s="284"/>
      <c r="K501" s="284"/>
      <c r="L501" s="224"/>
      <c r="M501" s="224"/>
      <c r="N501" s="151"/>
      <c r="O501" s="151"/>
      <c r="P501" s="150"/>
      <c r="Q501" s="150"/>
      <c r="R501" s="150"/>
      <c r="S501" s="150"/>
      <c r="T501" s="150"/>
      <c r="V501" s="458"/>
      <c r="W501" s="458"/>
      <c r="X501" s="458"/>
      <c r="Y501" s="458"/>
      <c r="Z501" s="458"/>
      <c r="AA501" s="458"/>
      <c r="AB501" s="458"/>
      <c r="AC501" s="524"/>
      <c r="AD501" s="524"/>
      <c r="AE501" s="524"/>
      <c r="AF501" s="524"/>
      <c r="AG501" s="524"/>
      <c r="AH501" s="524"/>
      <c r="AI501" s="524"/>
    </row>
    <row r="502" spans="1:35" ht="24" customHeight="1">
      <c r="A502" s="281" t="s">
        <v>965</v>
      </c>
      <c r="B502" s="284"/>
      <c r="C502" s="284"/>
      <c r="D502" s="281" t="s">
        <v>1042</v>
      </c>
      <c r="E502" s="284"/>
      <c r="F502" s="284"/>
      <c r="G502" s="284"/>
      <c r="H502" s="284"/>
      <c r="I502" s="284"/>
      <c r="J502" s="284"/>
      <c r="K502" s="284"/>
      <c r="L502" s="224">
        <v>1040</v>
      </c>
      <c r="M502" s="224">
        <v>1188</v>
      </c>
      <c r="N502" s="151">
        <f>ROUND(40880.11*0.030379,0)</f>
        <v>1242</v>
      </c>
      <c r="O502" s="151">
        <v>1242</v>
      </c>
      <c r="P502" s="150">
        <f>ROUND(42728.32*0.030379,0)</f>
        <v>1298</v>
      </c>
      <c r="Q502" s="150">
        <f>ROUND(44660.1*0.030379,0)</f>
        <v>1357</v>
      </c>
      <c r="R502" s="150">
        <f>ROUND(46679.21*0.030379,0)</f>
        <v>1418</v>
      </c>
      <c r="S502" s="150">
        <f>ROUND(48789.6*0.030379,0)</f>
        <v>1482</v>
      </c>
      <c r="T502" s="150">
        <f>ROUND(50995.41*0.030379,0)</f>
        <v>1549</v>
      </c>
      <c r="V502" s="593"/>
      <c r="W502" s="593"/>
      <c r="X502" s="593"/>
      <c r="Y502" s="593"/>
      <c r="Z502" s="593"/>
      <c r="AA502" s="593"/>
      <c r="AB502" s="593"/>
      <c r="AC502" s="593"/>
      <c r="AD502" s="593"/>
      <c r="AE502" s="593"/>
      <c r="AF502" s="593"/>
      <c r="AG502" s="593"/>
      <c r="AH502" s="593"/>
      <c r="AI502" s="593"/>
    </row>
    <row r="503" spans="1:35" ht="24" customHeight="1">
      <c r="A503" s="281" t="s">
        <v>966</v>
      </c>
      <c r="B503" s="284"/>
      <c r="C503" s="284"/>
      <c r="D503" s="281" t="s">
        <v>292</v>
      </c>
      <c r="E503" s="284"/>
      <c r="F503" s="284"/>
      <c r="G503" s="284"/>
      <c r="H503" s="284"/>
      <c r="I503" s="284"/>
      <c r="J503" s="284"/>
      <c r="K503" s="284"/>
      <c r="L503" s="224">
        <v>1343</v>
      </c>
      <c r="M503" s="224">
        <v>1031</v>
      </c>
      <c r="N503" s="151">
        <f>ROUND(32154.22*0.030379,0)</f>
        <v>977</v>
      </c>
      <c r="O503" s="151">
        <v>977</v>
      </c>
      <c r="P503" s="150">
        <f>ROUND(30306*0.030379,0)</f>
        <v>921</v>
      </c>
      <c r="Q503" s="150">
        <f>ROUND(28374.23*0.030379,0)</f>
        <v>862</v>
      </c>
      <c r="R503" s="150">
        <f>ROUND(26355.12*0.030379,0)</f>
        <v>801</v>
      </c>
      <c r="S503" s="150">
        <f>ROUND(24244.72*0.030379,0)</f>
        <v>737</v>
      </c>
      <c r="T503" s="150">
        <f>ROUND(22038.91*0.030379,0)</f>
        <v>670</v>
      </c>
      <c r="V503" s="593"/>
      <c r="W503" s="593"/>
      <c r="X503" s="593"/>
      <c r="Y503" s="593"/>
      <c r="Z503" s="593"/>
      <c r="AA503" s="593"/>
      <c r="AB503" s="593"/>
      <c r="AC503" s="593"/>
      <c r="AD503" s="593"/>
      <c r="AE503" s="593"/>
      <c r="AF503" s="593"/>
      <c r="AG503" s="593"/>
      <c r="AH503" s="593"/>
      <c r="AI503" s="593"/>
    </row>
    <row r="504" spans="1:35" ht="24" customHeight="1">
      <c r="A504" s="281" t="s">
        <v>964</v>
      </c>
      <c r="B504" s="284"/>
      <c r="C504" s="284"/>
      <c r="D504" s="281" t="s">
        <v>909</v>
      </c>
      <c r="E504" s="284"/>
      <c r="F504" s="284"/>
      <c r="G504" s="284"/>
      <c r="H504" s="284"/>
      <c r="I504" s="284"/>
      <c r="J504" s="284"/>
      <c r="K504" s="284"/>
      <c r="L504" s="230">
        <v>50000</v>
      </c>
      <c r="M504" s="230">
        <v>0</v>
      </c>
      <c r="N504" s="174">
        <v>0</v>
      </c>
      <c r="O504" s="174">
        <v>0</v>
      </c>
      <c r="P504" s="162">
        <f t="shared" ref="P504:S504" si="186">P755</f>
        <v>0</v>
      </c>
      <c r="Q504" s="162">
        <f t="shared" si="186"/>
        <v>0</v>
      </c>
      <c r="R504" s="162">
        <f t="shared" si="186"/>
        <v>0</v>
      </c>
      <c r="S504" s="162">
        <f t="shared" si="186"/>
        <v>0</v>
      </c>
      <c r="T504" s="162">
        <f t="shared" ref="T504" si="187">T755</f>
        <v>0</v>
      </c>
      <c r="V504" s="152"/>
    </row>
    <row r="505" spans="1:35" s="215" customFormat="1" ht="24" customHeight="1">
      <c r="K505" s="285"/>
      <c r="L505" s="233">
        <f t="shared" ref="L505:T505" si="188">SUM(L493:L504)</f>
        <v>65326</v>
      </c>
      <c r="M505" s="233">
        <f t="shared" si="188"/>
        <v>118459</v>
      </c>
      <c r="N505" s="234">
        <f t="shared" si="188"/>
        <v>130148</v>
      </c>
      <c r="O505" s="234">
        <f t="shared" si="188"/>
        <v>126364</v>
      </c>
      <c r="P505" s="233">
        <f t="shared" si="188"/>
        <v>2219</v>
      </c>
      <c r="Q505" s="233">
        <f t="shared" si="188"/>
        <v>2219</v>
      </c>
      <c r="R505" s="233">
        <f t="shared" si="188"/>
        <v>2219</v>
      </c>
      <c r="S505" s="233">
        <f t="shared" si="188"/>
        <v>2219</v>
      </c>
      <c r="T505" s="233">
        <f t="shared" si="188"/>
        <v>2219</v>
      </c>
      <c r="U505" s="470"/>
      <c r="V505" s="713"/>
      <c r="W505" s="713"/>
    </row>
    <row r="506" spans="1:35" s="531" customFormat="1" ht="24" customHeight="1">
      <c r="K506" s="285"/>
      <c r="L506" s="233"/>
      <c r="M506" s="233"/>
      <c r="N506" s="234"/>
      <c r="O506" s="234"/>
      <c r="P506" s="233"/>
      <c r="Q506" s="233"/>
      <c r="R506" s="233"/>
      <c r="S506" s="233"/>
      <c r="T506" s="233"/>
      <c r="U506" s="530"/>
      <c r="V506" s="713"/>
      <c r="W506" s="713"/>
    </row>
    <row r="507" spans="1:35" s="215" customFormat="1" ht="24" customHeight="1">
      <c r="K507" s="285" t="s">
        <v>548</v>
      </c>
      <c r="L507" s="250">
        <f t="shared" ref="L507:T507" si="189">L478+L490+L505</f>
        <v>333269</v>
      </c>
      <c r="M507" s="250">
        <f t="shared" si="189"/>
        <v>513177</v>
      </c>
      <c r="N507" s="251">
        <f t="shared" si="189"/>
        <v>616130</v>
      </c>
      <c r="O507" s="251">
        <f t="shared" si="189"/>
        <v>581775</v>
      </c>
      <c r="P507" s="250">
        <f t="shared" si="189"/>
        <v>193617</v>
      </c>
      <c r="Q507" s="250">
        <f t="shared" si="189"/>
        <v>193617</v>
      </c>
      <c r="R507" s="250">
        <f t="shared" si="189"/>
        <v>193617</v>
      </c>
      <c r="S507" s="250">
        <f t="shared" si="189"/>
        <v>193617</v>
      </c>
      <c r="T507" s="250">
        <f t="shared" si="189"/>
        <v>193617</v>
      </c>
      <c r="U507" s="470"/>
      <c r="V507" s="713"/>
      <c r="W507" s="713"/>
    </row>
    <row r="508" spans="1:35" s="699" customFormat="1" ht="15" customHeight="1">
      <c r="A508" s="322"/>
      <c r="B508" s="322"/>
      <c r="C508" s="322"/>
      <c r="D508" s="322"/>
      <c r="E508" s="322"/>
      <c r="F508" s="322"/>
      <c r="G508" s="322"/>
      <c r="H508" s="322"/>
      <c r="I508" s="322"/>
      <c r="J508" s="322"/>
      <c r="K508" s="322"/>
      <c r="L508" s="642"/>
      <c r="M508" s="642"/>
      <c r="N508" s="684"/>
      <c r="O508" s="684"/>
      <c r="P508" s="642"/>
      <c r="Q508" s="642"/>
      <c r="R508" s="642"/>
      <c r="S508" s="642"/>
      <c r="T508" s="642"/>
      <c r="U508" s="447"/>
      <c r="V508" s="518"/>
      <c r="W508" s="713"/>
    </row>
    <row r="509" spans="1:35" s="215" customFormat="1" ht="24" customHeight="1">
      <c r="K509" s="285" t="s">
        <v>549</v>
      </c>
      <c r="L509" s="250">
        <f t="shared" ref="L509:T509" si="190">L470-L507</f>
        <v>-27842</v>
      </c>
      <c r="M509" s="250">
        <f t="shared" si="190"/>
        <v>-42168</v>
      </c>
      <c r="N509" s="251">
        <f t="shared" si="190"/>
        <v>-143792</v>
      </c>
      <c r="O509" s="251">
        <f t="shared" si="190"/>
        <v>-52843</v>
      </c>
      <c r="P509" s="250">
        <f t="shared" si="190"/>
        <v>-52734</v>
      </c>
      <c r="Q509" s="250">
        <f t="shared" si="190"/>
        <v>106</v>
      </c>
      <c r="R509" s="250">
        <f t="shared" si="190"/>
        <v>106</v>
      </c>
      <c r="S509" s="250">
        <f t="shared" si="190"/>
        <v>106</v>
      </c>
      <c r="T509" s="250">
        <f t="shared" si="190"/>
        <v>106</v>
      </c>
      <c r="U509" s="470"/>
      <c r="V509" s="713"/>
      <c r="W509" s="713"/>
    </row>
    <row r="510" spans="1:35" s="641" customFormat="1" ht="15" customHeight="1">
      <c r="A510" s="322"/>
      <c r="B510" s="322"/>
      <c r="C510" s="322"/>
      <c r="D510" s="322"/>
      <c r="E510" s="322"/>
      <c r="F510" s="322"/>
      <c r="G510" s="322"/>
      <c r="H510" s="322"/>
      <c r="I510" s="322"/>
      <c r="J510" s="322"/>
      <c r="K510" s="323"/>
      <c r="L510" s="642"/>
      <c r="M510" s="642"/>
      <c r="N510" s="684"/>
      <c r="O510" s="684"/>
      <c r="P510" s="642"/>
      <c r="Q510" s="642"/>
      <c r="R510" s="642"/>
      <c r="S510" s="642"/>
      <c r="T510" s="642"/>
      <c r="U510" s="447"/>
      <c r="V510" s="518"/>
      <c r="W510" s="713"/>
    </row>
    <row r="511" spans="1:35" s="215" customFormat="1" ht="24" customHeight="1">
      <c r="C511" s="769" t="s">
        <v>1019</v>
      </c>
      <c r="D511" s="769"/>
      <c r="E511" s="769"/>
      <c r="F511" s="769"/>
      <c r="G511" s="769"/>
      <c r="H511" s="769"/>
      <c r="I511" s="769"/>
      <c r="J511" s="769"/>
      <c r="K511" s="769"/>
      <c r="L511" s="257">
        <v>39371</v>
      </c>
      <c r="M511" s="257">
        <v>0</v>
      </c>
      <c r="N511" s="258">
        <v>0</v>
      </c>
      <c r="O511" s="258">
        <f>M511+(O470-O451-O452-O449-O453-O457-O461-O463-O465-O459-O467-O460-O462-O468)-O478-O473</f>
        <v>0</v>
      </c>
      <c r="P511" s="257">
        <f>O511+(P470-P451-P452-P449-P453-P457-P461-P463-P465-P459-P467-P460-P462-P468)-P478-P473</f>
        <v>0</v>
      </c>
      <c r="Q511" s="257">
        <f>P511+(Q470-Q451-Q452-Q449-Q453-Q457-Q461-Q463-Q465-Q459-Q467-Q460-Q462-Q468)-Q478-Q473</f>
        <v>0</v>
      </c>
      <c r="R511" s="257">
        <f>Q511+(R470-R451-R452-R449-R453-R457-R461-R463-R465-R459-R467-R460-R462-R468)-R478-R473</f>
        <v>0</v>
      </c>
      <c r="S511" s="257">
        <f>R511+(S470-S451-S452-S449-S453-S457-S461-S463-S465-S459-S467-S460-S462-S468)-S478-S473</f>
        <v>0</v>
      </c>
      <c r="T511" s="257">
        <f>S511+(T470-T451-T452-T449-T453-T457-T461-T463-T465-T459-T467-T460-T462-T468)-T478-T473</f>
        <v>0</v>
      </c>
      <c r="U511" s="257"/>
      <c r="V511" s="713"/>
      <c r="W511" s="713"/>
    </row>
    <row r="512" spans="1:35" s="215" customFormat="1" ht="15" customHeight="1">
      <c r="K512" s="285"/>
      <c r="L512" s="257"/>
      <c r="M512" s="257"/>
      <c r="N512" s="258"/>
      <c r="O512" s="258"/>
      <c r="P512" s="257"/>
      <c r="Q512" s="257"/>
      <c r="R512" s="257"/>
      <c r="S512" s="257"/>
      <c r="T512" s="257"/>
      <c r="U512" s="470"/>
      <c r="V512" s="713"/>
      <c r="W512" s="713"/>
    </row>
    <row r="513" spans="1:23" s="215" customFormat="1" ht="24" customHeight="1">
      <c r="C513" s="769" t="s">
        <v>1020</v>
      </c>
      <c r="D513" s="769"/>
      <c r="E513" s="769"/>
      <c r="F513" s="769"/>
      <c r="G513" s="769"/>
      <c r="H513" s="769"/>
      <c r="I513" s="769"/>
      <c r="J513" s="769"/>
      <c r="K513" s="769"/>
      <c r="L513" s="257">
        <v>74302</v>
      </c>
      <c r="M513" s="257">
        <v>-20106</v>
      </c>
      <c r="N513" s="258">
        <v>0</v>
      </c>
      <c r="O513" s="258">
        <f>M513+(O470-O448-O450-O453-O454-O455-O456-O461-O463-O466-O464-O458-O460-O449-O462-O468)-O490-O481</f>
        <v>51565</v>
      </c>
      <c r="P513" s="257">
        <f>O513+(P470-P448-P450-P453-P454-P455-P456-P461-P463-P466-P464-P458-P460-P449-P462-P468)-P490-P481</f>
        <v>0</v>
      </c>
      <c r="Q513" s="257">
        <f>P513+(Q470-Q448-Q450-Q453-Q454-Q455-Q456-Q461-Q463-Q466-Q464-Q458-Q460-Q449-Q462-Q468)-Q490-Q481</f>
        <v>0</v>
      </c>
      <c r="R513" s="257">
        <f>Q513+(R470-R448-R450-R453-R454-R455-R456-R461-R463-R466-R464-R458-R460-R449-R462-R468)-R490-R481</f>
        <v>0</v>
      </c>
      <c r="S513" s="257">
        <f>R513+(S470-S448-S450-S453-S454-S455-S456-S461-S463-S466-S464-S458-S460-S449-S462-S468)-S490-S481</f>
        <v>0</v>
      </c>
      <c r="T513" s="257">
        <f>S513+(T470-T448-T450-T453-T454-T455-T456-T461-T463-T466-T464-T458-T460-T449-T462-T468)-T490-T481</f>
        <v>0</v>
      </c>
      <c r="U513" s="470"/>
      <c r="V513" s="713"/>
      <c r="W513" s="713"/>
    </row>
    <row r="514" spans="1:23" s="215" customFormat="1" ht="15" customHeight="1">
      <c r="K514" s="285"/>
      <c r="L514" s="257"/>
      <c r="M514" s="257"/>
      <c r="N514" s="258"/>
      <c r="O514" s="258"/>
      <c r="P514" s="257"/>
      <c r="Q514" s="257"/>
      <c r="R514" s="257"/>
      <c r="S514" s="257"/>
      <c r="T514" s="257"/>
      <c r="U514" s="470"/>
      <c r="V514" s="713"/>
      <c r="W514" s="713"/>
    </row>
    <row r="515" spans="1:23" s="215" customFormat="1" ht="24" customHeight="1">
      <c r="C515" s="769" t="s">
        <v>1021</v>
      </c>
      <c r="D515" s="769"/>
      <c r="E515" s="769"/>
      <c r="F515" s="769"/>
      <c r="G515" s="769"/>
      <c r="H515" s="769"/>
      <c r="I515" s="769"/>
      <c r="J515" s="769"/>
      <c r="K515" s="769"/>
      <c r="L515" s="257">
        <v>34073</v>
      </c>
      <c r="M515" s="257">
        <v>125683</v>
      </c>
      <c r="N515" s="258">
        <v>-1224</v>
      </c>
      <c r="O515" s="258">
        <f>M515+(O470-O448-O450-O451-O452-O449-O454-O455-O456-O457-O466-O465-O464-O458-O459-O467)-O505-O493</f>
        <v>1169</v>
      </c>
      <c r="P515" s="257">
        <f>O515+(P470-P448-P450-P451-P452-P449-P454-P455-P456-P457-P466-P465-P464-P458-P459-P467)-P505-P493</f>
        <v>0</v>
      </c>
      <c r="Q515" s="257">
        <f>P515+(Q470-Q448-Q450-Q451-Q452-Q449-Q454-Q455-Q456-Q457-Q466-Q465-Q464-Q458-Q459-Q467)-Q505-Q493</f>
        <v>106</v>
      </c>
      <c r="R515" s="257">
        <f>Q515+(R470-R448-R450-R451-R452-R449-R454-R455-R456-R457-R466-R465-R464-R458-R459-R467)-R505-R493</f>
        <v>212</v>
      </c>
      <c r="S515" s="257">
        <f>R515+(S470-S448-S450-S451-S452-S449-S454-S455-S456-S457-S466-S465-S464-S458-S459-S467)-S505-S493</f>
        <v>318</v>
      </c>
      <c r="T515" s="257">
        <f>S515+(T470-T448-T450-T451-T452-T449-T454-T455-T456-T457-T466-T465-T464-T458-T459-T467)-T505-T493</f>
        <v>424</v>
      </c>
      <c r="U515" s="470"/>
      <c r="V515" s="713"/>
      <c r="W515" s="713"/>
    </row>
    <row r="516" spans="1:23" s="215" customFormat="1" ht="15" customHeight="1">
      <c r="K516" s="285"/>
      <c r="L516" s="250"/>
      <c r="M516" s="250"/>
      <c r="N516" s="251"/>
      <c r="O516" s="251"/>
      <c r="P516" s="250"/>
      <c r="Q516" s="250"/>
      <c r="R516" s="250"/>
      <c r="S516" s="250"/>
      <c r="T516" s="250"/>
      <c r="U516" s="470"/>
      <c r="V516" s="713"/>
      <c r="W516" s="713"/>
    </row>
    <row r="517" spans="1:23" s="215" customFormat="1" ht="24" customHeight="1" thickBot="1">
      <c r="K517" s="290" t="s">
        <v>551</v>
      </c>
      <c r="L517" s="260">
        <v>147746</v>
      </c>
      <c r="M517" s="260">
        <v>105577</v>
      </c>
      <c r="N517" s="261">
        <v>-1224</v>
      </c>
      <c r="O517" s="261">
        <f>O511+O513+O515</f>
        <v>52734</v>
      </c>
      <c r="P517" s="260">
        <f>P511+P513+P515</f>
        <v>0</v>
      </c>
      <c r="Q517" s="260">
        <f t="shared" ref="Q517:T517" si="191">Q511+Q513+Q515</f>
        <v>106</v>
      </c>
      <c r="R517" s="260">
        <f t="shared" si="191"/>
        <v>212</v>
      </c>
      <c r="S517" s="260">
        <f t="shared" si="191"/>
        <v>318</v>
      </c>
      <c r="T517" s="260">
        <f t="shared" si="191"/>
        <v>424</v>
      </c>
      <c r="U517" s="470"/>
      <c r="V517" s="713"/>
      <c r="W517" s="713"/>
    </row>
    <row r="518" spans="1:23" ht="15" customHeight="1" thickTop="1">
      <c r="A518" s="215"/>
      <c r="B518" s="215"/>
      <c r="C518" s="215"/>
      <c r="D518" s="215"/>
      <c r="E518" s="215"/>
      <c r="F518" s="215"/>
      <c r="G518" s="215"/>
      <c r="H518" s="215"/>
      <c r="I518" s="215"/>
      <c r="J518" s="215"/>
      <c r="K518" s="215"/>
      <c r="L518" s="400"/>
      <c r="M518" s="400"/>
      <c r="N518" s="405"/>
      <c r="O518" s="405"/>
      <c r="P518" s="406"/>
      <c r="Q518" s="406"/>
      <c r="R518" s="406"/>
      <c r="S518" s="406"/>
      <c r="T518" s="406"/>
    </row>
    <row r="519" spans="1:23" ht="15" customHeight="1">
      <c r="A519" s="312"/>
      <c r="B519" s="312"/>
      <c r="C519" s="312"/>
      <c r="D519" s="312"/>
      <c r="E519" s="312"/>
      <c r="F519" s="312"/>
      <c r="G519" s="312"/>
      <c r="H519" s="312"/>
      <c r="I519" s="312"/>
      <c r="J519" s="312"/>
      <c r="K519" s="290"/>
      <c r="L519" s="400"/>
      <c r="M519" s="400"/>
      <c r="N519" s="407"/>
      <c r="O519" s="407"/>
      <c r="P519" s="408"/>
      <c r="Q519" s="408"/>
      <c r="R519" s="408"/>
      <c r="S519" s="408"/>
      <c r="T519" s="408"/>
    </row>
    <row r="520" spans="1:23" ht="24" customHeight="1">
      <c r="A520" s="292" t="s">
        <v>567</v>
      </c>
      <c r="B520" s="215"/>
      <c r="C520" s="215"/>
      <c r="D520" s="215"/>
      <c r="E520" s="215"/>
      <c r="F520" s="215"/>
      <c r="G520" s="215"/>
      <c r="H520" s="215"/>
      <c r="I520" s="215"/>
      <c r="J520" s="215"/>
      <c r="K520" s="215"/>
      <c r="L520" s="399"/>
      <c r="M520" s="399"/>
      <c r="N520" s="403"/>
      <c r="O520" s="403"/>
      <c r="P520" s="404"/>
      <c r="Q520" s="404"/>
      <c r="R520" s="404"/>
      <c r="S520" s="404"/>
      <c r="T520" s="404"/>
    </row>
    <row r="521" spans="1:23" ht="15" customHeight="1">
      <c r="A521" s="215"/>
      <c r="B521" s="215"/>
      <c r="C521" s="215"/>
      <c r="D521" s="215"/>
      <c r="E521" s="215"/>
      <c r="F521" s="215"/>
      <c r="G521" s="215"/>
      <c r="H521" s="215"/>
      <c r="I521" s="215"/>
      <c r="J521" s="215"/>
      <c r="K521" s="215"/>
      <c r="L521" s="399"/>
      <c r="M521" s="399"/>
      <c r="N521" s="403"/>
      <c r="O521" s="403"/>
      <c r="P521" s="404"/>
      <c r="Q521" s="404"/>
      <c r="R521" s="404"/>
      <c r="S521" s="404"/>
      <c r="T521" s="404"/>
    </row>
    <row r="522" spans="1:23" ht="24" customHeight="1">
      <c r="A522" s="364" t="s">
        <v>1123</v>
      </c>
      <c r="B522" s="215"/>
      <c r="C522" s="215"/>
      <c r="D522" s="519" t="s">
        <v>1323</v>
      </c>
      <c r="E522" s="215"/>
      <c r="F522" s="215"/>
      <c r="G522" s="215"/>
      <c r="H522" s="215"/>
      <c r="I522" s="215"/>
      <c r="J522" s="215"/>
      <c r="K522" s="215"/>
      <c r="L522" s="225">
        <v>315790</v>
      </c>
      <c r="M522" s="225">
        <v>327984</v>
      </c>
      <c r="N522" s="157">
        <v>165527</v>
      </c>
      <c r="O522" s="148">
        <v>164852</v>
      </c>
      <c r="P522" s="154">
        <v>47497</v>
      </c>
      <c r="Q522" s="154">
        <v>0</v>
      </c>
      <c r="R522" s="154">
        <v>0</v>
      </c>
      <c r="S522" s="154">
        <v>0</v>
      </c>
      <c r="T522" s="154">
        <v>0</v>
      </c>
      <c r="V522" s="418"/>
      <c r="W522" s="419"/>
    </row>
    <row r="523" spans="1:23" ht="24" customHeight="1">
      <c r="A523" s="215" t="s">
        <v>308</v>
      </c>
      <c r="B523" s="215"/>
      <c r="C523" s="615"/>
      <c r="D523" s="615" t="s">
        <v>309</v>
      </c>
      <c r="E523" s="615"/>
      <c r="F523" s="615"/>
      <c r="G523" s="615"/>
      <c r="H523" s="615"/>
      <c r="I523" s="615"/>
      <c r="J523" s="615"/>
      <c r="K523" s="615"/>
      <c r="L523" s="224">
        <v>5958</v>
      </c>
      <c r="M523" s="224">
        <v>1696</v>
      </c>
      <c r="N523" s="151">
        <v>4500</v>
      </c>
      <c r="O523" s="157">
        <v>6640</v>
      </c>
      <c r="P523" s="150">
        <v>5000</v>
      </c>
      <c r="Q523" s="150">
        <v>7000</v>
      </c>
      <c r="R523" s="150">
        <v>7000</v>
      </c>
      <c r="S523" s="150">
        <v>7000</v>
      </c>
      <c r="T523" s="150">
        <v>7000</v>
      </c>
    </row>
    <row r="524" spans="1:23" ht="24" customHeight="1">
      <c r="A524" s="281" t="s">
        <v>1156</v>
      </c>
      <c r="B524" s="385"/>
      <c r="C524" s="386"/>
      <c r="D524" s="281" t="s">
        <v>917</v>
      </c>
      <c r="E524" s="385"/>
      <c r="F524" s="386"/>
      <c r="G524" s="386"/>
      <c r="H524" s="386"/>
      <c r="I524" s="386"/>
      <c r="J524" s="386"/>
      <c r="K524" s="386"/>
      <c r="L524" s="224">
        <v>400</v>
      </c>
      <c r="M524" s="224">
        <v>5722</v>
      </c>
      <c r="N524" s="151">
        <v>0</v>
      </c>
      <c r="O524" s="151">
        <v>0</v>
      </c>
      <c r="P524" s="150">
        <v>0</v>
      </c>
      <c r="Q524" s="150">
        <v>0</v>
      </c>
      <c r="R524" s="150">
        <v>0</v>
      </c>
      <c r="S524" s="150">
        <v>0</v>
      </c>
      <c r="T524" s="150">
        <v>0</v>
      </c>
    </row>
    <row r="525" spans="1:23" ht="24" customHeight="1">
      <c r="A525" s="215" t="s">
        <v>665</v>
      </c>
      <c r="B525" s="215"/>
      <c r="C525" s="215"/>
      <c r="D525" s="215" t="s">
        <v>6</v>
      </c>
      <c r="E525" s="215"/>
      <c r="F525" s="215"/>
      <c r="G525" s="215"/>
      <c r="H525" s="215"/>
      <c r="I525" s="215"/>
      <c r="J525" s="215"/>
      <c r="K525" s="215"/>
      <c r="L525" s="224">
        <v>78</v>
      </c>
      <c r="M525" s="224">
        <v>5</v>
      </c>
      <c r="N525" s="151">
        <v>0</v>
      </c>
      <c r="O525" s="151">
        <v>11</v>
      </c>
      <c r="P525" s="150">
        <v>0</v>
      </c>
      <c r="Q525" s="150">
        <v>0</v>
      </c>
      <c r="R525" s="150">
        <v>0</v>
      </c>
      <c r="S525" s="150">
        <v>0</v>
      </c>
      <c r="T525" s="150">
        <v>0</v>
      </c>
    </row>
    <row r="526" spans="1:23" ht="24" customHeight="1">
      <c r="A526" s="281" t="s">
        <v>310</v>
      </c>
      <c r="B526" s="282"/>
      <c r="C526" s="282"/>
      <c r="D526" s="281" t="s">
        <v>271</v>
      </c>
      <c r="E526" s="282"/>
      <c r="F526" s="282"/>
      <c r="G526" s="282"/>
      <c r="H526" s="282"/>
      <c r="I526" s="282"/>
      <c r="J526" s="282"/>
      <c r="K526" s="282"/>
      <c r="L526" s="225">
        <v>0</v>
      </c>
      <c r="M526" s="225">
        <v>0</v>
      </c>
      <c r="N526" s="157">
        <f>75225+65473+95-45-8645</f>
        <v>132103</v>
      </c>
      <c r="O526" s="157">
        <f>132103+803-37+3212-4701</f>
        <v>131380</v>
      </c>
      <c r="P526" s="154">
        <f>83774-1500+767-450-219+42860+67522-1500+200+400-23573+5344+59736+50+61000+2000-25733-2500</f>
        <v>268178</v>
      </c>
      <c r="Q526" s="154">
        <f>268425-2200+8118+50+30500+10882-2500</f>
        <v>313275</v>
      </c>
      <c r="R526" s="154">
        <f>322425-2200+50-2500</f>
        <v>317775</v>
      </c>
      <c r="S526" s="154">
        <f>321725-2200+50-2500</f>
        <v>317075</v>
      </c>
      <c r="T526" s="154">
        <f>321725-2200+50-800-2500</f>
        <v>316275</v>
      </c>
    </row>
    <row r="527" spans="1:23" ht="24" customHeight="1">
      <c r="A527" s="281" t="s">
        <v>1277</v>
      </c>
      <c r="B527" s="475"/>
      <c r="C527" s="475"/>
      <c r="D527" s="281" t="s">
        <v>1245</v>
      </c>
      <c r="E527" s="475"/>
      <c r="F527" s="475"/>
      <c r="G527" s="475"/>
      <c r="H527" s="475"/>
      <c r="I527" s="475"/>
      <c r="J527" s="475"/>
      <c r="K527" s="475"/>
      <c r="L527" s="225">
        <v>0</v>
      </c>
      <c r="M527" s="225">
        <v>2300000</v>
      </c>
      <c r="N527" s="157">
        <v>0</v>
      </c>
      <c r="O527" s="157">
        <v>0</v>
      </c>
      <c r="P527" s="154">
        <v>0</v>
      </c>
      <c r="Q527" s="154">
        <v>0</v>
      </c>
      <c r="R527" s="154">
        <v>0</v>
      </c>
      <c r="S527" s="154">
        <v>0</v>
      </c>
      <c r="T527" s="154">
        <v>0</v>
      </c>
    </row>
    <row r="528" spans="1:23" ht="24" customHeight="1">
      <c r="A528" s="281" t="s">
        <v>1287</v>
      </c>
      <c r="B528" s="477"/>
      <c r="C528" s="477"/>
      <c r="D528" s="281" t="s">
        <v>1274</v>
      </c>
      <c r="E528" s="477"/>
      <c r="F528" s="477"/>
      <c r="G528" s="477"/>
      <c r="H528" s="477"/>
      <c r="I528" s="477"/>
      <c r="J528" s="477"/>
      <c r="K528" s="477"/>
      <c r="L528" s="230">
        <v>0</v>
      </c>
      <c r="M528" s="230">
        <v>69891</v>
      </c>
      <c r="N528" s="164">
        <v>0</v>
      </c>
      <c r="O528" s="164">
        <v>0</v>
      </c>
      <c r="P528" s="163">
        <v>0</v>
      </c>
      <c r="Q528" s="163">
        <v>0</v>
      </c>
      <c r="R528" s="163">
        <v>0</v>
      </c>
      <c r="S528" s="163">
        <v>0</v>
      </c>
      <c r="T528" s="163">
        <v>0</v>
      </c>
    </row>
    <row r="529" spans="1:38" ht="15" customHeight="1">
      <c r="A529" s="215"/>
      <c r="B529" s="298"/>
      <c r="C529" s="298"/>
      <c r="D529" s="298"/>
      <c r="E529" s="215"/>
      <c r="F529" s="284"/>
      <c r="G529" s="284"/>
      <c r="H529" s="284"/>
      <c r="I529" s="284"/>
      <c r="J529" s="284"/>
      <c r="K529" s="284"/>
      <c r="L529" s="231"/>
      <c r="M529" s="231"/>
      <c r="N529" s="166"/>
      <c r="O529" s="166"/>
      <c r="P529" s="165"/>
      <c r="Q529" s="165"/>
      <c r="R529" s="165"/>
      <c r="S529" s="165"/>
      <c r="T529" s="165"/>
    </row>
    <row r="530" spans="1:38" s="215" customFormat="1" ht="24" customHeight="1">
      <c r="K530" s="285" t="s">
        <v>545</v>
      </c>
      <c r="L530" s="233">
        <f t="shared" ref="L530" si="192">SUM(L522:L529)</f>
        <v>322226</v>
      </c>
      <c r="M530" s="233">
        <f t="shared" ref="M530:T530" si="193">SUM(M522:M529)</f>
        <v>2705298</v>
      </c>
      <c r="N530" s="234">
        <f t="shared" si="193"/>
        <v>302130</v>
      </c>
      <c r="O530" s="234">
        <f t="shared" si="193"/>
        <v>302883</v>
      </c>
      <c r="P530" s="233">
        <f t="shared" si="193"/>
        <v>320675</v>
      </c>
      <c r="Q530" s="233">
        <f t="shared" si="193"/>
        <v>320275</v>
      </c>
      <c r="R530" s="233">
        <f t="shared" si="193"/>
        <v>324775</v>
      </c>
      <c r="S530" s="233">
        <f t="shared" si="193"/>
        <v>324075</v>
      </c>
      <c r="T530" s="233">
        <f t="shared" si="193"/>
        <v>323275</v>
      </c>
      <c r="U530" s="470"/>
    </row>
    <row r="531" spans="1:38" ht="15" customHeight="1">
      <c r="A531" s="215"/>
      <c r="B531" s="215"/>
      <c r="C531" s="215"/>
      <c r="D531" s="215"/>
      <c r="E531" s="215"/>
      <c r="F531" s="215"/>
      <c r="G531" s="215"/>
      <c r="H531" s="215"/>
      <c r="I531" s="215"/>
      <c r="J531" s="215"/>
      <c r="K531" s="215"/>
      <c r="L531" s="231"/>
      <c r="M531" s="231"/>
      <c r="N531" s="166"/>
      <c r="O531" s="166"/>
      <c r="P531" s="165"/>
      <c r="Q531" s="165"/>
      <c r="R531" s="165"/>
      <c r="S531" s="165"/>
      <c r="T531" s="165"/>
    </row>
    <row r="532" spans="1:38" ht="24" customHeight="1">
      <c r="A532" s="507" t="s">
        <v>1319</v>
      </c>
      <c r="B532" s="476"/>
      <c r="C532" s="476"/>
      <c r="D532" s="281" t="s">
        <v>1247</v>
      </c>
      <c r="E532" s="475"/>
      <c r="F532" s="475"/>
      <c r="G532" s="475"/>
      <c r="H532" s="475"/>
      <c r="I532" s="284"/>
      <c r="J532" s="284"/>
      <c r="K532" s="284"/>
      <c r="L532" s="241">
        <v>0</v>
      </c>
      <c r="M532" s="241">
        <v>33306</v>
      </c>
      <c r="N532" s="187">
        <v>0</v>
      </c>
      <c r="O532" s="187">
        <v>0</v>
      </c>
      <c r="P532" s="179">
        <v>0</v>
      </c>
      <c r="Q532" s="179">
        <v>0</v>
      </c>
      <c r="R532" s="179">
        <v>0</v>
      </c>
      <c r="S532" s="179">
        <v>0</v>
      </c>
      <c r="T532" s="179">
        <v>0</v>
      </c>
      <c r="V532" s="149"/>
    </row>
    <row r="533" spans="1:38" ht="24" customHeight="1">
      <c r="A533" s="281" t="s">
        <v>1153</v>
      </c>
      <c r="B533" s="385"/>
      <c r="C533" s="385"/>
      <c r="D533" s="386" t="s">
        <v>888</v>
      </c>
      <c r="E533" s="385"/>
      <c r="F533" s="385"/>
      <c r="G533" s="385"/>
      <c r="H533" s="385"/>
      <c r="I533" s="385"/>
      <c r="J533" s="385"/>
      <c r="K533" s="385"/>
      <c r="L533" s="225">
        <v>400</v>
      </c>
      <c r="M533" s="225">
        <v>5722</v>
      </c>
      <c r="N533" s="157">
        <v>0</v>
      </c>
      <c r="O533" s="157">
        <v>0</v>
      </c>
      <c r="P533" s="154">
        <v>0</v>
      </c>
      <c r="Q533" s="154">
        <v>0</v>
      </c>
      <c r="R533" s="154">
        <v>0</v>
      </c>
      <c r="S533" s="154">
        <v>0</v>
      </c>
      <c r="T533" s="154">
        <v>0</v>
      </c>
    </row>
    <row r="534" spans="1:38" ht="24" customHeight="1">
      <c r="A534" s="281" t="s">
        <v>311</v>
      </c>
      <c r="B534" s="282"/>
      <c r="C534" s="282"/>
      <c r="D534" s="281" t="s">
        <v>312</v>
      </c>
      <c r="E534" s="474"/>
      <c r="F534" s="474"/>
      <c r="G534" s="474"/>
      <c r="H534" s="474"/>
      <c r="I534" s="474"/>
      <c r="J534" s="474"/>
      <c r="K534" s="282"/>
      <c r="L534" s="225">
        <v>375</v>
      </c>
      <c r="M534" s="225">
        <v>589</v>
      </c>
      <c r="N534" s="157">
        <v>525</v>
      </c>
      <c r="O534" s="157">
        <v>475</v>
      </c>
      <c r="P534" s="154">
        <v>525</v>
      </c>
      <c r="Q534" s="154">
        <v>525</v>
      </c>
      <c r="R534" s="154">
        <v>525</v>
      </c>
      <c r="S534" s="154">
        <v>525</v>
      </c>
      <c r="T534" s="154">
        <v>525</v>
      </c>
      <c r="V534" s="457"/>
      <c r="W534" s="457"/>
      <c r="X534" s="457"/>
    </row>
    <row r="535" spans="1:38" ht="24" customHeight="1">
      <c r="A535" s="287" t="s">
        <v>1344</v>
      </c>
      <c r="B535" s="582"/>
      <c r="C535" s="582"/>
      <c r="D535" s="281"/>
      <c r="E535" s="582"/>
      <c r="F535" s="582"/>
      <c r="G535" s="582"/>
      <c r="H535" s="582"/>
      <c r="I535" s="582"/>
      <c r="J535" s="582"/>
      <c r="K535" s="582"/>
      <c r="L535" s="225"/>
      <c r="M535" s="225"/>
      <c r="N535" s="157"/>
      <c r="O535" s="157"/>
      <c r="P535" s="154"/>
      <c r="Q535" s="154"/>
      <c r="R535" s="154"/>
      <c r="S535" s="154"/>
      <c r="T535" s="154"/>
      <c r="V535" s="458"/>
      <c r="W535" s="458"/>
      <c r="X535" s="458"/>
    </row>
    <row r="536" spans="1:38" ht="24" customHeight="1">
      <c r="A536" s="281" t="s">
        <v>1257</v>
      </c>
      <c r="B536" s="582"/>
      <c r="C536" s="582"/>
      <c r="D536" s="281" t="s">
        <v>1042</v>
      </c>
      <c r="E536" s="582"/>
      <c r="F536" s="582"/>
      <c r="G536" s="582"/>
      <c r="H536" s="582"/>
      <c r="I536" s="582"/>
      <c r="J536" s="582"/>
      <c r="K536" s="582"/>
      <c r="L536" s="224">
        <v>0</v>
      </c>
      <c r="M536" s="224">
        <v>0</v>
      </c>
      <c r="N536" s="151">
        <v>255000</v>
      </c>
      <c r="O536" s="151">
        <v>255000</v>
      </c>
      <c r="P536" s="150">
        <v>270000</v>
      </c>
      <c r="Q536" s="150">
        <v>275000</v>
      </c>
      <c r="R536" s="150">
        <v>285000</v>
      </c>
      <c r="S536" s="150">
        <v>290000</v>
      </c>
      <c r="T536" s="150">
        <v>295000</v>
      </c>
      <c r="V536" s="459"/>
      <c r="W536" s="459"/>
      <c r="X536" s="459"/>
    </row>
    <row r="537" spans="1:38" ht="24" customHeight="1">
      <c r="A537" s="281" t="s">
        <v>1258</v>
      </c>
      <c r="B537" s="582"/>
      <c r="C537" s="582"/>
      <c r="D537" s="281" t="s">
        <v>292</v>
      </c>
      <c r="E537" s="582"/>
      <c r="F537" s="582"/>
      <c r="G537" s="582"/>
      <c r="H537" s="582"/>
      <c r="I537" s="582"/>
      <c r="J537" s="582"/>
      <c r="K537" s="582"/>
      <c r="L537" s="226">
        <v>0</v>
      </c>
      <c r="M537" s="226">
        <v>22253</v>
      </c>
      <c r="N537" s="151">
        <f>27625+27625</f>
        <v>55250</v>
      </c>
      <c r="O537" s="151">
        <v>55250</v>
      </c>
      <c r="P537" s="150">
        <f>25075+25075</f>
        <v>50150</v>
      </c>
      <c r="Q537" s="150">
        <f>22375+22375</f>
        <v>44750</v>
      </c>
      <c r="R537" s="150">
        <f>19625+19625</f>
        <v>39250</v>
      </c>
      <c r="S537" s="150">
        <f>16775+16775</f>
        <v>33550</v>
      </c>
      <c r="T537" s="150">
        <v>27750</v>
      </c>
      <c r="V537" s="459"/>
      <c r="W537" s="459"/>
      <c r="X537" s="459"/>
    </row>
    <row r="538" spans="1:38" ht="24" customHeight="1">
      <c r="A538" s="287" t="s">
        <v>626</v>
      </c>
      <c r="B538" s="282"/>
      <c r="C538" s="282"/>
      <c r="D538" s="281"/>
      <c r="E538" s="282"/>
      <c r="F538" s="282"/>
      <c r="G538" s="282"/>
      <c r="H538" s="282"/>
      <c r="I538" s="282"/>
      <c r="J538" s="282"/>
      <c r="K538" s="282"/>
      <c r="L538" s="225"/>
      <c r="M538" s="225"/>
      <c r="N538" s="157"/>
      <c r="O538" s="157"/>
      <c r="P538" s="154"/>
      <c r="Q538" s="154"/>
      <c r="R538" s="154"/>
      <c r="S538" s="154"/>
      <c r="T538" s="154"/>
      <c r="V538" s="458"/>
      <c r="W538" s="458"/>
      <c r="X538" s="458"/>
      <c r="AA538" s="209"/>
      <c r="AB538" s="209"/>
      <c r="AC538" s="209"/>
      <c r="AD538" s="209"/>
      <c r="AE538" s="209"/>
      <c r="AF538" s="209"/>
      <c r="AG538" s="209"/>
      <c r="AH538" s="209"/>
      <c r="AI538" s="209"/>
      <c r="AJ538" s="209"/>
      <c r="AK538" s="209"/>
      <c r="AL538" s="209"/>
    </row>
    <row r="539" spans="1:38" ht="24" customHeight="1">
      <c r="A539" s="281" t="s">
        <v>313</v>
      </c>
      <c r="B539" s="282"/>
      <c r="C539" s="282"/>
      <c r="D539" s="281" t="s">
        <v>1042</v>
      </c>
      <c r="E539" s="282"/>
      <c r="F539" s="282"/>
      <c r="G539" s="282"/>
      <c r="H539" s="282"/>
      <c r="I539" s="282"/>
      <c r="J539" s="282"/>
      <c r="K539" s="282"/>
      <c r="L539" s="224">
        <v>215000</v>
      </c>
      <c r="M539" s="224">
        <v>225000</v>
      </c>
      <c r="N539" s="151">
        <v>0</v>
      </c>
      <c r="O539" s="151">
        <v>0</v>
      </c>
      <c r="P539" s="150">
        <v>0</v>
      </c>
      <c r="Q539" s="150">
        <v>0</v>
      </c>
      <c r="R539" s="150">
        <v>0</v>
      </c>
      <c r="S539" s="150">
        <v>0</v>
      </c>
      <c r="T539" s="150">
        <v>0</v>
      </c>
      <c r="V539" s="459"/>
      <c r="W539" s="459"/>
      <c r="X539" s="459"/>
    </row>
    <row r="540" spans="1:38" ht="24" customHeight="1">
      <c r="A540" s="281" t="s">
        <v>314</v>
      </c>
      <c r="B540" s="282"/>
      <c r="C540" s="282"/>
      <c r="D540" s="281" t="s">
        <v>292</v>
      </c>
      <c r="E540" s="282"/>
      <c r="F540" s="282"/>
      <c r="G540" s="282"/>
      <c r="H540" s="282"/>
      <c r="I540" s="282"/>
      <c r="J540" s="282"/>
      <c r="K540" s="282"/>
      <c r="L540" s="226">
        <v>113179</v>
      </c>
      <c r="M540" s="226">
        <v>56789</v>
      </c>
      <c r="N540" s="151">
        <v>0</v>
      </c>
      <c r="O540" s="151">
        <v>0</v>
      </c>
      <c r="P540" s="150">
        <v>0</v>
      </c>
      <c r="Q540" s="150">
        <v>0</v>
      </c>
      <c r="R540" s="150">
        <v>0</v>
      </c>
      <c r="S540" s="150">
        <v>0</v>
      </c>
      <c r="T540" s="150">
        <v>0</v>
      </c>
      <c r="V540" s="459"/>
      <c r="W540" s="459"/>
      <c r="X540" s="459"/>
    </row>
    <row r="541" spans="1:38" ht="24" customHeight="1">
      <c r="A541" s="281" t="s">
        <v>1286</v>
      </c>
      <c r="B541" s="477"/>
      <c r="C541" s="477"/>
      <c r="D541" s="281" t="s">
        <v>1251</v>
      </c>
      <c r="E541" s="477"/>
      <c r="F541" s="477"/>
      <c r="G541" s="478"/>
      <c r="H541" s="478"/>
      <c r="I541" s="478"/>
      <c r="J541" s="478"/>
      <c r="K541" s="478"/>
      <c r="L541" s="242">
        <v>0</v>
      </c>
      <c r="M541" s="242">
        <v>2359115</v>
      </c>
      <c r="N541" s="176">
        <v>0</v>
      </c>
      <c r="O541" s="176">
        <v>0</v>
      </c>
      <c r="P541" s="175">
        <v>0</v>
      </c>
      <c r="Q541" s="175">
        <v>0</v>
      </c>
      <c r="R541" s="175">
        <v>0</v>
      </c>
      <c r="S541" s="175">
        <v>0</v>
      </c>
      <c r="T541" s="175">
        <v>0</v>
      </c>
    </row>
    <row r="542" spans="1:38" ht="15" customHeight="1">
      <c r="A542" s="281"/>
      <c r="B542" s="282"/>
      <c r="C542" s="282"/>
      <c r="D542" s="281"/>
      <c r="E542" s="282"/>
      <c r="F542" s="282"/>
      <c r="G542" s="282"/>
      <c r="H542" s="282"/>
      <c r="I542" s="282"/>
      <c r="J542" s="282"/>
      <c r="K542" s="282"/>
      <c r="L542" s="225"/>
      <c r="M542" s="225"/>
      <c r="N542" s="157"/>
      <c r="O542" s="157"/>
      <c r="P542" s="154"/>
      <c r="Q542" s="154"/>
      <c r="R542" s="154"/>
      <c r="S542" s="154"/>
      <c r="T542" s="154"/>
    </row>
    <row r="543" spans="1:38" s="215" customFormat="1" ht="24" customHeight="1">
      <c r="K543" s="285" t="s">
        <v>548</v>
      </c>
      <c r="L543" s="233">
        <f t="shared" ref="L543:T543" si="194">SUM(L532:L541)</f>
        <v>328954</v>
      </c>
      <c r="M543" s="233">
        <f t="shared" si="194"/>
        <v>2702774</v>
      </c>
      <c r="N543" s="234">
        <f t="shared" si="194"/>
        <v>310775</v>
      </c>
      <c r="O543" s="234">
        <f t="shared" si="194"/>
        <v>310725</v>
      </c>
      <c r="P543" s="233">
        <f t="shared" si="194"/>
        <v>320675</v>
      </c>
      <c r="Q543" s="233">
        <f t="shared" si="194"/>
        <v>320275</v>
      </c>
      <c r="R543" s="233">
        <f t="shared" si="194"/>
        <v>324775</v>
      </c>
      <c r="S543" s="233">
        <f t="shared" si="194"/>
        <v>324075</v>
      </c>
      <c r="T543" s="233">
        <f t="shared" si="194"/>
        <v>323275</v>
      </c>
      <c r="U543" s="470"/>
    </row>
    <row r="544" spans="1:38" s="215" customFormat="1" ht="15" customHeight="1">
      <c r="L544" s="231"/>
      <c r="M544" s="231"/>
      <c r="N544" s="232"/>
      <c r="O544" s="232"/>
      <c r="P544" s="231"/>
      <c r="Q544" s="231"/>
      <c r="R544" s="231"/>
      <c r="S544" s="231"/>
      <c r="T544" s="231"/>
      <c r="U544" s="470"/>
    </row>
    <row r="545" spans="1:24" s="215" customFormat="1" ht="24" customHeight="1">
      <c r="K545" s="285" t="s">
        <v>549</v>
      </c>
      <c r="L545" s="250">
        <f t="shared" ref="L545:T545" si="195">L530-L543</f>
        <v>-6728</v>
      </c>
      <c r="M545" s="250">
        <f t="shared" si="195"/>
        <v>2524</v>
      </c>
      <c r="N545" s="251">
        <f t="shared" si="195"/>
        <v>-8645</v>
      </c>
      <c r="O545" s="251">
        <f t="shared" si="195"/>
        <v>-7842</v>
      </c>
      <c r="P545" s="250">
        <f t="shared" si="195"/>
        <v>0</v>
      </c>
      <c r="Q545" s="250">
        <f t="shared" si="195"/>
        <v>0</v>
      </c>
      <c r="R545" s="250">
        <f t="shared" si="195"/>
        <v>0</v>
      </c>
      <c r="S545" s="250">
        <f t="shared" si="195"/>
        <v>0</v>
      </c>
      <c r="T545" s="250">
        <f t="shared" si="195"/>
        <v>0</v>
      </c>
      <c r="U545" s="470"/>
    </row>
    <row r="546" spans="1:24" s="215" customFormat="1" ht="15" customHeight="1">
      <c r="L546" s="250"/>
      <c r="M546" s="250"/>
      <c r="N546" s="251"/>
      <c r="O546" s="251"/>
      <c r="P546" s="250"/>
      <c r="Q546" s="250"/>
      <c r="R546" s="250"/>
      <c r="S546" s="250"/>
      <c r="T546" s="250"/>
      <c r="U546" s="470"/>
    </row>
    <row r="547" spans="1:24" s="215" customFormat="1" ht="24" customHeight="1">
      <c r="K547" s="290" t="s">
        <v>551</v>
      </c>
      <c r="L547" s="250">
        <v>5319</v>
      </c>
      <c r="M547" s="250">
        <v>7842</v>
      </c>
      <c r="N547" s="251">
        <v>0</v>
      </c>
      <c r="O547" s="251">
        <f>M547+O545</f>
        <v>0</v>
      </c>
      <c r="P547" s="250">
        <f>O547+P545</f>
        <v>0</v>
      </c>
      <c r="Q547" s="250">
        <f>P547+Q545</f>
        <v>0</v>
      </c>
      <c r="R547" s="250">
        <f>Q547+R545</f>
        <v>0</v>
      </c>
      <c r="S547" s="250">
        <f>R547+S545</f>
        <v>0</v>
      </c>
      <c r="T547" s="250">
        <f>S547+T545</f>
        <v>0</v>
      </c>
      <c r="U547" s="470"/>
    </row>
    <row r="548" spans="1:24" ht="15" customHeight="1">
      <c r="A548" s="215"/>
      <c r="B548" s="215"/>
      <c r="C548" s="215"/>
      <c r="D548" s="215"/>
      <c r="E548" s="215"/>
      <c r="F548" s="215"/>
      <c r="G548" s="215"/>
      <c r="H548" s="215"/>
      <c r="I548" s="215"/>
      <c r="J548" s="215"/>
      <c r="K548" s="215"/>
      <c r="L548" s="399"/>
      <c r="M548" s="399"/>
      <c r="N548" s="403"/>
      <c r="O548" s="403"/>
      <c r="P548" s="404"/>
      <c r="Q548" s="404"/>
      <c r="R548" s="404"/>
      <c r="S548" s="404"/>
      <c r="T548" s="404"/>
    </row>
    <row r="549" spans="1:24" ht="24" customHeight="1">
      <c r="A549" s="292" t="s">
        <v>570</v>
      </c>
      <c r="B549" s="215"/>
      <c r="C549" s="215"/>
      <c r="D549" s="215"/>
      <c r="E549" s="215"/>
      <c r="F549" s="215"/>
      <c r="G549" s="215"/>
      <c r="H549" s="215"/>
      <c r="I549" s="215"/>
      <c r="J549" s="215"/>
      <c r="K549" s="215"/>
      <c r="L549" s="279"/>
      <c r="M549" s="279"/>
      <c r="N549" s="397"/>
      <c r="O549" s="397"/>
      <c r="P549" s="398"/>
      <c r="Q549" s="398"/>
      <c r="R549" s="398"/>
      <c r="S549" s="398"/>
      <c r="T549" s="398"/>
    </row>
    <row r="550" spans="1:24" ht="15" customHeight="1">
      <c r="A550" s="215"/>
      <c r="B550" s="215"/>
      <c r="C550" s="215"/>
      <c r="D550" s="215"/>
      <c r="E550" s="215"/>
      <c r="F550" s="215"/>
      <c r="G550" s="215"/>
      <c r="H550" s="215"/>
      <c r="I550" s="215"/>
      <c r="J550" s="215"/>
      <c r="K550" s="215"/>
      <c r="L550" s="279"/>
      <c r="M550" s="279"/>
      <c r="N550" s="397"/>
      <c r="O550" s="397"/>
      <c r="P550" s="398"/>
      <c r="Q550" s="398"/>
      <c r="R550" s="398"/>
      <c r="S550" s="398"/>
      <c r="T550" s="398"/>
    </row>
    <row r="551" spans="1:24" ht="24" customHeight="1">
      <c r="A551" s="281" t="s">
        <v>1124</v>
      </c>
      <c r="B551" s="282"/>
      <c r="C551" s="282"/>
      <c r="D551" s="215" t="s">
        <v>315</v>
      </c>
      <c r="E551" s="282"/>
      <c r="F551" s="282"/>
      <c r="G551" s="282"/>
      <c r="H551" s="282"/>
      <c r="I551" s="282"/>
      <c r="J551" s="282"/>
      <c r="K551" s="282"/>
      <c r="L551" s="225">
        <v>41403</v>
      </c>
      <c r="M551" s="225">
        <v>5210</v>
      </c>
      <c r="N551" s="157">
        <v>0</v>
      </c>
      <c r="O551" s="148">
        <v>0</v>
      </c>
      <c r="P551" s="154">
        <v>0</v>
      </c>
      <c r="Q551" s="154">
        <v>0</v>
      </c>
      <c r="R551" s="154">
        <v>0</v>
      </c>
      <c r="S551" s="154">
        <v>0</v>
      </c>
      <c r="T551" s="154">
        <v>0</v>
      </c>
      <c r="V551" s="418"/>
      <c r="W551" s="419"/>
    </row>
    <row r="552" spans="1:24" ht="24" customHeight="1">
      <c r="A552" s="281" t="s">
        <v>890</v>
      </c>
      <c r="B552" s="282"/>
      <c r="C552" s="282"/>
      <c r="D552" s="281" t="s">
        <v>917</v>
      </c>
      <c r="E552" s="282"/>
      <c r="F552" s="215"/>
      <c r="G552" s="282"/>
      <c r="H552" s="282"/>
      <c r="I552" s="282"/>
      <c r="J552" s="282"/>
      <c r="K552" s="282"/>
      <c r="L552" s="225">
        <v>84544</v>
      </c>
      <c r="M552" s="225">
        <v>112323</v>
      </c>
      <c r="N552" s="157">
        <v>0</v>
      </c>
      <c r="O552" s="157">
        <v>0</v>
      </c>
      <c r="P552" s="154">
        <v>0</v>
      </c>
      <c r="Q552" s="154">
        <v>0</v>
      </c>
      <c r="R552" s="154">
        <v>0</v>
      </c>
      <c r="S552" s="154">
        <v>0</v>
      </c>
      <c r="T552" s="154">
        <v>0</v>
      </c>
      <c r="V552" s="149"/>
      <c r="W552" s="201"/>
    </row>
    <row r="553" spans="1:24" ht="24" customHeight="1">
      <c r="A553" s="281" t="s">
        <v>316</v>
      </c>
      <c r="B553" s="282"/>
      <c r="C553" s="282"/>
      <c r="D553" s="281" t="s">
        <v>317</v>
      </c>
      <c r="E553" s="526"/>
      <c r="F553" s="526"/>
      <c r="G553" s="526"/>
      <c r="H553" s="526"/>
      <c r="I553" s="526"/>
      <c r="J553" s="526"/>
      <c r="K553" s="526"/>
      <c r="L553" s="225">
        <v>1789296</v>
      </c>
      <c r="M553" s="225">
        <v>2019810</v>
      </c>
      <c r="N553" s="157">
        <v>2316937</v>
      </c>
      <c r="O553" s="157">
        <v>2420000</v>
      </c>
      <c r="P553" s="154">
        <f>ROUND(O553*1.15,0)</f>
        <v>2783000</v>
      </c>
      <c r="Q553" s="154">
        <f>P553</f>
        <v>2783000</v>
      </c>
      <c r="R553" s="154">
        <f>Q553</f>
        <v>2783000</v>
      </c>
      <c r="S553" s="154">
        <f>ROUND(R553*1.15,0)</f>
        <v>3200450</v>
      </c>
      <c r="T553" s="154">
        <f>ROUND(S553*1.15,0)</f>
        <v>3680518</v>
      </c>
      <c r="V553" s="152"/>
      <c r="W553" s="158"/>
      <c r="X553" s="158"/>
    </row>
    <row r="554" spans="1:24" ht="24" customHeight="1">
      <c r="A554" s="281" t="s">
        <v>318</v>
      </c>
      <c r="B554" s="215"/>
      <c r="C554" s="215"/>
      <c r="D554" s="693" t="s">
        <v>319</v>
      </c>
      <c r="E554" s="694"/>
      <c r="F554" s="694"/>
      <c r="G554" s="694"/>
      <c r="H554" s="694"/>
      <c r="I554" s="694"/>
      <c r="J554" s="694"/>
      <c r="K554" s="694"/>
      <c r="L554" s="225">
        <v>4750</v>
      </c>
      <c r="M554" s="225">
        <v>29590</v>
      </c>
      <c r="N554" s="157">
        <v>500</v>
      </c>
      <c r="O554" s="157">
        <v>500</v>
      </c>
      <c r="P554" s="154">
        <v>500</v>
      </c>
      <c r="Q554" s="154">
        <v>500</v>
      </c>
      <c r="R554" s="154">
        <v>500</v>
      </c>
      <c r="S554" s="154">
        <v>500</v>
      </c>
      <c r="T554" s="154">
        <v>500</v>
      </c>
      <c r="V554" s="149"/>
      <c r="X554" s="165"/>
    </row>
    <row r="555" spans="1:24" ht="24" customHeight="1">
      <c r="A555" s="281" t="s">
        <v>1037</v>
      </c>
      <c r="B555" s="215"/>
      <c r="C555" s="215"/>
      <c r="D555" s="281" t="s">
        <v>996</v>
      </c>
      <c r="E555" s="282"/>
      <c r="F555" s="282"/>
      <c r="G555" s="282"/>
      <c r="H555" s="282"/>
      <c r="I555" s="282"/>
      <c r="J555" s="282"/>
      <c r="K555" s="282"/>
      <c r="L555" s="225">
        <v>92386</v>
      </c>
      <c r="M555" s="225">
        <v>91488</v>
      </c>
      <c r="N555" s="157">
        <v>90000</v>
      </c>
      <c r="O555" s="157">
        <v>90000</v>
      </c>
      <c r="P555" s="154">
        <v>90000</v>
      </c>
      <c r="Q555" s="154">
        <v>90000</v>
      </c>
      <c r="R555" s="154">
        <v>90000</v>
      </c>
      <c r="S555" s="154">
        <v>90000</v>
      </c>
      <c r="T555" s="154">
        <v>90000</v>
      </c>
      <c r="V555" s="149"/>
    </row>
    <row r="556" spans="1:24" ht="24" customHeight="1">
      <c r="A556" s="281" t="s">
        <v>320</v>
      </c>
      <c r="B556" s="282"/>
      <c r="C556" s="282"/>
      <c r="D556" s="281" t="s">
        <v>321</v>
      </c>
      <c r="E556" s="282"/>
      <c r="F556" s="282"/>
      <c r="G556" s="282"/>
      <c r="H556" s="282"/>
      <c r="I556" s="282"/>
      <c r="J556" s="282"/>
      <c r="K556" s="282"/>
      <c r="L556" s="225">
        <v>47785</v>
      </c>
      <c r="M556" s="225">
        <v>15782</v>
      </c>
      <c r="N556" s="157">
        <v>35000</v>
      </c>
      <c r="O556" s="157">
        <v>35000</v>
      </c>
      <c r="P556" s="154">
        <v>35000</v>
      </c>
      <c r="Q556" s="154">
        <v>35000</v>
      </c>
      <c r="R556" s="154">
        <v>35000</v>
      </c>
      <c r="S556" s="154">
        <v>35000</v>
      </c>
      <c r="T556" s="154">
        <v>35000</v>
      </c>
    </row>
    <row r="557" spans="1:24" ht="24" customHeight="1">
      <c r="A557" s="281" t="s">
        <v>322</v>
      </c>
      <c r="B557" s="215"/>
      <c r="C557" s="215"/>
      <c r="D557" s="281" t="s">
        <v>323</v>
      </c>
      <c r="E557" s="529"/>
      <c r="F557" s="529"/>
      <c r="G557" s="529"/>
      <c r="H557" s="529"/>
      <c r="I557" s="529"/>
      <c r="J557" s="529"/>
      <c r="K557" s="529"/>
      <c r="L557" s="225">
        <v>341083</v>
      </c>
      <c r="M557" s="225">
        <v>343961</v>
      </c>
      <c r="N557" s="223">
        <f>ROUND(7000*16.5,0)*6</f>
        <v>693000</v>
      </c>
      <c r="O557" s="223">
        <f>ROUND((7100*16.5)*6,0)</f>
        <v>702900</v>
      </c>
      <c r="P557" s="222">
        <f t="shared" ref="P557:T557" si="196">ROUND((7100*16.5)*6,0)</f>
        <v>702900</v>
      </c>
      <c r="Q557" s="222">
        <f t="shared" si="196"/>
        <v>702900</v>
      </c>
      <c r="R557" s="222">
        <f t="shared" si="196"/>
        <v>702900</v>
      </c>
      <c r="S557" s="222">
        <f t="shared" si="196"/>
        <v>702900</v>
      </c>
      <c r="T557" s="222">
        <f t="shared" si="196"/>
        <v>702900</v>
      </c>
      <c r="V557" s="149"/>
    </row>
    <row r="558" spans="1:24" ht="24" customHeight="1">
      <c r="A558" s="281" t="s">
        <v>324</v>
      </c>
      <c r="B558" s="282"/>
      <c r="C558" s="282"/>
      <c r="D558" s="617" t="s">
        <v>325</v>
      </c>
      <c r="E558" s="622"/>
      <c r="F558" s="622"/>
      <c r="G558" s="622"/>
      <c r="H558" s="622"/>
      <c r="I558" s="622"/>
      <c r="J558" s="622"/>
      <c r="K558" s="622"/>
      <c r="L558" s="222">
        <v>34650</v>
      </c>
      <c r="M558" s="222">
        <v>13160</v>
      </c>
      <c r="N558" s="157">
        <f>175000-70000</f>
        <v>105000</v>
      </c>
      <c r="O558" s="157">
        <v>30000</v>
      </c>
      <c r="P558" s="154">
        <v>50000</v>
      </c>
      <c r="Q558" s="154">
        <v>150000</v>
      </c>
      <c r="R558" s="154">
        <v>150000</v>
      </c>
      <c r="S558" s="154">
        <v>150000</v>
      </c>
      <c r="T558" s="154">
        <v>150000</v>
      </c>
    </row>
    <row r="559" spans="1:24" ht="24" customHeight="1">
      <c r="A559" s="281" t="s">
        <v>326</v>
      </c>
      <c r="B559" s="282"/>
      <c r="C559" s="282"/>
      <c r="D559" s="770" t="s">
        <v>6</v>
      </c>
      <c r="E559" s="770"/>
      <c r="F559" s="770"/>
      <c r="G559" s="770"/>
      <c r="H559" s="770"/>
      <c r="I559" s="770"/>
      <c r="J559" s="770"/>
      <c r="K559" s="770"/>
      <c r="L559" s="224">
        <v>2231</v>
      </c>
      <c r="M559" s="224">
        <v>1236</v>
      </c>
      <c r="N559" s="151">
        <v>500</v>
      </c>
      <c r="O559" s="151">
        <v>3100</v>
      </c>
      <c r="P559" s="150">
        <v>1000</v>
      </c>
      <c r="Q559" s="150">
        <v>500</v>
      </c>
      <c r="R559" s="150">
        <v>500</v>
      </c>
      <c r="S559" s="150">
        <v>500</v>
      </c>
      <c r="T559" s="150">
        <v>500</v>
      </c>
      <c r="U559" s="331"/>
    </row>
    <row r="560" spans="1:24" ht="24" customHeight="1">
      <c r="A560" s="281" t="s">
        <v>1378</v>
      </c>
      <c r="B560" s="586"/>
      <c r="C560" s="586"/>
      <c r="D560" s="770" t="s">
        <v>1373</v>
      </c>
      <c r="E560" s="770"/>
      <c r="F560" s="770"/>
      <c r="G560" s="770"/>
      <c r="H560" s="770"/>
      <c r="I560" s="770"/>
      <c r="J560" s="770"/>
      <c r="K560" s="770"/>
      <c r="L560" s="225">
        <v>0</v>
      </c>
      <c r="M560" s="225">
        <v>798</v>
      </c>
      <c r="N560" s="157">
        <v>0</v>
      </c>
      <c r="O560" s="157">
        <v>0</v>
      </c>
      <c r="P560" s="154">
        <v>0</v>
      </c>
      <c r="Q560" s="154">
        <v>0</v>
      </c>
      <c r="R560" s="154">
        <v>0</v>
      </c>
      <c r="S560" s="154">
        <v>0</v>
      </c>
      <c r="T560" s="154">
        <v>0</v>
      </c>
      <c r="U560" s="339"/>
    </row>
    <row r="561" spans="1:26" ht="24" customHeight="1">
      <c r="A561" s="281" t="s">
        <v>666</v>
      </c>
      <c r="B561" s="282"/>
      <c r="C561" s="282"/>
      <c r="D561" s="281" t="s">
        <v>63</v>
      </c>
      <c r="E561" s="622"/>
      <c r="F561" s="622"/>
      <c r="G561" s="622"/>
      <c r="H561" s="622"/>
      <c r="I561" s="622"/>
      <c r="J561" s="622"/>
      <c r="K561" s="622"/>
      <c r="L561" s="225">
        <v>14844</v>
      </c>
      <c r="M561" s="225">
        <v>3970</v>
      </c>
      <c r="N561" s="159">
        <v>0</v>
      </c>
      <c r="O561" s="159">
        <v>0</v>
      </c>
      <c r="P561" s="158">
        <v>0</v>
      </c>
      <c r="Q561" s="158">
        <v>0</v>
      </c>
      <c r="R561" s="158">
        <v>0</v>
      </c>
      <c r="S561" s="158">
        <v>0</v>
      </c>
      <c r="T561" s="158">
        <v>0</v>
      </c>
    </row>
    <row r="562" spans="1:26" ht="24" customHeight="1">
      <c r="A562" s="281" t="s">
        <v>902</v>
      </c>
      <c r="B562" s="215"/>
      <c r="C562" s="215"/>
      <c r="D562" s="281" t="s">
        <v>903</v>
      </c>
      <c r="E562" s="623"/>
      <c r="F562" s="623"/>
      <c r="G562" s="284"/>
      <c r="H562" s="284"/>
      <c r="I562" s="284"/>
      <c r="J562" s="284"/>
      <c r="K562" s="284"/>
      <c r="L562" s="237">
        <v>51917</v>
      </c>
      <c r="M562" s="237">
        <v>55560</v>
      </c>
      <c r="N562" s="172">
        <v>56307</v>
      </c>
      <c r="O562" s="172">
        <v>56307</v>
      </c>
      <c r="P562" s="171">
        <f>ROUND(O562*1.02,0)</f>
        <v>57433</v>
      </c>
      <c r="Q562" s="171">
        <f t="shared" ref="Q562:R562" si="197">ROUND(P562*1.02,0)</f>
        <v>58582</v>
      </c>
      <c r="R562" s="171">
        <f t="shared" si="197"/>
        <v>59754</v>
      </c>
      <c r="S562" s="171">
        <f>ROUND(R562*1.02,0)</f>
        <v>60949</v>
      </c>
      <c r="T562" s="171">
        <f>ROUND(S562*1.02,0)</f>
        <v>62168</v>
      </c>
      <c r="V562" s="149"/>
    </row>
    <row r="563" spans="1:26" ht="24" customHeight="1">
      <c r="A563" s="281" t="s">
        <v>327</v>
      </c>
      <c r="B563" s="215"/>
      <c r="C563" s="215"/>
      <c r="D563" s="281" t="s">
        <v>7</v>
      </c>
      <c r="E563" s="215"/>
      <c r="F563" s="215"/>
      <c r="G563" s="215"/>
      <c r="H563" s="215"/>
      <c r="I563" s="215"/>
      <c r="J563" s="215"/>
      <c r="K563" s="215"/>
      <c r="L563" s="224">
        <v>0</v>
      </c>
      <c r="M563" s="224">
        <v>2215</v>
      </c>
      <c r="N563" s="151">
        <v>0</v>
      </c>
      <c r="O563" s="151">
        <v>0</v>
      </c>
      <c r="P563" s="150">
        <v>0</v>
      </c>
      <c r="Q563" s="150">
        <v>0</v>
      </c>
      <c r="R563" s="150">
        <v>0</v>
      </c>
      <c r="S563" s="150">
        <v>0</v>
      </c>
      <c r="T563" s="150">
        <v>0</v>
      </c>
    </row>
    <row r="564" spans="1:26" ht="24" customHeight="1">
      <c r="A564" s="281" t="s">
        <v>1318</v>
      </c>
      <c r="B564" s="509"/>
      <c r="C564" s="509"/>
      <c r="D564" s="281" t="s">
        <v>300</v>
      </c>
      <c r="E564" s="509"/>
      <c r="F564" s="509"/>
      <c r="G564" s="509"/>
      <c r="H564" s="509"/>
      <c r="I564" s="509"/>
      <c r="J564" s="509"/>
      <c r="K564" s="509"/>
      <c r="L564" s="226">
        <v>0</v>
      </c>
      <c r="M564" s="226">
        <v>0</v>
      </c>
      <c r="N564" s="156">
        <v>4300000</v>
      </c>
      <c r="O564" s="156">
        <v>4100000</v>
      </c>
      <c r="P564" s="155">
        <v>0</v>
      </c>
      <c r="Q564" s="155">
        <v>0</v>
      </c>
      <c r="R564" s="155">
        <v>0</v>
      </c>
      <c r="S564" s="155">
        <v>0</v>
      </c>
      <c r="T564" s="155">
        <v>0</v>
      </c>
    </row>
    <row r="565" spans="1:26" ht="24" customHeight="1">
      <c r="A565" s="281" t="s">
        <v>1379</v>
      </c>
      <c r="B565" s="586"/>
      <c r="C565" s="586"/>
      <c r="D565" s="281" t="s">
        <v>1245</v>
      </c>
      <c r="E565" s="587"/>
      <c r="F565" s="587"/>
      <c r="G565" s="587"/>
      <c r="H565" s="587"/>
      <c r="I565" s="587"/>
      <c r="J565" s="587"/>
      <c r="K565" s="587"/>
      <c r="L565" s="226">
        <v>0</v>
      </c>
      <c r="M565" s="226">
        <v>1263500</v>
      </c>
      <c r="N565" s="156">
        <v>0</v>
      </c>
      <c r="O565" s="156">
        <v>0</v>
      </c>
      <c r="P565" s="155">
        <v>0</v>
      </c>
      <c r="Q565" s="155">
        <v>0</v>
      </c>
      <c r="R565" s="155">
        <v>0</v>
      </c>
      <c r="S565" s="155">
        <v>0</v>
      </c>
      <c r="T565" s="155">
        <v>0</v>
      </c>
    </row>
    <row r="566" spans="1:26" ht="24" customHeight="1">
      <c r="A566" s="281" t="s">
        <v>1380</v>
      </c>
      <c r="B566" s="586"/>
      <c r="C566" s="586"/>
      <c r="D566" s="281" t="s">
        <v>1274</v>
      </c>
      <c r="E566" s="587"/>
      <c r="F566" s="587"/>
      <c r="G566" s="587"/>
      <c r="H566" s="587"/>
      <c r="I566" s="587"/>
      <c r="J566" s="587"/>
      <c r="K566" s="587"/>
      <c r="L566" s="226">
        <v>0</v>
      </c>
      <c r="M566" s="226">
        <v>26599</v>
      </c>
      <c r="N566" s="156">
        <v>0</v>
      </c>
      <c r="O566" s="156">
        <v>193723</v>
      </c>
      <c r="P566" s="155">
        <v>0</v>
      </c>
      <c r="Q566" s="155">
        <v>0</v>
      </c>
      <c r="R566" s="155">
        <v>0</v>
      </c>
      <c r="S566" s="155">
        <v>0</v>
      </c>
      <c r="T566" s="155">
        <v>0</v>
      </c>
    </row>
    <row r="567" spans="1:26" ht="24" customHeight="1">
      <c r="A567" s="281" t="s">
        <v>328</v>
      </c>
      <c r="B567" s="282"/>
      <c r="C567" s="282"/>
      <c r="D567" s="281" t="s">
        <v>218</v>
      </c>
      <c r="E567" s="282"/>
      <c r="F567" s="282"/>
      <c r="G567" s="282"/>
      <c r="H567" s="282"/>
      <c r="I567" s="282"/>
      <c r="J567" s="282"/>
      <c r="K567" s="282"/>
      <c r="L567" s="242">
        <v>82988</v>
      </c>
      <c r="M567" s="242">
        <v>83588</v>
      </c>
      <c r="N567" s="181">
        <v>76275</v>
      </c>
      <c r="O567" s="181">
        <f>O729</f>
        <v>76275</v>
      </c>
      <c r="P567" s="180">
        <f>P729</f>
        <v>75075</v>
      </c>
      <c r="Q567" s="180">
        <f t="shared" ref="Q567:R567" si="198">Q729</f>
        <v>73875</v>
      </c>
      <c r="R567" s="180">
        <f t="shared" si="198"/>
        <v>77675</v>
      </c>
      <c r="S567" s="180">
        <f>S729</f>
        <v>73875</v>
      </c>
      <c r="T567" s="180">
        <f>T729</f>
        <v>75125</v>
      </c>
      <c r="V567" s="152"/>
    </row>
    <row r="568" spans="1:26" ht="15" customHeight="1">
      <c r="A568" s="215"/>
      <c r="B568" s="215"/>
      <c r="C568" s="215"/>
      <c r="D568" s="215"/>
      <c r="E568" s="215"/>
      <c r="F568" s="215"/>
      <c r="G568" s="215"/>
      <c r="H568" s="215"/>
      <c r="I568" s="215"/>
      <c r="J568" s="215"/>
      <c r="K568" s="215"/>
      <c r="L568" s="231"/>
      <c r="M568" s="231"/>
      <c r="N568" s="166"/>
      <c r="O568" s="166"/>
      <c r="P568" s="165"/>
      <c r="Q568" s="165"/>
      <c r="R568" s="165"/>
      <c r="S568" s="165"/>
      <c r="T568" s="165"/>
    </row>
    <row r="569" spans="1:26" s="215" customFormat="1" ht="24" customHeight="1">
      <c r="K569" s="285" t="s">
        <v>545</v>
      </c>
      <c r="L569" s="233">
        <f>SUM(L551:L568)</f>
        <v>2587877</v>
      </c>
      <c r="M569" s="233">
        <f>SUM(M551:M568)</f>
        <v>4068790</v>
      </c>
      <c r="N569" s="234">
        <f t="shared" ref="N569" si="199">SUM(N551:N568)</f>
        <v>7673519</v>
      </c>
      <c r="O569" s="234">
        <f t="shared" ref="O569" si="200">SUM(O551:O568)</f>
        <v>7707805</v>
      </c>
      <c r="P569" s="233">
        <f t="shared" ref="P569:R569" si="201">SUM(P551:P568)</f>
        <v>3794908</v>
      </c>
      <c r="Q569" s="233">
        <f t="shared" si="201"/>
        <v>3894357</v>
      </c>
      <c r="R569" s="233">
        <f t="shared" si="201"/>
        <v>3899329</v>
      </c>
      <c r="S569" s="233">
        <f t="shared" ref="S569:T569" si="202">SUM(S551:S568)</f>
        <v>4314174</v>
      </c>
      <c r="T569" s="233">
        <f t="shared" si="202"/>
        <v>4796711</v>
      </c>
      <c r="U569" s="470"/>
    </row>
    <row r="570" spans="1:26" ht="15" customHeight="1">
      <c r="A570" s="215"/>
      <c r="B570" s="215"/>
      <c r="C570" s="215"/>
      <c r="D570" s="215"/>
      <c r="E570" s="215"/>
      <c r="F570" s="215"/>
      <c r="G570" s="215"/>
      <c r="H570" s="215"/>
      <c r="I570" s="215"/>
      <c r="J570" s="215"/>
      <c r="K570" s="215"/>
      <c r="L570" s="231"/>
      <c r="M570" s="231"/>
      <c r="N570" s="166"/>
      <c r="O570" s="166"/>
      <c r="P570" s="165"/>
      <c r="Q570" s="165"/>
      <c r="R570" s="165"/>
      <c r="S570" s="165"/>
      <c r="T570" s="165"/>
    </row>
    <row r="571" spans="1:26" ht="24" customHeight="1">
      <c r="A571" s="285" t="s">
        <v>1087</v>
      </c>
      <c r="B571" s="215"/>
      <c r="C571" s="215"/>
      <c r="D571" s="215"/>
      <c r="E571" s="215"/>
      <c r="F571" s="215"/>
      <c r="G571" s="215"/>
      <c r="H571" s="215"/>
      <c r="I571" s="215"/>
      <c r="J571" s="215"/>
      <c r="K571" s="215"/>
      <c r="L571" s="231"/>
      <c r="M571" s="231"/>
      <c r="N571" s="166"/>
      <c r="O571" s="166"/>
      <c r="P571" s="165"/>
      <c r="Q571" s="165"/>
      <c r="R571" s="165"/>
      <c r="S571" s="165"/>
      <c r="T571" s="165"/>
    </row>
    <row r="572" spans="1:26" ht="24" customHeight="1">
      <c r="A572" s="281" t="s">
        <v>329</v>
      </c>
      <c r="B572" s="282"/>
      <c r="C572" s="282"/>
      <c r="D572" s="281" t="s">
        <v>933</v>
      </c>
      <c r="E572" s="282"/>
      <c r="F572" s="282"/>
      <c r="G572" s="282"/>
      <c r="H572" s="282"/>
      <c r="I572" s="282"/>
      <c r="J572" s="282"/>
      <c r="K572" s="282"/>
      <c r="L572" s="224">
        <v>325817</v>
      </c>
      <c r="M572" s="224">
        <v>343733</v>
      </c>
      <c r="N572" s="159">
        <v>369532</v>
      </c>
      <c r="O572" s="151">
        <v>369532</v>
      </c>
      <c r="P572" s="158">
        <v>375044</v>
      </c>
      <c r="Q572" s="158">
        <v>387927</v>
      </c>
      <c r="R572" s="158">
        <v>399565</v>
      </c>
      <c r="S572" s="158">
        <v>411552</v>
      </c>
      <c r="T572" s="158">
        <v>423899</v>
      </c>
      <c r="V572" s="418"/>
      <c r="W572" s="419"/>
      <c r="X572" s="419"/>
      <c r="Y572" s="419"/>
      <c r="Z572" s="149"/>
    </row>
    <row r="573" spans="1:26" ht="24" customHeight="1">
      <c r="A573" s="281" t="s">
        <v>1198</v>
      </c>
      <c r="B573" s="422"/>
      <c r="C573" s="422"/>
      <c r="D573" s="281" t="s">
        <v>72</v>
      </c>
      <c r="E573" s="422"/>
      <c r="F573" s="422"/>
      <c r="G573" s="422"/>
      <c r="H573" s="422"/>
      <c r="I573" s="422"/>
      <c r="J573" s="422"/>
      <c r="K573" s="422"/>
      <c r="L573" s="224">
        <v>0</v>
      </c>
      <c r="M573" s="224">
        <v>2808</v>
      </c>
      <c r="N573" s="159">
        <f>5800+24000</f>
        <v>29800</v>
      </c>
      <c r="O573" s="151">
        <v>29800</v>
      </c>
      <c r="P573" s="158">
        <v>29800</v>
      </c>
      <c r="Q573" s="158">
        <v>29800</v>
      </c>
      <c r="R573" s="158">
        <v>29800</v>
      </c>
      <c r="S573" s="158">
        <v>29800</v>
      </c>
      <c r="T573" s="158">
        <v>29800</v>
      </c>
      <c r="V573" s="418"/>
      <c r="W573" s="419"/>
      <c r="X573" s="419"/>
      <c r="Y573" s="419"/>
      <c r="Z573" s="149"/>
    </row>
    <row r="574" spans="1:26" ht="24" customHeight="1">
      <c r="A574" s="281" t="s">
        <v>330</v>
      </c>
      <c r="B574" s="282"/>
      <c r="C574" s="282"/>
      <c r="D574" s="281" t="s">
        <v>14</v>
      </c>
      <c r="E574" s="282"/>
      <c r="F574" s="282"/>
      <c r="G574" s="282"/>
      <c r="H574" s="282"/>
      <c r="I574" s="282"/>
      <c r="J574" s="282"/>
      <c r="K574" s="282"/>
      <c r="L574" s="224">
        <v>13142</v>
      </c>
      <c r="M574" s="224">
        <v>7557</v>
      </c>
      <c r="N574" s="151">
        <v>12000</v>
      </c>
      <c r="O574" s="151">
        <v>12000</v>
      </c>
      <c r="P574" s="150">
        <v>12000</v>
      </c>
      <c r="Q574" s="150">
        <v>12000</v>
      </c>
      <c r="R574" s="150">
        <v>12000</v>
      </c>
      <c r="S574" s="150">
        <v>12000</v>
      </c>
      <c r="T574" s="150">
        <v>12000</v>
      </c>
      <c r="V574" s="418"/>
      <c r="W574" s="419"/>
      <c r="X574" s="419"/>
      <c r="Y574" s="419"/>
    </row>
    <row r="575" spans="1:26" ht="24" customHeight="1">
      <c r="A575" s="281" t="s">
        <v>331</v>
      </c>
      <c r="B575" s="282"/>
      <c r="C575" s="282"/>
      <c r="D575" s="281" t="s">
        <v>8</v>
      </c>
      <c r="E575" s="282"/>
      <c r="F575" s="282"/>
      <c r="G575" s="282"/>
      <c r="H575" s="282"/>
      <c r="I575" s="282"/>
      <c r="J575" s="282"/>
      <c r="K575" s="282"/>
      <c r="L575" s="224">
        <v>37447</v>
      </c>
      <c r="M575" s="224">
        <v>39878</v>
      </c>
      <c r="N575" s="151">
        <v>42446</v>
      </c>
      <c r="O575" s="151">
        <v>42446</v>
      </c>
      <c r="P575" s="158">
        <v>41801</v>
      </c>
      <c r="Q575" s="150">
        <v>43448</v>
      </c>
      <c r="R575" s="150">
        <v>46549</v>
      </c>
      <c r="S575" s="150">
        <v>49880</v>
      </c>
      <c r="T575" s="150">
        <v>53411</v>
      </c>
      <c r="V575" s="418"/>
      <c r="W575" s="419"/>
      <c r="X575" s="419"/>
      <c r="Y575" s="419"/>
    </row>
    <row r="576" spans="1:26" ht="24" customHeight="1">
      <c r="A576" s="281" t="s">
        <v>332</v>
      </c>
      <c r="B576" s="215"/>
      <c r="C576" s="215"/>
      <c r="D576" s="281" t="s">
        <v>9</v>
      </c>
      <c r="E576" s="215"/>
      <c r="F576" s="215"/>
      <c r="G576" s="215"/>
      <c r="H576" s="215"/>
      <c r="I576" s="215"/>
      <c r="J576" s="215"/>
      <c r="K576" s="215"/>
      <c r="L576" s="224">
        <v>24787</v>
      </c>
      <c r="M576" s="224">
        <v>25689</v>
      </c>
      <c r="N576" s="159">
        <v>30514</v>
      </c>
      <c r="O576" s="151">
        <v>30514</v>
      </c>
      <c r="P576" s="158">
        <v>30854</v>
      </c>
      <c r="Q576" s="158">
        <v>31914</v>
      </c>
      <c r="R576" s="158">
        <v>32871</v>
      </c>
      <c r="S576" s="158">
        <v>33857</v>
      </c>
      <c r="T576" s="158">
        <v>34873</v>
      </c>
      <c r="V576" s="418"/>
      <c r="W576" s="419"/>
      <c r="X576" s="419"/>
      <c r="Y576" s="419"/>
    </row>
    <row r="577" spans="1:27" ht="24" customHeight="1">
      <c r="A577" s="281" t="s">
        <v>591</v>
      </c>
      <c r="B577" s="215"/>
      <c r="C577" s="215"/>
      <c r="D577" s="281" t="s">
        <v>13</v>
      </c>
      <c r="E577" s="215"/>
      <c r="F577" s="215"/>
      <c r="G577" s="215"/>
      <c r="H577" s="215"/>
      <c r="I577" s="215"/>
      <c r="J577" s="215"/>
      <c r="K577" s="215"/>
      <c r="L577" s="224">
        <v>92981</v>
      </c>
      <c r="M577" s="224">
        <v>113371</v>
      </c>
      <c r="N577" s="156">
        <v>131003</v>
      </c>
      <c r="O577" s="156">
        <f>ROUND(48848.8+(7*(9484.02-1031.16))+(9*19)+17+12000,0)</f>
        <v>120207</v>
      </c>
      <c r="P577" s="158">
        <v>139623</v>
      </c>
      <c r="Q577" s="155">
        <v>150793</v>
      </c>
      <c r="R577" s="155">
        <v>162856</v>
      </c>
      <c r="S577" s="155">
        <v>175884</v>
      </c>
      <c r="T577" s="155">
        <v>189955</v>
      </c>
      <c r="V577" s="418"/>
      <c r="W577" s="419"/>
      <c r="X577" s="418"/>
      <c r="Y577" s="419"/>
      <c r="AA577" s="149"/>
    </row>
    <row r="578" spans="1:27" ht="24" customHeight="1">
      <c r="A578" s="281" t="s">
        <v>592</v>
      </c>
      <c r="B578" s="215"/>
      <c r="C578" s="215"/>
      <c r="D578" s="281" t="s">
        <v>182</v>
      </c>
      <c r="E578" s="215"/>
      <c r="F578" s="215"/>
      <c r="G578" s="215"/>
      <c r="H578" s="215"/>
      <c r="I578" s="215"/>
      <c r="J578" s="215"/>
      <c r="K578" s="215"/>
      <c r="L578" s="224">
        <v>675</v>
      </c>
      <c r="M578" s="224">
        <v>701</v>
      </c>
      <c r="N578" s="156">
        <v>708</v>
      </c>
      <c r="O578" s="156">
        <f>ROUND(279.68+(8*(85.31-20.52)),0)</f>
        <v>798</v>
      </c>
      <c r="P578" s="158">
        <v>705</v>
      </c>
      <c r="Q578" s="155">
        <v>705</v>
      </c>
      <c r="R578" s="155">
        <v>712</v>
      </c>
      <c r="S578" s="155">
        <v>719</v>
      </c>
      <c r="T578" s="155">
        <v>726</v>
      </c>
      <c r="V578" s="418"/>
      <c r="W578" s="419"/>
      <c r="X578" s="418"/>
      <c r="Y578" s="419"/>
      <c r="AA578" s="149"/>
    </row>
    <row r="579" spans="1:27" ht="24" customHeight="1">
      <c r="A579" s="281" t="s">
        <v>593</v>
      </c>
      <c r="B579" s="215"/>
      <c r="C579" s="215"/>
      <c r="D579" s="281" t="s">
        <v>600</v>
      </c>
      <c r="E579" s="215"/>
      <c r="F579" s="215"/>
      <c r="G579" s="215"/>
      <c r="H579" s="215"/>
      <c r="I579" s="215"/>
      <c r="J579" s="215"/>
      <c r="K579" s="215"/>
      <c r="L579" s="224">
        <v>5516</v>
      </c>
      <c r="M579" s="224">
        <v>7130</v>
      </c>
      <c r="N579" s="156">
        <v>8117</v>
      </c>
      <c r="O579" s="156">
        <f>ROUND(2963.2+(8*740.8),0)</f>
        <v>8890</v>
      </c>
      <c r="P579" s="158">
        <v>9757</v>
      </c>
      <c r="Q579" s="155">
        <v>10245</v>
      </c>
      <c r="R579" s="155">
        <v>10757</v>
      </c>
      <c r="S579" s="155">
        <v>11295</v>
      </c>
      <c r="T579" s="155">
        <v>11860</v>
      </c>
      <c r="V579" s="418"/>
      <c r="W579" s="419"/>
      <c r="X579" s="418"/>
      <c r="Y579" s="419"/>
      <c r="AA579" s="149"/>
    </row>
    <row r="580" spans="1:27" ht="24" customHeight="1">
      <c r="A580" s="281" t="s">
        <v>607</v>
      </c>
      <c r="B580" s="215"/>
      <c r="C580" s="215"/>
      <c r="D580" s="281" t="s">
        <v>602</v>
      </c>
      <c r="E580" s="215"/>
      <c r="F580" s="215"/>
      <c r="G580" s="215"/>
      <c r="H580" s="215"/>
      <c r="I580" s="215"/>
      <c r="J580" s="215"/>
      <c r="K580" s="215"/>
      <c r="L580" s="224">
        <v>729</v>
      </c>
      <c r="M580" s="224">
        <v>793</v>
      </c>
      <c r="N580" s="156">
        <v>861</v>
      </c>
      <c r="O580" s="156">
        <f>ROUND(377+(8*94.25),0)</f>
        <v>1131</v>
      </c>
      <c r="P580" s="158">
        <v>1131</v>
      </c>
      <c r="Q580" s="155">
        <v>1165</v>
      </c>
      <c r="R580" s="155">
        <v>1200</v>
      </c>
      <c r="S580" s="155">
        <v>1236</v>
      </c>
      <c r="T580" s="155">
        <v>1273</v>
      </c>
      <c r="V580" s="418"/>
      <c r="W580" s="419"/>
      <c r="X580" s="418"/>
      <c r="Y580" s="419"/>
      <c r="AA580" s="149"/>
    </row>
    <row r="581" spans="1:27" ht="24" customHeight="1">
      <c r="A581" s="281" t="s">
        <v>574</v>
      </c>
      <c r="B581" s="215"/>
      <c r="C581" s="215"/>
      <c r="D581" s="281" t="s">
        <v>181</v>
      </c>
      <c r="E581" s="215"/>
      <c r="F581" s="215"/>
      <c r="G581" s="215"/>
      <c r="H581" s="215"/>
      <c r="I581" s="215"/>
      <c r="J581" s="215"/>
      <c r="K581" s="215"/>
      <c r="L581" s="224">
        <v>574</v>
      </c>
      <c r="M581" s="224">
        <v>716</v>
      </c>
      <c r="N581" s="151">
        <v>2000</v>
      </c>
      <c r="O581" s="151">
        <v>1000</v>
      </c>
      <c r="P581" s="150">
        <v>2000</v>
      </c>
      <c r="Q581" s="150">
        <v>2000</v>
      </c>
      <c r="R581" s="150">
        <v>2000</v>
      </c>
      <c r="S581" s="150">
        <v>2000</v>
      </c>
      <c r="T581" s="150">
        <v>2000</v>
      </c>
    </row>
    <row r="582" spans="1:27" ht="24" customHeight="1">
      <c r="A582" s="281" t="s">
        <v>572</v>
      </c>
      <c r="B582" s="215"/>
      <c r="C582" s="215"/>
      <c r="D582" s="281" t="s">
        <v>239</v>
      </c>
      <c r="E582" s="215"/>
      <c r="F582" s="215"/>
      <c r="G582" s="215"/>
      <c r="H582" s="215"/>
      <c r="I582" s="215"/>
      <c r="J582" s="215"/>
      <c r="K582" s="215"/>
      <c r="L582" s="224">
        <v>23060</v>
      </c>
      <c r="M582" s="224">
        <v>22752</v>
      </c>
      <c r="N582" s="151">
        <v>24380</v>
      </c>
      <c r="O582" s="151">
        <f>23558+1557</f>
        <v>25115</v>
      </c>
      <c r="P582" s="150">
        <f>ROUND(O582*1.06,0)</f>
        <v>26622</v>
      </c>
      <c r="Q582" s="150">
        <f>ROUND(P582*1.06,0)</f>
        <v>28219</v>
      </c>
      <c r="R582" s="150">
        <f>ROUND(Q582*1.06,0)</f>
        <v>29912</v>
      </c>
      <c r="S582" s="150">
        <f>ROUND(R582*1.06,0)</f>
        <v>31707</v>
      </c>
      <c r="T582" s="150">
        <f>ROUND(S582*1.06,0)</f>
        <v>33609</v>
      </c>
      <c r="V582" s="418"/>
      <c r="W582" s="419"/>
      <c r="X582" s="727"/>
    </row>
    <row r="583" spans="1:27" ht="24" customHeight="1">
      <c r="A583" s="281" t="s">
        <v>1282</v>
      </c>
      <c r="B583" s="476"/>
      <c r="C583" s="476"/>
      <c r="D583" s="476" t="s">
        <v>1247</v>
      </c>
      <c r="E583" s="476"/>
      <c r="F583" s="476"/>
      <c r="G583" s="476"/>
      <c r="H583" s="476"/>
      <c r="I583" s="476"/>
      <c r="J583" s="476"/>
      <c r="K583" s="476"/>
      <c r="L583" s="224">
        <v>0</v>
      </c>
      <c r="M583" s="224">
        <v>24378</v>
      </c>
      <c r="N583" s="187">
        <v>50000</v>
      </c>
      <c r="O583" s="151">
        <v>40456</v>
      </c>
      <c r="P583" s="179">
        <v>0</v>
      </c>
      <c r="Q583" s="150">
        <f t="shared" ref="P583:R584" si="203">Q551</f>
        <v>0</v>
      </c>
      <c r="R583" s="150">
        <f t="shared" si="203"/>
        <v>0</v>
      </c>
      <c r="S583" s="150">
        <f t="shared" ref="S583:T584" si="204">S551</f>
        <v>0</v>
      </c>
      <c r="T583" s="150">
        <f t="shared" si="204"/>
        <v>0</v>
      </c>
      <c r="V583" s="149"/>
    </row>
    <row r="584" spans="1:27" ht="24" customHeight="1">
      <c r="A584" s="281" t="s">
        <v>891</v>
      </c>
      <c r="B584" s="215"/>
      <c r="C584" s="215"/>
      <c r="D584" s="215" t="s">
        <v>888</v>
      </c>
      <c r="E584" s="215"/>
      <c r="F584" s="215"/>
      <c r="G584" s="215"/>
      <c r="H584" s="215"/>
      <c r="I584" s="215"/>
      <c r="J584" s="215"/>
      <c r="K584" s="215"/>
      <c r="L584" s="224">
        <v>84544</v>
      </c>
      <c r="M584" s="224">
        <v>112323</v>
      </c>
      <c r="N584" s="151">
        <f t="shared" ref="N584" si="205">N552</f>
        <v>0</v>
      </c>
      <c r="O584" s="151">
        <v>0</v>
      </c>
      <c r="P584" s="150">
        <f t="shared" si="203"/>
        <v>0</v>
      </c>
      <c r="Q584" s="150">
        <f t="shared" si="203"/>
        <v>0</v>
      </c>
      <c r="R584" s="150">
        <f t="shared" si="203"/>
        <v>0</v>
      </c>
      <c r="S584" s="150">
        <f t="shared" si="204"/>
        <v>0</v>
      </c>
      <c r="T584" s="150">
        <f t="shared" si="204"/>
        <v>0</v>
      </c>
      <c r="V584" s="149"/>
    </row>
    <row r="585" spans="1:27" ht="24" customHeight="1">
      <c r="A585" s="281" t="s">
        <v>333</v>
      </c>
      <c r="B585" s="282"/>
      <c r="C585" s="282"/>
      <c r="D585" s="665" t="s">
        <v>95</v>
      </c>
      <c r="E585" s="664"/>
      <c r="F585" s="664"/>
      <c r="G585" s="664"/>
      <c r="H585" s="664"/>
      <c r="I585" s="664"/>
      <c r="J585" s="664"/>
      <c r="K585" s="664"/>
      <c r="L585" s="224">
        <v>3044</v>
      </c>
      <c r="M585" s="224">
        <v>2305</v>
      </c>
      <c r="N585" s="151">
        <f>3000+800+(4*500)</f>
        <v>5800</v>
      </c>
      <c r="O585" s="151">
        <v>5800</v>
      </c>
      <c r="P585" s="147">
        <v>6500</v>
      </c>
      <c r="Q585" s="147">
        <v>6500</v>
      </c>
      <c r="R585" s="147">
        <v>6500</v>
      </c>
      <c r="S585" s="147">
        <v>6500</v>
      </c>
      <c r="T585" s="147">
        <v>6500</v>
      </c>
    </row>
    <row r="586" spans="1:27" ht="24" customHeight="1">
      <c r="A586" s="281" t="s">
        <v>334</v>
      </c>
      <c r="B586" s="215"/>
      <c r="C586" s="215"/>
      <c r="D586" s="281" t="s">
        <v>1075</v>
      </c>
      <c r="E586" s="215"/>
      <c r="F586" s="215"/>
      <c r="G586" s="282"/>
      <c r="H586" s="282"/>
      <c r="I586" s="282"/>
      <c r="J586" s="282"/>
      <c r="K586" s="282"/>
      <c r="L586" s="224">
        <v>528</v>
      </c>
      <c r="M586" s="224">
        <v>942</v>
      </c>
      <c r="N586" s="151">
        <v>1600</v>
      </c>
      <c r="O586" s="151">
        <v>1600</v>
      </c>
      <c r="P586" s="150">
        <v>1600</v>
      </c>
      <c r="Q586" s="150">
        <v>1600</v>
      </c>
      <c r="R586" s="150">
        <v>1600</v>
      </c>
      <c r="S586" s="150">
        <v>1600</v>
      </c>
      <c r="T586" s="150">
        <v>1600</v>
      </c>
    </row>
    <row r="587" spans="1:27" ht="24" customHeight="1">
      <c r="A587" s="281" t="s">
        <v>335</v>
      </c>
      <c r="B587" s="215"/>
      <c r="C587" s="215"/>
      <c r="D587" s="281" t="s">
        <v>94</v>
      </c>
      <c r="E587" s="362"/>
      <c r="F587" s="362"/>
      <c r="G587" s="361"/>
      <c r="H587" s="361"/>
      <c r="I587" s="361"/>
      <c r="J587" s="361"/>
      <c r="K587" s="361"/>
      <c r="L587" s="224">
        <v>787</v>
      </c>
      <c r="M587" s="224">
        <v>148</v>
      </c>
      <c r="N587" s="151">
        <v>1000</v>
      </c>
      <c r="O587" s="151">
        <v>1000</v>
      </c>
      <c r="P587" s="150">
        <v>1000</v>
      </c>
      <c r="Q587" s="150">
        <v>1000</v>
      </c>
      <c r="R587" s="150">
        <v>1000</v>
      </c>
      <c r="S587" s="150">
        <v>1000</v>
      </c>
      <c r="T587" s="150">
        <v>1000</v>
      </c>
    </row>
    <row r="588" spans="1:27" ht="24" customHeight="1">
      <c r="A588" s="281" t="s">
        <v>336</v>
      </c>
      <c r="B588" s="215"/>
      <c r="C588" s="215"/>
      <c r="D588" s="281" t="s">
        <v>337</v>
      </c>
      <c r="E588" s="215"/>
      <c r="F588" s="215"/>
      <c r="G588" s="282"/>
      <c r="H588" s="282"/>
      <c r="I588" s="282"/>
      <c r="J588" s="282"/>
      <c r="K588" s="282"/>
      <c r="L588" s="222">
        <v>11340</v>
      </c>
      <c r="M588" s="222">
        <v>9823</v>
      </c>
      <c r="N588" s="148">
        <v>14000</v>
      </c>
      <c r="O588" s="148">
        <v>14000</v>
      </c>
      <c r="P588" s="147">
        <v>14000</v>
      </c>
      <c r="Q588" s="147">
        <v>14000</v>
      </c>
      <c r="R588" s="147">
        <v>14000</v>
      </c>
      <c r="S588" s="147">
        <v>14000</v>
      </c>
      <c r="T588" s="147">
        <v>14000</v>
      </c>
    </row>
    <row r="589" spans="1:27" ht="24" customHeight="1">
      <c r="A589" s="281" t="s">
        <v>338</v>
      </c>
      <c r="B589" s="215"/>
      <c r="C589" s="215"/>
      <c r="D589" s="281" t="s">
        <v>1076</v>
      </c>
      <c r="E589" s="215"/>
      <c r="F589" s="215"/>
      <c r="G589" s="282"/>
      <c r="H589" s="282"/>
      <c r="I589" s="282"/>
      <c r="J589" s="282"/>
      <c r="K589" s="282"/>
      <c r="L589" s="224">
        <v>61</v>
      </c>
      <c r="M589" s="224">
        <v>112</v>
      </c>
      <c r="N589" s="151">
        <f>2500+800</f>
        <v>3300</v>
      </c>
      <c r="O589" s="151">
        <v>3300</v>
      </c>
      <c r="P589" s="150">
        <f>2500+800</f>
        <v>3300</v>
      </c>
      <c r="Q589" s="150">
        <f t="shared" ref="Q589:T589" si="206">2500+800</f>
        <v>3300</v>
      </c>
      <c r="R589" s="150">
        <f t="shared" si="206"/>
        <v>3300</v>
      </c>
      <c r="S589" s="150">
        <f t="shared" si="206"/>
        <v>3300</v>
      </c>
      <c r="T589" s="150">
        <f t="shared" si="206"/>
        <v>3300</v>
      </c>
    </row>
    <row r="590" spans="1:27" ht="24" customHeight="1">
      <c r="A590" s="281" t="s">
        <v>339</v>
      </c>
      <c r="B590" s="215"/>
      <c r="C590" s="215"/>
      <c r="D590" s="281" t="s">
        <v>234</v>
      </c>
      <c r="E590" s="215"/>
      <c r="F590" s="282"/>
      <c r="G590" s="215"/>
      <c r="H590" s="215"/>
      <c r="I590" s="215"/>
      <c r="J590" s="215"/>
      <c r="K590" s="215"/>
      <c r="L590" s="224">
        <v>20065</v>
      </c>
      <c r="M590" s="224">
        <v>20221</v>
      </c>
      <c r="N590" s="151">
        <f t="shared" ref="N590:T590" si="207">22000+2500</f>
        <v>24500</v>
      </c>
      <c r="O590" s="151">
        <v>24500</v>
      </c>
      <c r="P590" s="150">
        <f t="shared" si="207"/>
        <v>24500</v>
      </c>
      <c r="Q590" s="150">
        <f t="shared" si="207"/>
        <v>24500</v>
      </c>
      <c r="R590" s="150">
        <f t="shared" si="207"/>
        <v>24500</v>
      </c>
      <c r="S590" s="150">
        <f t="shared" si="207"/>
        <v>24500</v>
      </c>
      <c r="T590" s="150">
        <f t="shared" si="207"/>
        <v>24500</v>
      </c>
      <c r="V590" s="149"/>
    </row>
    <row r="591" spans="1:27" ht="24" customHeight="1">
      <c r="A591" s="281" t="s">
        <v>726</v>
      </c>
      <c r="B591" s="215"/>
      <c r="C591" s="215"/>
      <c r="D591" s="281" t="s">
        <v>727</v>
      </c>
      <c r="E591" s="215"/>
      <c r="F591" s="282"/>
      <c r="G591" s="215"/>
      <c r="H591" s="215"/>
      <c r="I591" s="215"/>
      <c r="J591" s="215"/>
      <c r="K591" s="215"/>
      <c r="L591" s="224">
        <v>119912</v>
      </c>
      <c r="M591" s="224">
        <v>108905</v>
      </c>
      <c r="N591" s="151">
        <f>110000+2000</f>
        <v>112000</v>
      </c>
      <c r="O591" s="151">
        <v>112000</v>
      </c>
      <c r="P591" s="150">
        <f>110000+2000</f>
        <v>112000</v>
      </c>
      <c r="Q591" s="150">
        <f t="shared" ref="Q591:T591" si="208">110000+2000</f>
        <v>112000</v>
      </c>
      <c r="R591" s="150">
        <f t="shared" si="208"/>
        <v>112000</v>
      </c>
      <c r="S591" s="150">
        <f t="shared" si="208"/>
        <v>112000</v>
      </c>
      <c r="T591" s="150">
        <f t="shared" si="208"/>
        <v>112000</v>
      </c>
    </row>
    <row r="592" spans="1:27" ht="24" customHeight="1">
      <c r="A592" s="281" t="s">
        <v>709</v>
      </c>
      <c r="B592" s="215"/>
      <c r="C592" s="215"/>
      <c r="D592" s="281" t="s">
        <v>49</v>
      </c>
      <c r="E592" s="215"/>
      <c r="F592" s="282"/>
      <c r="G592" s="215"/>
      <c r="H592" s="215"/>
      <c r="I592" s="215"/>
      <c r="J592" s="215"/>
      <c r="K592" s="215"/>
      <c r="L592" s="224">
        <v>5831</v>
      </c>
      <c r="M592" s="224">
        <v>4253</v>
      </c>
      <c r="N592" s="151">
        <v>6500</v>
      </c>
      <c r="O592" s="151">
        <v>6500</v>
      </c>
      <c r="P592" s="150">
        <v>6500</v>
      </c>
      <c r="Q592" s="150">
        <v>6500</v>
      </c>
      <c r="R592" s="150">
        <v>6500</v>
      </c>
      <c r="S592" s="150">
        <v>6500</v>
      </c>
      <c r="T592" s="150">
        <v>6500</v>
      </c>
    </row>
    <row r="593" spans="1:27" ht="24" customHeight="1">
      <c r="A593" s="281" t="s">
        <v>340</v>
      </c>
      <c r="B593" s="282"/>
      <c r="C593" s="282"/>
      <c r="D593" s="281" t="s">
        <v>93</v>
      </c>
      <c r="E593" s="282"/>
      <c r="F593" s="282"/>
      <c r="G593" s="215"/>
      <c r="H593" s="215"/>
      <c r="I593" s="215"/>
      <c r="J593" s="215"/>
      <c r="K593" s="215"/>
      <c r="L593" s="222">
        <v>16276</v>
      </c>
      <c r="M593" s="222">
        <v>17953</v>
      </c>
      <c r="N593" s="148">
        <v>19000</v>
      </c>
      <c r="O593" s="148">
        <v>19000</v>
      </c>
      <c r="P593" s="147">
        <v>19000</v>
      </c>
      <c r="Q593" s="147">
        <v>19000</v>
      </c>
      <c r="R593" s="147">
        <v>19000</v>
      </c>
      <c r="S593" s="147">
        <v>19000</v>
      </c>
      <c r="T593" s="147">
        <v>19000</v>
      </c>
    </row>
    <row r="594" spans="1:27" ht="24" customHeight="1">
      <c r="A594" s="281" t="s">
        <v>341</v>
      </c>
      <c r="B594" s="215"/>
      <c r="C594" s="215"/>
      <c r="D594" s="281" t="s">
        <v>1077</v>
      </c>
      <c r="E594" s="215"/>
      <c r="F594" s="215"/>
      <c r="G594" s="215"/>
      <c r="H594" s="215"/>
      <c r="I594" s="215"/>
      <c r="J594" s="215"/>
      <c r="K594" s="215"/>
      <c r="L594" s="224">
        <v>1568</v>
      </c>
      <c r="M594" s="224">
        <v>978</v>
      </c>
      <c r="N594" s="151">
        <v>1600</v>
      </c>
      <c r="O594" s="151">
        <v>1600</v>
      </c>
      <c r="P594" s="150">
        <v>1600</v>
      </c>
      <c r="Q594" s="150">
        <v>1600</v>
      </c>
      <c r="R594" s="150">
        <v>1600</v>
      </c>
      <c r="S594" s="150">
        <v>1600</v>
      </c>
      <c r="T594" s="150">
        <v>1600</v>
      </c>
    </row>
    <row r="595" spans="1:27" ht="24" customHeight="1">
      <c r="A595" s="281" t="s">
        <v>342</v>
      </c>
      <c r="B595" s="215"/>
      <c r="C595" s="215"/>
      <c r="D595" s="281" t="s">
        <v>10</v>
      </c>
      <c r="E595" s="561"/>
      <c r="F595" s="561"/>
      <c r="G595" s="560"/>
      <c r="H595" s="560"/>
      <c r="I595" s="560"/>
      <c r="J595" s="560"/>
      <c r="K595" s="560"/>
      <c r="L595" s="222">
        <f>40507-L603</f>
        <v>21047</v>
      </c>
      <c r="M595" s="222">
        <v>20343</v>
      </c>
      <c r="N595" s="148">
        <v>21500</v>
      </c>
      <c r="O595" s="148">
        <v>21500</v>
      </c>
      <c r="P595" s="147">
        <v>21500</v>
      </c>
      <c r="Q595" s="147">
        <v>21500</v>
      </c>
      <c r="R595" s="147">
        <v>21500</v>
      </c>
      <c r="S595" s="147">
        <v>21500</v>
      </c>
      <c r="T595" s="147">
        <v>21500</v>
      </c>
    </row>
    <row r="596" spans="1:27" ht="24" customHeight="1">
      <c r="A596" s="281" t="s">
        <v>1295</v>
      </c>
      <c r="B596" s="493"/>
      <c r="C596" s="493"/>
      <c r="D596" s="281" t="s">
        <v>260</v>
      </c>
      <c r="E596" s="533"/>
      <c r="F596" s="533"/>
      <c r="G596" s="532"/>
      <c r="H596" s="532"/>
      <c r="I596" s="532"/>
      <c r="J596" s="532"/>
      <c r="K596" s="532"/>
      <c r="L596" s="222">
        <v>0</v>
      </c>
      <c r="M596" s="222">
        <v>0</v>
      </c>
      <c r="N596" s="148">
        <v>250000</v>
      </c>
      <c r="O596" s="148">
        <v>234800</v>
      </c>
      <c r="P596" s="147">
        <v>0</v>
      </c>
      <c r="Q596" s="147">
        <v>0</v>
      </c>
      <c r="R596" s="147">
        <v>0</v>
      </c>
      <c r="S596" s="147">
        <v>0</v>
      </c>
      <c r="T596" s="147">
        <v>0</v>
      </c>
    </row>
    <row r="597" spans="1:27" ht="24" customHeight="1">
      <c r="A597" s="281" t="s">
        <v>343</v>
      </c>
      <c r="B597" s="215"/>
      <c r="C597" s="215"/>
      <c r="D597" s="281" t="s">
        <v>134</v>
      </c>
      <c r="E597" s="215"/>
      <c r="F597" s="215"/>
      <c r="G597" s="282"/>
      <c r="H597" s="282"/>
      <c r="I597" s="282"/>
      <c r="J597" s="282"/>
      <c r="K597" s="282"/>
      <c r="L597" s="224">
        <v>0</v>
      </c>
      <c r="M597" s="224">
        <v>0</v>
      </c>
      <c r="N597" s="151">
        <v>2000</v>
      </c>
      <c r="O597" s="151">
        <v>2000</v>
      </c>
      <c r="P597" s="150">
        <v>2000</v>
      </c>
      <c r="Q597" s="150">
        <v>2000</v>
      </c>
      <c r="R597" s="150">
        <v>2000</v>
      </c>
      <c r="S597" s="150">
        <v>2000</v>
      </c>
      <c r="T597" s="150">
        <v>2000</v>
      </c>
    </row>
    <row r="598" spans="1:27" ht="24" customHeight="1">
      <c r="A598" s="281" t="s">
        <v>344</v>
      </c>
      <c r="B598" s="282"/>
      <c r="C598" s="282"/>
      <c r="D598" s="281" t="s">
        <v>17</v>
      </c>
      <c r="E598" s="354"/>
      <c r="F598" s="354"/>
      <c r="G598" s="354"/>
      <c r="H598" s="354"/>
      <c r="I598" s="354"/>
      <c r="J598" s="354"/>
      <c r="K598" s="354"/>
      <c r="L598" s="225">
        <v>218196</v>
      </c>
      <c r="M598" s="225">
        <v>245641</v>
      </c>
      <c r="N598" s="151">
        <v>264275</v>
      </c>
      <c r="O598" s="157">
        <v>264275</v>
      </c>
      <c r="P598" s="150">
        <f>ROUND(O598*1.06,0)</f>
        <v>280132</v>
      </c>
      <c r="Q598" s="150">
        <f t="shared" ref="Q598:T598" si="209">ROUND(P598*1.06,0)</f>
        <v>296940</v>
      </c>
      <c r="R598" s="150">
        <f t="shared" si="209"/>
        <v>314756</v>
      </c>
      <c r="S598" s="150">
        <f t="shared" si="209"/>
        <v>333641</v>
      </c>
      <c r="T598" s="150">
        <f t="shared" si="209"/>
        <v>353659</v>
      </c>
      <c r="V598" s="152"/>
    </row>
    <row r="599" spans="1:27" ht="24" customHeight="1">
      <c r="A599" s="281" t="s">
        <v>345</v>
      </c>
      <c r="B599" s="215"/>
      <c r="C599" s="215"/>
      <c r="D599" s="281" t="s">
        <v>346</v>
      </c>
      <c r="E599" s="362"/>
      <c r="F599" s="362"/>
      <c r="G599" s="362"/>
      <c r="H599" s="362"/>
      <c r="I599" s="362"/>
      <c r="J599" s="362"/>
      <c r="K599" s="362"/>
      <c r="L599" s="245">
        <f>5488-L614</f>
        <v>4520</v>
      </c>
      <c r="M599" s="245">
        <v>4570</v>
      </c>
      <c r="N599" s="186">
        <v>4500</v>
      </c>
      <c r="O599" s="186">
        <v>4500</v>
      </c>
      <c r="P599" s="185">
        <v>5000</v>
      </c>
      <c r="Q599" s="185">
        <v>5000</v>
      </c>
      <c r="R599" s="185">
        <v>5000</v>
      </c>
      <c r="S599" s="185">
        <v>5000</v>
      </c>
      <c r="T599" s="185">
        <v>5000</v>
      </c>
      <c r="V599" s="149"/>
    </row>
    <row r="600" spans="1:27" ht="24" customHeight="1">
      <c r="A600" s="281" t="s">
        <v>347</v>
      </c>
      <c r="B600" s="282"/>
      <c r="C600" s="282"/>
      <c r="D600" s="281" t="s">
        <v>90</v>
      </c>
      <c r="E600" s="282"/>
      <c r="F600" s="282"/>
      <c r="G600" s="215"/>
      <c r="H600" s="215"/>
      <c r="I600" s="215"/>
      <c r="J600" s="215"/>
      <c r="K600" s="215"/>
      <c r="L600" s="245">
        <v>504</v>
      </c>
      <c r="M600" s="245">
        <v>504</v>
      </c>
      <c r="N600" s="186">
        <v>1000</v>
      </c>
      <c r="O600" s="186">
        <v>1000</v>
      </c>
      <c r="P600" s="185">
        <v>1000</v>
      </c>
      <c r="Q600" s="185">
        <v>1000</v>
      </c>
      <c r="R600" s="185">
        <v>1000</v>
      </c>
      <c r="S600" s="185">
        <v>1000</v>
      </c>
      <c r="T600" s="185">
        <v>1000</v>
      </c>
    </row>
    <row r="601" spans="1:27" ht="24" customHeight="1">
      <c r="A601" s="281" t="s">
        <v>1358</v>
      </c>
      <c r="B601" s="284"/>
      <c r="C601" s="284"/>
      <c r="D601" s="281" t="s">
        <v>1354</v>
      </c>
      <c r="E601" s="284"/>
      <c r="F601" s="284"/>
      <c r="G601" s="284"/>
      <c r="H601" s="284"/>
      <c r="I601" s="284"/>
      <c r="J601" s="284"/>
      <c r="K601" s="284"/>
      <c r="L601" s="225">
        <v>0</v>
      </c>
      <c r="M601" s="225">
        <v>16036</v>
      </c>
      <c r="N601" s="157">
        <v>0</v>
      </c>
      <c r="O601" s="157">
        <v>0</v>
      </c>
      <c r="P601" s="154">
        <v>0</v>
      </c>
      <c r="Q601" s="154">
        <v>0</v>
      </c>
      <c r="R601" s="154">
        <v>0</v>
      </c>
      <c r="S601" s="154">
        <v>0</v>
      </c>
      <c r="T601" s="154">
        <v>0</v>
      </c>
    </row>
    <row r="602" spans="1:27" ht="24" customHeight="1">
      <c r="A602" s="281" t="s">
        <v>1001</v>
      </c>
      <c r="B602" s="282"/>
      <c r="C602" s="282"/>
      <c r="D602" s="281" t="s">
        <v>998</v>
      </c>
      <c r="E602" s="282"/>
      <c r="F602" s="282"/>
      <c r="G602" s="282"/>
      <c r="H602" s="282"/>
      <c r="I602" s="282"/>
      <c r="J602" s="282"/>
      <c r="K602" s="282"/>
      <c r="L602" s="241">
        <v>3181</v>
      </c>
      <c r="M602" s="241">
        <v>7077</v>
      </c>
      <c r="N602" s="187">
        <v>7500</v>
      </c>
      <c r="O602" s="187">
        <v>7500</v>
      </c>
      <c r="P602" s="179">
        <v>15000</v>
      </c>
      <c r="Q602" s="179">
        <v>15000</v>
      </c>
      <c r="R602" s="179">
        <v>15000</v>
      </c>
      <c r="S602" s="179">
        <v>15000</v>
      </c>
      <c r="T602" s="179">
        <v>15000</v>
      </c>
      <c r="V602" s="149"/>
    </row>
    <row r="603" spans="1:27" ht="24" customHeight="1">
      <c r="A603" s="281" t="s">
        <v>1104</v>
      </c>
      <c r="B603" s="349"/>
      <c r="C603" s="349"/>
      <c r="D603" s="281" t="s">
        <v>1103</v>
      </c>
      <c r="E603" s="361"/>
      <c r="F603" s="361"/>
      <c r="G603" s="361"/>
      <c r="H603" s="361"/>
      <c r="I603" s="361"/>
      <c r="J603" s="361"/>
      <c r="K603" s="361"/>
      <c r="L603" s="241">
        <f>3700+2500+1724+375+675+315+1238+450+3790+4693</f>
        <v>19460</v>
      </c>
      <c r="M603" s="241">
        <v>3380</v>
      </c>
      <c r="N603" s="187">
        <f>4000+10000</f>
        <v>14000</v>
      </c>
      <c r="O603" s="187">
        <v>14000</v>
      </c>
      <c r="P603" s="179">
        <f>4000+10000+5000</f>
        <v>19000</v>
      </c>
      <c r="Q603" s="179">
        <f t="shared" ref="Q603:T603" si="210">4000+10000+5000</f>
        <v>19000</v>
      </c>
      <c r="R603" s="179">
        <f t="shared" si="210"/>
        <v>19000</v>
      </c>
      <c r="S603" s="179">
        <f t="shared" si="210"/>
        <v>19000</v>
      </c>
      <c r="T603" s="179">
        <f t="shared" si="210"/>
        <v>19000</v>
      </c>
      <c r="V603" s="149"/>
    </row>
    <row r="604" spans="1:27" ht="24" customHeight="1">
      <c r="A604" s="281" t="s">
        <v>706</v>
      </c>
      <c r="B604" s="282"/>
      <c r="C604" s="282"/>
      <c r="D604" s="281" t="s">
        <v>312</v>
      </c>
      <c r="E604" s="474"/>
      <c r="F604" s="474"/>
      <c r="G604" s="474"/>
      <c r="H604" s="474"/>
      <c r="I604" s="474"/>
      <c r="J604" s="474"/>
      <c r="K604" s="474"/>
      <c r="L604" s="241">
        <v>1338</v>
      </c>
      <c r="M604" s="241">
        <v>2354</v>
      </c>
      <c r="N604" s="187">
        <v>2295</v>
      </c>
      <c r="O604" s="187">
        <v>2295</v>
      </c>
      <c r="P604" s="179">
        <v>2295</v>
      </c>
      <c r="Q604" s="179">
        <v>2295</v>
      </c>
      <c r="R604" s="179">
        <v>2295</v>
      </c>
      <c r="S604" s="179">
        <v>2295</v>
      </c>
      <c r="T604" s="179">
        <f>2295-590</f>
        <v>1705</v>
      </c>
    </row>
    <row r="605" spans="1:27" ht="24" customHeight="1">
      <c r="A605" s="281" t="s">
        <v>348</v>
      </c>
      <c r="B605" s="461"/>
      <c r="C605" s="461"/>
      <c r="D605" s="281" t="s">
        <v>18</v>
      </c>
      <c r="E605" s="461"/>
      <c r="F605" s="461"/>
      <c r="G605" s="282"/>
      <c r="H605" s="282"/>
      <c r="I605" s="282"/>
      <c r="J605" s="282"/>
      <c r="K605" s="282"/>
      <c r="L605" s="241">
        <v>7973</v>
      </c>
      <c r="M605" s="241">
        <v>6893</v>
      </c>
      <c r="N605" s="187">
        <v>10000</v>
      </c>
      <c r="O605" s="187">
        <v>8000</v>
      </c>
      <c r="P605" s="179">
        <v>9000</v>
      </c>
      <c r="Q605" s="179">
        <v>9000</v>
      </c>
      <c r="R605" s="179">
        <v>9000</v>
      </c>
      <c r="S605" s="179">
        <v>9000</v>
      </c>
      <c r="T605" s="179">
        <v>9000</v>
      </c>
    </row>
    <row r="606" spans="1:27" ht="24" customHeight="1">
      <c r="A606" s="281" t="s">
        <v>349</v>
      </c>
      <c r="B606" s="282"/>
      <c r="C606" s="282"/>
      <c r="D606" s="281" t="s">
        <v>100</v>
      </c>
      <c r="E606" s="282"/>
      <c r="F606" s="282"/>
      <c r="G606" s="282"/>
      <c r="H606" s="282"/>
      <c r="I606" s="282"/>
      <c r="J606" s="282"/>
      <c r="K606" s="282"/>
      <c r="L606" s="225">
        <v>3340</v>
      </c>
      <c r="M606" s="225">
        <v>3434</v>
      </c>
      <c r="N606" s="148">
        <v>4200</v>
      </c>
      <c r="O606" s="157">
        <v>4200</v>
      </c>
      <c r="P606" s="147">
        <f>ROUND(O606*1.05,0)</f>
        <v>4410</v>
      </c>
      <c r="Q606" s="147">
        <f>ROUND(P606*1.05,0)</f>
        <v>4631</v>
      </c>
      <c r="R606" s="147">
        <f t="shared" ref="R606:T606" si="211">ROUND(Q606*1.05,0)</f>
        <v>4863</v>
      </c>
      <c r="S606" s="147">
        <f t="shared" si="211"/>
        <v>5106</v>
      </c>
      <c r="T606" s="147">
        <f t="shared" si="211"/>
        <v>5361</v>
      </c>
    </row>
    <row r="607" spans="1:27" ht="24" customHeight="1">
      <c r="A607" s="281" t="s">
        <v>350</v>
      </c>
      <c r="B607" s="282"/>
      <c r="C607" s="282"/>
      <c r="D607" s="281" t="s">
        <v>12</v>
      </c>
      <c r="E607" s="361"/>
      <c r="F607" s="361"/>
      <c r="G607" s="361"/>
      <c r="H607" s="361"/>
      <c r="I607" s="361"/>
      <c r="J607" s="361"/>
      <c r="K607" s="361"/>
      <c r="L607" s="224">
        <v>8167</v>
      </c>
      <c r="M607" s="224">
        <v>12352</v>
      </c>
      <c r="N607" s="151">
        <v>15000</v>
      </c>
      <c r="O607" s="151">
        <v>15000</v>
      </c>
      <c r="P607" s="150">
        <f>15000+1750</f>
        <v>16750</v>
      </c>
      <c r="Q607" s="150">
        <f t="shared" ref="Q607:T607" si="212">15000+1750</f>
        <v>16750</v>
      </c>
      <c r="R607" s="150">
        <f t="shared" si="212"/>
        <v>16750</v>
      </c>
      <c r="S607" s="150">
        <f t="shared" si="212"/>
        <v>16750</v>
      </c>
      <c r="T607" s="150">
        <f t="shared" si="212"/>
        <v>16750</v>
      </c>
      <c r="V607" s="149"/>
    </row>
    <row r="608" spans="1:27" ht="24" customHeight="1">
      <c r="A608" s="281" t="s">
        <v>1002</v>
      </c>
      <c r="B608" s="282"/>
      <c r="C608" s="282"/>
      <c r="D608" s="281" t="s">
        <v>1000</v>
      </c>
      <c r="E608" s="282"/>
      <c r="F608" s="282"/>
      <c r="G608" s="282"/>
      <c r="H608" s="282"/>
      <c r="I608" s="282"/>
      <c r="J608" s="282"/>
      <c r="K608" s="282"/>
      <c r="L608" s="224">
        <v>1092</v>
      </c>
      <c r="M608" s="224">
        <v>2314</v>
      </c>
      <c r="N608" s="151">
        <v>10000</v>
      </c>
      <c r="O608" s="151">
        <v>10000</v>
      </c>
      <c r="P608" s="150">
        <v>10000</v>
      </c>
      <c r="Q608" s="150">
        <v>10000</v>
      </c>
      <c r="R608" s="150">
        <v>10000</v>
      </c>
      <c r="S608" s="150">
        <v>10000</v>
      </c>
      <c r="T608" s="150">
        <v>10000</v>
      </c>
      <c r="V608" s="463"/>
      <c r="W608" s="463"/>
      <c r="X608" s="463"/>
      <c r="Z608" s="735"/>
      <c r="AA608" s="735"/>
    </row>
    <row r="609" spans="1:35" ht="24" customHeight="1">
      <c r="A609" s="281" t="s">
        <v>351</v>
      </c>
      <c r="B609" s="282"/>
      <c r="C609" s="282"/>
      <c r="D609" s="281" t="s">
        <v>16</v>
      </c>
      <c r="E609" s="282"/>
      <c r="F609" s="282"/>
      <c r="G609" s="282"/>
      <c r="H609" s="282"/>
      <c r="I609" s="282"/>
      <c r="J609" s="282"/>
      <c r="K609" s="282"/>
      <c r="L609" s="224">
        <v>1429</v>
      </c>
      <c r="M609" s="224">
        <v>1921</v>
      </c>
      <c r="N609" s="151">
        <f>1000+1000</f>
        <v>2000</v>
      </c>
      <c r="O609" s="151">
        <v>2000</v>
      </c>
      <c r="P609" s="150">
        <f>1000+1000</f>
        <v>2000</v>
      </c>
      <c r="Q609" s="150">
        <f>1000+1000</f>
        <v>2000</v>
      </c>
      <c r="R609" s="150">
        <f>1000+1000</f>
        <v>2000</v>
      </c>
      <c r="S609" s="150">
        <f>1000+1000</f>
        <v>2000</v>
      </c>
      <c r="T609" s="150">
        <f>1000+1000</f>
        <v>2000</v>
      </c>
      <c r="V609" s="735"/>
      <c r="W609" s="736"/>
      <c r="X609" s="737"/>
      <c r="Z609" s="735"/>
      <c r="AA609" s="738"/>
    </row>
    <row r="610" spans="1:35" ht="24" customHeight="1">
      <c r="A610" s="281" t="s">
        <v>352</v>
      </c>
      <c r="B610" s="282"/>
      <c r="C610" s="282"/>
      <c r="D610" s="281" t="s">
        <v>243</v>
      </c>
      <c r="E610" s="361"/>
      <c r="F610" s="361"/>
      <c r="G610" s="361"/>
      <c r="H610" s="361"/>
      <c r="I610" s="361"/>
      <c r="J610" s="361"/>
      <c r="K610" s="361"/>
      <c r="L610" s="224">
        <v>876</v>
      </c>
      <c r="M610" s="224">
        <v>1616</v>
      </c>
      <c r="N610" s="151">
        <v>2000</v>
      </c>
      <c r="O610" s="151">
        <v>2000</v>
      </c>
      <c r="P610" s="150">
        <v>2000</v>
      </c>
      <c r="Q610" s="150">
        <v>2000</v>
      </c>
      <c r="R610" s="150">
        <v>2000</v>
      </c>
      <c r="S610" s="150">
        <v>2000</v>
      </c>
      <c r="T610" s="150">
        <v>2000</v>
      </c>
    </row>
    <row r="611" spans="1:35" ht="24" customHeight="1">
      <c r="A611" s="281" t="s">
        <v>353</v>
      </c>
      <c r="B611" s="282"/>
      <c r="C611" s="282"/>
      <c r="D611" s="281" t="s">
        <v>354</v>
      </c>
      <c r="E611" s="282"/>
      <c r="F611" s="282"/>
      <c r="G611" s="282"/>
      <c r="H611" s="282"/>
      <c r="I611" s="282"/>
      <c r="J611" s="282"/>
      <c r="K611" s="282"/>
      <c r="L611" s="225">
        <v>125445</v>
      </c>
      <c r="M611" s="225">
        <v>146540</v>
      </c>
      <c r="N611" s="157">
        <v>165000</v>
      </c>
      <c r="O611" s="157">
        <v>165000</v>
      </c>
      <c r="P611" s="154">
        <f>ROUND(O611*1.05,0)</f>
        <v>173250</v>
      </c>
      <c r="Q611" s="154">
        <f>ROUND(P611*1.05,0)</f>
        <v>181913</v>
      </c>
      <c r="R611" s="154">
        <f>ROUND(Q611*1.05,0)</f>
        <v>191009</v>
      </c>
      <c r="S611" s="154">
        <f t="shared" ref="S611:T611" si="213">ROUND(R611*1.05,0)</f>
        <v>200559</v>
      </c>
      <c r="T611" s="154">
        <f t="shared" si="213"/>
        <v>210587</v>
      </c>
    </row>
    <row r="612" spans="1:35" ht="24" customHeight="1">
      <c r="A612" s="281" t="s">
        <v>355</v>
      </c>
      <c r="B612" s="282"/>
      <c r="C612" s="282"/>
      <c r="D612" s="281" t="s">
        <v>1078</v>
      </c>
      <c r="E612" s="282"/>
      <c r="F612" s="282"/>
      <c r="G612" s="282"/>
      <c r="H612" s="282"/>
      <c r="I612" s="282"/>
      <c r="J612" s="282"/>
      <c r="K612" s="282"/>
      <c r="L612" s="224">
        <v>20785</v>
      </c>
      <c r="M612" s="224">
        <v>20263</v>
      </c>
      <c r="N612" s="151">
        <v>10500</v>
      </c>
      <c r="O612" s="151">
        <v>10500</v>
      </c>
      <c r="P612" s="150">
        <v>15000</v>
      </c>
      <c r="Q612" s="150">
        <v>15000</v>
      </c>
      <c r="R612" s="150">
        <v>15000</v>
      </c>
      <c r="S612" s="150">
        <v>15000</v>
      </c>
      <c r="T612" s="150">
        <v>15000</v>
      </c>
    </row>
    <row r="613" spans="1:35" ht="24" customHeight="1">
      <c r="A613" s="281" t="s">
        <v>356</v>
      </c>
      <c r="B613" s="215"/>
      <c r="C613" s="215"/>
      <c r="D613" s="693" t="s">
        <v>1081</v>
      </c>
      <c r="E613" s="694"/>
      <c r="F613" s="694"/>
      <c r="G613" s="694"/>
      <c r="H613" s="694"/>
      <c r="I613" s="694"/>
      <c r="J613" s="694"/>
      <c r="K613" s="694"/>
      <c r="L613" s="224">
        <v>51805</v>
      </c>
      <c r="M613" s="224">
        <v>32520</v>
      </c>
      <c r="N613" s="151">
        <f t="shared" ref="N613:T613" si="214">6000+40000</f>
        <v>46000</v>
      </c>
      <c r="O613" s="151">
        <v>46000</v>
      </c>
      <c r="P613" s="150">
        <f t="shared" si="214"/>
        <v>46000</v>
      </c>
      <c r="Q613" s="150">
        <f t="shared" si="214"/>
        <v>46000</v>
      </c>
      <c r="R613" s="150">
        <f t="shared" si="214"/>
        <v>46000</v>
      </c>
      <c r="S613" s="150">
        <f t="shared" si="214"/>
        <v>46000</v>
      </c>
      <c r="T613" s="150">
        <f t="shared" si="214"/>
        <v>46000</v>
      </c>
    </row>
    <row r="614" spans="1:35" ht="24" customHeight="1">
      <c r="A614" s="281" t="s">
        <v>1110</v>
      </c>
      <c r="B614" s="353"/>
      <c r="C614" s="353"/>
      <c r="D614" s="693" t="s">
        <v>1111</v>
      </c>
      <c r="E614" s="694"/>
      <c r="F614" s="694"/>
      <c r="G614" s="694"/>
      <c r="H614" s="694"/>
      <c r="I614" s="694"/>
      <c r="J614" s="694"/>
      <c r="K614" s="694"/>
      <c r="L614" s="225">
        <f>14+28+24+189+24+285+24+24+12+27+24+13+36+20+36+138+43+7</f>
        <v>968</v>
      </c>
      <c r="M614" s="225">
        <v>1788</v>
      </c>
      <c r="N614" s="157">
        <v>1500</v>
      </c>
      <c r="O614" s="157">
        <v>1500</v>
      </c>
      <c r="P614" s="154">
        <v>1500</v>
      </c>
      <c r="Q614" s="154">
        <v>1500</v>
      </c>
      <c r="R614" s="154">
        <v>1500</v>
      </c>
      <c r="S614" s="154">
        <v>1500</v>
      </c>
      <c r="T614" s="154">
        <v>1500</v>
      </c>
    </row>
    <row r="615" spans="1:35" ht="24" customHeight="1">
      <c r="A615" s="281" t="s">
        <v>357</v>
      </c>
      <c r="B615" s="282"/>
      <c r="C615" s="282"/>
      <c r="D615" s="693" t="s">
        <v>143</v>
      </c>
      <c r="E615" s="692"/>
      <c r="F615" s="692"/>
      <c r="G615" s="692"/>
      <c r="H615" s="692"/>
      <c r="I615" s="692"/>
      <c r="J615" s="692"/>
      <c r="K615" s="692"/>
      <c r="L615" s="225">
        <v>29622</v>
      </c>
      <c r="M615" s="225">
        <v>22956</v>
      </c>
      <c r="N615" s="157">
        <v>46795</v>
      </c>
      <c r="O615" s="157">
        <v>46795</v>
      </c>
      <c r="P615" s="154">
        <f>ROUND(25000*1.07,0)</f>
        <v>26750</v>
      </c>
      <c r="Q615" s="154">
        <f t="shared" ref="Q615:T615" si="215">ROUND(P615*1.07,0)</f>
        <v>28623</v>
      </c>
      <c r="R615" s="154">
        <f t="shared" si="215"/>
        <v>30627</v>
      </c>
      <c r="S615" s="154">
        <f t="shared" si="215"/>
        <v>32771</v>
      </c>
      <c r="T615" s="154">
        <f t="shared" si="215"/>
        <v>35065</v>
      </c>
      <c r="V615" s="149"/>
    </row>
    <row r="616" spans="1:35" ht="24" customHeight="1">
      <c r="A616" s="281" t="s">
        <v>1300</v>
      </c>
      <c r="B616" s="543"/>
      <c r="C616" s="543"/>
      <c r="D616" s="283" t="s">
        <v>1301</v>
      </c>
      <c r="E616" s="692"/>
      <c r="F616" s="692"/>
      <c r="G616" s="692"/>
      <c r="H616" s="692"/>
      <c r="I616" s="692"/>
      <c r="J616" s="692"/>
      <c r="K616" s="692"/>
      <c r="L616" s="225">
        <v>0</v>
      </c>
      <c r="M616" s="225">
        <v>0</v>
      </c>
      <c r="N616" s="157">
        <f>13000+13000+117000</f>
        <v>143000</v>
      </c>
      <c r="O616" s="157">
        <v>143000</v>
      </c>
      <c r="P616" s="154">
        <v>0</v>
      </c>
      <c r="Q616" s="154">
        <f>13000+13000+140000</f>
        <v>166000</v>
      </c>
      <c r="R616" s="154">
        <v>124000</v>
      </c>
      <c r="S616" s="154">
        <v>148000</v>
      </c>
      <c r="T616" s="154">
        <v>0</v>
      </c>
      <c r="V616" s="149"/>
    </row>
    <row r="617" spans="1:35" ht="24" customHeight="1">
      <c r="A617" s="281" t="s">
        <v>1089</v>
      </c>
      <c r="B617" s="282"/>
      <c r="C617" s="282"/>
      <c r="D617" s="283" t="s">
        <v>1086</v>
      </c>
      <c r="E617" s="692"/>
      <c r="F617" s="692"/>
      <c r="G617" s="692"/>
      <c r="H617" s="692"/>
      <c r="I617" s="692"/>
      <c r="J617" s="692"/>
      <c r="K617" s="692"/>
      <c r="L617" s="225">
        <v>153305</v>
      </c>
      <c r="M617" s="225">
        <v>277372</v>
      </c>
      <c r="N617" s="157">
        <v>300000</v>
      </c>
      <c r="O617" s="157">
        <v>300000</v>
      </c>
      <c r="P617" s="154">
        <v>250000</v>
      </c>
      <c r="Q617" s="154">
        <v>250000</v>
      </c>
      <c r="R617" s="154">
        <v>250000</v>
      </c>
      <c r="S617" s="154">
        <v>250000</v>
      </c>
      <c r="T617" s="154">
        <v>250000</v>
      </c>
      <c r="V617" s="149"/>
    </row>
    <row r="618" spans="1:35" ht="24" customHeight="1">
      <c r="A618" s="702" t="s">
        <v>1417</v>
      </c>
      <c r="B618" s="284"/>
      <c r="C618" s="284"/>
      <c r="D618" s="703" t="s">
        <v>937</v>
      </c>
      <c r="E618" s="284"/>
      <c r="F618" s="284"/>
      <c r="G618" s="284"/>
      <c r="H618" s="284"/>
      <c r="I618" s="284"/>
      <c r="J618" s="284"/>
      <c r="K618" s="284"/>
      <c r="L618" s="237">
        <v>0</v>
      </c>
      <c r="M618" s="237">
        <v>0</v>
      </c>
      <c r="N618" s="172">
        <v>0</v>
      </c>
      <c r="O618" s="172">
        <v>0</v>
      </c>
      <c r="P618" s="171">
        <f>ROUND(66372/3,0)</f>
        <v>22124</v>
      </c>
      <c r="Q618" s="171">
        <f t="shared" ref="Q618:R618" si="216">ROUND(66372/3,0)</f>
        <v>22124</v>
      </c>
      <c r="R618" s="171">
        <f t="shared" si="216"/>
        <v>22124</v>
      </c>
      <c r="S618" s="171">
        <v>0</v>
      </c>
      <c r="T618" s="171">
        <v>0</v>
      </c>
      <c r="V618" s="149"/>
    </row>
    <row r="619" spans="1:35" ht="24" customHeight="1">
      <c r="A619" s="281" t="s">
        <v>698</v>
      </c>
      <c r="B619" s="296"/>
      <c r="C619" s="296"/>
      <c r="D619" s="693" t="s">
        <v>289</v>
      </c>
      <c r="E619" s="299"/>
      <c r="F619" s="296"/>
      <c r="G619" s="296"/>
      <c r="H619" s="296"/>
      <c r="I619" s="296"/>
      <c r="J619" s="296"/>
      <c r="K619" s="296"/>
      <c r="L619" s="225">
        <v>0</v>
      </c>
      <c r="M619" s="225">
        <v>0</v>
      </c>
      <c r="N619" s="157">
        <f t="shared" ref="N619:T619" si="217">ROUND(10000/2,0)</f>
        <v>5000</v>
      </c>
      <c r="O619" s="157">
        <v>5000</v>
      </c>
      <c r="P619" s="154">
        <f t="shared" si="217"/>
        <v>5000</v>
      </c>
      <c r="Q619" s="154">
        <f t="shared" si="217"/>
        <v>5000</v>
      </c>
      <c r="R619" s="154">
        <f t="shared" si="217"/>
        <v>5000</v>
      </c>
      <c r="S619" s="154">
        <f t="shared" si="217"/>
        <v>5000</v>
      </c>
      <c r="T619" s="154">
        <f t="shared" si="217"/>
        <v>5000</v>
      </c>
      <c r="V619" s="152"/>
    </row>
    <row r="620" spans="1:35" ht="24" customHeight="1">
      <c r="A620" s="281" t="s">
        <v>1158</v>
      </c>
      <c r="B620" s="296"/>
      <c r="C620" s="296"/>
      <c r="D620" s="1" t="s">
        <v>1159</v>
      </c>
      <c r="E620" s="299"/>
      <c r="F620" s="296"/>
      <c r="G620" s="296"/>
      <c r="H620" s="296"/>
      <c r="I620" s="296"/>
      <c r="J620" s="296"/>
      <c r="K620" s="296"/>
      <c r="L620" s="225">
        <v>0</v>
      </c>
      <c r="M620" s="225">
        <v>0</v>
      </c>
      <c r="N620" s="591">
        <v>35000</v>
      </c>
      <c r="O620" s="157">
        <f>35000-5000</f>
        <v>30000</v>
      </c>
      <c r="P620" s="154">
        <v>5000</v>
      </c>
      <c r="Q620" s="193">
        <v>0</v>
      </c>
      <c r="R620" s="184">
        <f>43750+437500</f>
        <v>481250</v>
      </c>
      <c r="S620" s="184">
        <f>43750+437500</f>
        <v>481250</v>
      </c>
      <c r="T620" s="154">
        <v>0</v>
      </c>
      <c r="V620" s="152"/>
    </row>
    <row r="621" spans="1:35" ht="24" customHeight="1">
      <c r="A621" s="281" t="s">
        <v>1005</v>
      </c>
      <c r="B621" s="296"/>
      <c r="C621" s="296"/>
      <c r="D621" s="693" t="s">
        <v>290</v>
      </c>
      <c r="E621" s="299"/>
      <c r="F621" s="296"/>
      <c r="G621" s="296"/>
      <c r="H621" s="296"/>
      <c r="I621" s="296"/>
      <c r="J621" s="296"/>
      <c r="K621" s="296"/>
      <c r="L621" s="225">
        <v>0</v>
      </c>
      <c r="M621" s="225">
        <v>0</v>
      </c>
      <c r="N621" s="157">
        <v>18000</v>
      </c>
      <c r="O621" s="157">
        <v>0</v>
      </c>
      <c r="P621" s="154">
        <f>45000+18000</f>
        <v>63000</v>
      </c>
      <c r="Q621" s="154">
        <v>0</v>
      </c>
      <c r="R621" s="154">
        <v>0</v>
      </c>
      <c r="S621" s="154">
        <v>0</v>
      </c>
      <c r="T621" s="154">
        <v>0</v>
      </c>
      <c r="V621" s="152"/>
    </row>
    <row r="622" spans="1:35" ht="24" customHeight="1">
      <c r="A622" s="281" t="s">
        <v>358</v>
      </c>
      <c r="B622" s="296"/>
      <c r="C622" s="296"/>
      <c r="D622" s="693" t="s">
        <v>285</v>
      </c>
      <c r="E622" s="299"/>
      <c r="F622" s="296"/>
      <c r="G622" s="296"/>
      <c r="H622" s="296"/>
      <c r="I622" s="296"/>
      <c r="J622" s="296"/>
      <c r="K622" s="296"/>
      <c r="L622" s="226">
        <v>129094</v>
      </c>
      <c r="M622" s="226">
        <v>197544</v>
      </c>
      <c r="N622" s="148">
        <f t="shared" ref="N622:T622" si="218">ROUND(16462*12,0)</f>
        <v>197544</v>
      </c>
      <c r="O622" s="148">
        <f>ROUND(16462*12,0)</f>
        <v>197544</v>
      </c>
      <c r="P622" s="147">
        <f t="shared" si="218"/>
        <v>197544</v>
      </c>
      <c r="Q622" s="147">
        <f t="shared" si="218"/>
        <v>197544</v>
      </c>
      <c r="R622" s="147">
        <f t="shared" si="218"/>
        <v>197544</v>
      </c>
      <c r="S622" s="147">
        <f t="shared" si="218"/>
        <v>197544</v>
      </c>
      <c r="T622" s="147">
        <f t="shared" si="218"/>
        <v>197544</v>
      </c>
      <c r="U622" s="340"/>
      <c r="V622" s="203"/>
      <c r="W622" s="202"/>
    </row>
    <row r="623" spans="1:35" ht="24" customHeight="1">
      <c r="A623" s="281" t="s">
        <v>1317</v>
      </c>
      <c r="B623" s="284"/>
      <c r="C623" s="284"/>
      <c r="D623" s="1" t="s">
        <v>1314</v>
      </c>
      <c r="E623" s="296"/>
      <c r="F623" s="296"/>
      <c r="G623" s="296"/>
      <c r="H623" s="296"/>
      <c r="I623" s="296"/>
      <c r="J623" s="296"/>
      <c r="K623" s="296"/>
      <c r="L623" s="225">
        <v>0</v>
      </c>
      <c r="M623" s="225">
        <v>0</v>
      </c>
      <c r="N623" s="157">
        <v>4250000</v>
      </c>
      <c r="O623" s="157">
        <f>840000</f>
        <v>840000</v>
      </c>
      <c r="P623" s="154">
        <f>441000+2499000</f>
        <v>2940000</v>
      </c>
      <c r="Q623" s="154">
        <f>63000+357000</f>
        <v>420000</v>
      </c>
      <c r="R623" s="154">
        <v>0</v>
      </c>
      <c r="S623" s="154">
        <v>0</v>
      </c>
      <c r="T623" s="154">
        <v>0</v>
      </c>
      <c r="U623" s="335"/>
      <c r="V623" s="457"/>
      <c r="W623" s="457"/>
      <c r="X623" s="457"/>
      <c r="Y623" s="457"/>
      <c r="Z623" s="457"/>
      <c r="AA623" s="457"/>
      <c r="AB623" s="457"/>
      <c r="AC623" s="457"/>
      <c r="AD623" s="457"/>
      <c r="AE623" s="457"/>
      <c r="AF623" s="457"/>
      <c r="AG623" s="457"/>
      <c r="AH623" s="457"/>
      <c r="AI623" s="457"/>
    </row>
    <row r="624" spans="1:35" ht="24" customHeight="1">
      <c r="A624" s="287" t="s">
        <v>1368</v>
      </c>
      <c r="B624" s="508"/>
      <c r="C624" s="508"/>
      <c r="D624" s="281"/>
      <c r="E624" s="508"/>
      <c r="F624" s="508"/>
      <c r="G624" s="508"/>
      <c r="H624" s="508"/>
      <c r="I624" s="508"/>
      <c r="J624" s="508"/>
      <c r="K624" s="508"/>
      <c r="L624" s="224"/>
      <c r="M624" s="224"/>
      <c r="N624" s="151"/>
      <c r="O624" s="151"/>
      <c r="P624" s="150"/>
      <c r="Q624" s="150"/>
      <c r="R624" s="150"/>
      <c r="S624" s="150"/>
      <c r="T624" s="150"/>
      <c r="V624" s="458"/>
      <c r="W624" s="458"/>
      <c r="X624" s="458"/>
      <c r="Y624" s="458"/>
      <c r="Z624" s="458"/>
      <c r="AA624" s="458"/>
      <c r="AB624" s="458"/>
      <c r="AC624" s="458"/>
      <c r="AD624" s="458"/>
      <c r="AE624" s="458"/>
      <c r="AF624" s="458"/>
      <c r="AG624" s="458"/>
      <c r="AH624" s="458"/>
      <c r="AI624" s="458"/>
    </row>
    <row r="625" spans="1:38" ht="24" customHeight="1">
      <c r="A625" s="281" t="s">
        <v>1315</v>
      </c>
      <c r="B625" s="508"/>
      <c r="C625" s="508"/>
      <c r="D625" s="281" t="s">
        <v>1042</v>
      </c>
      <c r="E625" s="508"/>
      <c r="F625" s="508"/>
      <c r="G625" s="508"/>
      <c r="H625" s="508"/>
      <c r="I625" s="508"/>
      <c r="J625" s="508"/>
      <c r="K625" s="508"/>
      <c r="L625" s="224">
        <v>0</v>
      </c>
      <c r="M625" s="224">
        <v>0</v>
      </c>
      <c r="N625" s="151">
        <v>0</v>
      </c>
      <c r="O625" s="151">
        <v>0</v>
      </c>
      <c r="P625" s="150">
        <f>ROUND(100000*0.7354,0)</f>
        <v>73540</v>
      </c>
      <c r="Q625" s="150">
        <f>ROUND(155000*0.7354,0)</f>
        <v>113987</v>
      </c>
      <c r="R625" s="150">
        <f>ROUND(160000*0.7354,0)</f>
        <v>117664</v>
      </c>
      <c r="S625" s="150">
        <f>ROUND(395000*0.7354,0)</f>
        <v>290483</v>
      </c>
      <c r="T625" s="150">
        <f>ROUND(405000*0.7354,0)</f>
        <v>297837</v>
      </c>
      <c r="V625" s="593"/>
      <c r="W625" s="593"/>
      <c r="X625" s="593"/>
      <c r="Y625" s="593"/>
      <c r="Z625" s="593"/>
      <c r="AA625" s="593"/>
      <c r="AB625" s="593"/>
      <c r="AC625" s="593"/>
      <c r="AD625" s="593"/>
      <c r="AE625" s="593"/>
      <c r="AF625" s="593"/>
      <c r="AG625" s="593"/>
      <c r="AH625" s="593"/>
      <c r="AI625" s="593"/>
    </row>
    <row r="626" spans="1:38" ht="24" customHeight="1">
      <c r="A626" s="281" t="s">
        <v>1316</v>
      </c>
      <c r="B626" s="508"/>
      <c r="C626" s="508"/>
      <c r="D626" s="281" t="s">
        <v>292</v>
      </c>
      <c r="E626" s="508"/>
      <c r="F626" s="508"/>
      <c r="G626" s="508"/>
      <c r="H626" s="508"/>
      <c r="I626" s="508"/>
      <c r="J626" s="508"/>
      <c r="K626" s="508"/>
      <c r="L626" s="225">
        <v>0</v>
      </c>
      <c r="M626" s="225">
        <v>0</v>
      </c>
      <c r="N626" s="157">
        <v>83016</v>
      </c>
      <c r="O626" s="157">
        <v>0</v>
      </c>
      <c r="P626" s="150">
        <f>ROUND((200081+111500)*0.7354,0)</f>
        <v>229137</v>
      </c>
      <c r="Q626" s="150">
        <f>ROUND((109500*2)*0.7354,0)</f>
        <v>161053</v>
      </c>
      <c r="R626" s="150">
        <f>ROUND((106400*2)*0.7354,0)</f>
        <v>156493</v>
      </c>
      <c r="S626" s="150">
        <f>ROUND((103200*2)*0.7354,0)</f>
        <v>151787</v>
      </c>
      <c r="T626" s="150">
        <f>ROUND((95300*2)*0.7354,0)</f>
        <v>140167</v>
      </c>
      <c r="V626" s="593"/>
      <c r="W626" s="593"/>
      <c r="X626" s="593"/>
      <c r="Y626" s="593"/>
      <c r="Z626" s="593"/>
      <c r="AA626" s="593"/>
      <c r="AB626" s="593"/>
      <c r="AC626" s="593"/>
      <c r="AD626" s="593"/>
      <c r="AE626" s="593"/>
      <c r="AF626" s="593"/>
      <c r="AG626" s="593"/>
      <c r="AH626" s="593"/>
      <c r="AI626" s="593"/>
    </row>
    <row r="627" spans="1:38" ht="24" customHeight="1">
      <c r="A627" s="285" t="s">
        <v>359</v>
      </c>
      <c r="B627" s="285"/>
      <c r="C627" s="285"/>
      <c r="D627" s="285"/>
      <c r="E627" s="285"/>
      <c r="F627" s="285"/>
      <c r="G627" s="285"/>
      <c r="H627" s="285"/>
      <c r="I627" s="285"/>
      <c r="J627" s="285"/>
      <c r="K627" s="285"/>
      <c r="L627" s="233"/>
      <c r="M627" s="233"/>
      <c r="N627" s="166"/>
      <c r="O627" s="166"/>
      <c r="P627" s="165"/>
      <c r="Q627" s="165"/>
      <c r="R627" s="165"/>
      <c r="S627" s="165"/>
      <c r="T627" s="165"/>
      <c r="V627" s="458"/>
      <c r="W627" s="458"/>
      <c r="X627" s="458"/>
      <c r="Y627" s="458"/>
      <c r="Z627" s="458"/>
      <c r="AA627" s="458"/>
      <c r="AD627" s="712"/>
      <c r="AE627" s="712"/>
      <c r="AF627" s="712"/>
      <c r="AG627" s="712"/>
      <c r="AH627" s="712"/>
      <c r="AI627" s="712"/>
      <c r="AK627" s="209"/>
      <c r="AL627" s="209"/>
    </row>
    <row r="628" spans="1:38" ht="24" customHeight="1">
      <c r="A628" s="281" t="s">
        <v>360</v>
      </c>
      <c r="B628" s="282"/>
      <c r="C628" s="282"/>
      <c r="D628" s="281" t="s">
        <v>1042</v>
      </c>
      <c r="E628" s="282"/>
      <c r="F628" s="282"/>
      <c r="G628" s="282"/>
      <c r="H628" s="282"/>
      <c r="I628" s="282"/>
      <c r="J628" s="282"/>
      <c r="K628" s="282"/>
      <c r="L628" s="224">
        <v>15000</v>
      </c>
      <c r="M628" s="224">
        <v>15000</v>
      </c>
      <c r="N628" s="151">
        <v>15000</v>
      </c>
      <c r="O628" s="151">
        <v>15000</v>
      </c>
      <c r="P628" s="150">
        <v>15000</v>
      </c>
      <c r="Q628" s="150">
        <v>15000</v>
      </c>
      <c r="R628" s="150">
        <v>15000</v>
      </c>
      <c r="S628" s="150">
        <v>680000</v>
      </c>
      <c r="T628" s="150">
        <v>695000</v>
      </c>
      <c r="V628" s="459"/>
      <c r="W628" s="459"/>
      <c r="X628" s="459"/>
      <c r="Y628" s="459"/>
      <c r="Z628" s="459"/>
      <c r="AA628" s="459"/>
      <c r="AB628" s="459"/>
      <c r="AC628" s="459"/>
      <c r="AD628" s="459"/>
      <c r="AE628" s="459"/>
      <c r="AF628" s="459"/>
      <c r="AG628" s="459"/>
      <c r="AH628" s="459"/>
      <c r="AI628" s="459"/>
    </row>
    <row r="629" spans="1:38" ht="24" customHeight="1">
      <c r="A629" s="281" t="s">
        <v>361</v>
      </c>
      <c r="B629" s="282"/>
      <c r="C629" s="282"/>
      <c r="D629" s="281" t="s">
        <v>292</v>
      </c>
      <c r="E629" s="282"/>
      <c r="F629" s="282"/>
      <c r="G629" s="282"/>
      <c r="H629" s="282"/>
      <c r="I629" s="282"/>
      <c r="J629" s="282"/>
      <c r="K629" s="282"/>
      <c r="L629" s="226">
        <v>123041</v>
      </c>
      <c r="M629" s="226">
        <v>122423</v>
      </c>
      <c r="N629" s="151">
        <v>121793</v>
      </c>
      <c r="O629" s="151">
        <v>121793</v>
      </c>
      <c r="P629" s="150">
        <v>121163</v>
      </c>
      <c r="Q629" s="150">
        <v>120525</v>
      </c>
      <c r="R629" s="150">
        <v>119888</v>
      </c>
      <c r="S629" s="150">
        <v>119250</v>
      </c>
      <c r="T629" s="150">
        <v>90350</v>
      </c>
      <c r="V629" s="459"/>
      <c r="W629" s="459"/>
      <c r="X629" s="459"/>
      <c r="Y629" s="459"/>
      <c r="Z629" s="459"/>
      <c r="AA629" s="459"/>
      <c r="AB629" s="459"/>
      <c r="AC629" s="459"/>
      <c r="AD629" s="459"/>
      <c r="AE629" s="459"/>
      <c r="AF629" s="459"/>
      <c r="AG629" s="459"/>
      <c r="AH629" s="459"/>
      <c r="AI629" s="459"/>
    </row>
    <row r="630" spans="1:38" ht="24" customHeight="1">
      <c r="A630" s="285" t="s">
        <v>362</v>
      </c>
      <c r="B630" s="285"/>
      <c r="C630" s="285"/>
      <c r="D630" s="285"/>
      <c r="E630" s="285"/>
      <c r="F630" s="285"/>
      <c r="G630" s="285"/>
      <c r="H630" s="285"/>
      <c r="I630" s="285"/>
      <c r="J630" s="285"/>
      <c r="K630" s="285"/>
      <c r="L630" s="233"/>
      <c r="M630" s="233"/>
      <c r="N630" s="166"/>
      <c r="O630" s="166"/>
      <c r="P630" s="165"/>
      <c r="Q630" s="165"/>
      <c r="R630" s="165"/>
      <c r="S630" s="165"/>
      <c r="T630" s="165"/>
      <c r="V630" s="459"/>
      <c r="W630" s="459"/>
      <c r="X630" s="459"/>
      <c r="Y630" s="459"/>
      <c r="Z630" s="459"/>
      <c r="AA630" s="459"/>
      <c r="AB630" s="459"/>
      <c r="AC630" s="459"/>
      <c r="AD630" s="459"/>
      <c r="AE630" s="459"/>
      <c r="AF630" s="459"/>
      <c r="AG630" s="459"/>
      <c r="AH630" s="459"/>
      <c r="AI630" s="459"/>
    </row>
    <row r="631" spans="1:38" ht="24" customHeight="1">
      <c r="A631" s="281" t="s">
        <v>363</v>
      </c>
      <c r="B631" s="282"/>
      <c r="C631" s="282"/>
      <c r="D631" s="281" t="s">
        <v>1042</v>
      </c>
      <c r="E631" s="282"/>
      <c r="F631" s="282"/>
      <c r="G631" s="282"/>
      <c r="H631" s="282"/>
      <c r="I631" s="282"/>
      <c r="J631" s="282"/>
      <c r="K631" s="282"/>
      <c r="L631" s="224">
        <v>100000</v>
      </c>
      <c r="M631" s="224">
        <v>100000</v>
      </c>
      <c r="N631" s="151">
        <v>100000</v>
      </c>
      <c r="O631" s="151">
        <v>100000</v>
      </c>
      <c r="P631" s="150">
        <v>100000</v>
      </c>
      <c r="Q631" s="150">
        <v>100000</v>
      </c>
      <c r="R631" s="150">
        <v>300000</v>
      </c>
      <c r="S631" s="150">
        <v>0</v>
      </c>
      <c r="T631" s="150">
        <v>0</v>
      </c>
      <c r="V631" s="459"/>
      <c r="W631" s="459"/>
      <c r="X631" s="459"/>
      <c r="Y631" s="459"/>
      <c r="Z631" s="459"/>
      <c r="AA631" s="459"/>
      <c r="AB631" s="459"/>
      <c r="AC631" s="459"/>
      <c r="AD631" s="459"/>
      <c r="AE631" s="459"/>
      <c r="AF631" s="459"/>
      <c r="AG631" s="459"/>
      <c r="AH631" s="459"/>
      <c r="AI631" s="459"/>
    </row>
    <row r="632" spans="1:38" ht="24" customHeight="1">
      <c r="A632" s="281" t="s">
        <v>364</v>
      </c>
      <c r="B632" s="282"/>
      <c r="C632" s="282"/>
      <c r="D632" s="281" t="s">
        <v>1102</v>
      </c>
      <c r="E632" s="282"/>
      <c r="F632" s="282"/>
      <c r="G632" s="282"/>
      <c r="H632" s="282"/>
      <c r="I632" s="282"/>
      <c r="J632" s="282"/>
      <c r="K632" s="282"/>
      <c r="L632" s="226">
        <v>33150</v>
      </c>
      <c r="M632" s="226">
        <v>29350</v>
      </c>
      <c r="N632" s="151">
        <v>25450</v>
      </c>
      <c r="O632" s="151">
        <v>25450</v>
      </c>
      <c r="P632" s="150">
        <v>21450</v>
      </c>
      <c r="Q632" s="150">
        <v>17300</v>
      </c>
      <c r="R632" s="150">
        <v>13050</v>
      </c>
      <c r="S632" s="150">
        <v>0</v>
      </c>
      <c r="T632" s="150">
        <v>0</v>
      </c>
      <c r="V632" s="459"/>
      <c r="W632" s="459"/>
      <c r="X632" s="459"/>
      <c r="Y632" s="459"/>
      <c r="Z632" s="459"/>
      <c r="AA632" s="459"/>
      <c r="AB632" s="459"/>
      <c r="AC632" s="459"/>
      <c r="AD632" s="459"/>
      <c r="AE632" s="459"/>
      <c r="AF632" s="459"/>
      <c r="AG632" s="459"/>
      <c r="AH632" s="459"/>
      <c r="AI632" s="459"/>
    </row>
    <row r="633" spans="1:38" ht="24" customHeight="1">
      <c r="A633" s="285" t="s">
        <v>365</v>
      </c>
      <c r="B633" s="285"/>
      <c r="C633" s="285"/>
      <c r="D633" s="285"/>
      <c r="E633" s="285"/>
      <c r="F633" s="285"/>
      <c r="G633" s="285"/>
      <c r="H633" s="285"/>
      <c r="I633" s="285"/>
      <c r="J633" s="285"/>
      <c r="K633" s="285"/>
      <c r="L633" s="233"/>
      <c r="M633" s="233"/>
      <c r="N633" s="166"/>
      <c r="O633" s="166"/>
      <c r="P633" s="165"/>
      <c r="Q633" s="165"/>
      <c r="R633" s="165"/>
      <c r="S633" s="165"/>
      <c r="T633" s="165"/>
      <c r="V633" s="459"/>
      <c r="W633" s="459"/>
      <c r="X633" s="459"/>
      <c r="Y633" s="459"/>
      <c r="Z633" s="459"/>
      <c r="AA633" s="459"/>
      <c r="AB633" s="459"/>
      <c r="AC633" s="459"/>
      <c r="AD633" s="459"/>
      <c r="AE633" s="459"/>
      <c r="AF633" s="459"/>
      <c r="AG633" s="459"/>
      <c r="AH633" s="459"/>
      <c r="AI633" s="459"/>
    </row>
    <row r="634" spans="1:38" ht="24" customHeight="1">
      <c r="A634" s="281" t="s">
        <v>366</v>
      </c>
      <c r="B634" s="282"/>
      <c r="C634" s="282"/>
      <c r="D634" s="281" t="s">
        <v>1042</v>
      </c>
      <c r="E634" s="282"/>
      <c r="F634" s="282"/>
      <c r="G634" s="282"/>
      <c r="H634" s="282"/>
      <c r="I634" s="282"/>
      <c r="J634" s="282"/>
      <c r="K634" s="282"/>
      <c r="L634" s="224">
        <v>405000</v>
      </c>
      <c r="M634" s="224">
        <v>420000</v>
      </c>
      <c r="N634" s="151">
        <v>435000</v>
      </c>
      <c r="O634" s="151">
        <v>435000</v>
      </c>
      <c r="P634" s="150">
        <v>460000</v>
      </c>
      <c r="Q634" s="150">
        <v>475000</v>
      </c>
      <c r="R634" s="150">
        <v>495000</v>
      </c>
      <c r="S634" s="150">
        <v>850000</v>
      </c>
      <c r="T634" s="150">
        <v>850000</v>
      </c>
      <c r="V634" s="459"/>
      <c r="W634" s="459"/>
      <c r="X634" s="459"/>
      <c r="Y634" s="459"/>
      <c r="Z634" s="459"/>
      <c r="AA634" s="459"/>
      <c r="AB634" s="459"/>
      <c r="AC634" s="459"/>
      <c r="AD634" s="459"/>
      <c r="AE634" s="459"/>
      <c r="AF634" s="459"/>
      <c r="AG634" s="459"/>
      <c r="AH634" s="459"/>
      <c r="AI634" s="459"/>
    </row>
    <row r="635" spans="1:38" ht="24" customHeight="1">
      <c r="A635" s="281" t="s">
        <v>367</v>
      </c>
      <c r="B635" s="282"/>
      <c r="C635" s="282"/>
      <c r="D635" s="281" t="s">
        <v>1102</v>
      </c>
      <c r="E635" s="282"/>
      <c r="F635" s="282"/>
      <c r="G635" s="282"/>
      <c r="H635" s="282"/>
      <c r="I635" s="282"/>
      <c r="J635" s="282"/>
      <c r="K635" s="282"/>
      <c r="L635" s="226">
        <v>205606</v>
      </c>
      <c r="M635" s="226">
        <v>189406</v>
      </c>
      <c r="N635" s="151">
        <v>172606</v>
      </c>
      <c r="O635" s="151">
        <v>172606</v>
      </c>
      <c r="P635" s="150">
        <v>155206</v>
      </c>
      <c r="Q635" s="150">
        <v>136806</v>
      </c>
      <c r="R635" s="150">
        <v>117806</v>
      </c>
      <c r="S635" s="150">
        <v>98006</v>
      </c>
      <c r="T635" s="150">
        <v>62306</v>
      </c>
      <c r="V635" s="459"/>
      <c r="W635" s="459"/>
      <c r="X635" s="459"/>
      <c r="Y635" s="459"/>
      <c r="Z635" s="459"/>
      <c r="AA635" s="459"/>
      <c r="AB635" s="459"/>
      <c r="AC635" s="459"/>
      <c r="AD635" s="459"/>
      <c r="AE635" s="459"/>
      <c r="AF635" s="459"/>
      <c r="AG635" s="459"/>
      <c r="AH635" s="459"/>
      <c r="AI635" s="459"/>
    </row>
    <row r="636" spans="1:38" ht="24" customHeight="1">
      <c r="A636" s="285" t="s">
        <v>368</v>
      </c>
      <c r="B636" s="285"/>
      <c r="C636" s="285"/>
      <c r="D636" s="285"/>
      <c r="E636" s="285"/>
      <c r="F636" s="285"/>
      <c r="G636" s="285"/>
      <c r="H636" s="285"/>
      <c r="I636" s="285"/>
      <c r="J636" s="285"/>
      <c r="K636" s="285"/>
      <c r="L636" s="233"/>
      <c r="M636" s="233"/>
      <c r="N636" s="166"/>
      <c r="O636" s="166"/>
      <c r="P636" s="165"/>
      <c r="Q636" s="165"/>
      <c r="R636" s="165"/>
      <c r="S636" s="165"/>
      <c r="T636" s="165"/>
      <c r="V636" s="459"/>
      <c r="W636" s="459"/>
      <c r="X636" s="459"/>
      <c r="Y636" s="459"/>
      <c r="Z636" s="459"/>
      <c r="AA636" s="459"/>
      <c r="AB636" s="459"/>
      <c r="AC636" s="459"/>
      <c r="AD636" s="459"/>
      <c r="AE636" s="459"/>
      <c r="AF636" s="459"/>
      <c r="AG636" s="459"/>
      <c r="AH636" s="459"/>
      <c r="AI636" s="459"/>
    </row>
    <row r="637" spans="1:38" ht="24" customHeight="1">
      <c r="A637" s="281" t="s">
        <v>369</v>
      </c>
      <c r="B637" s="282"/>
      <c r="C637" s="282"/>
      <c r="D637" s="281" t="s">
        <v>1042</v>
      </c>
      <c r="E637" s="282"/>
      <c r="F637" s="282"/>
      <c r="G637" s="282"/>
      <c r="H637" s="282"/>
      <c r="I637" s="282"/>
      <c r="J637" s="282"/>
      <c r="K637" s="282"/>
      <c r="L637" s="224">
        <v>95000</v>
      </c>
      <c r="M637" s="224">
        <v>100000</v>
      </c>
      <c r="N637" s="151">
        <v>0</v>
      </c>
      <c r="O637" s="151">
        <v>0</v>
      </c>
      <c r="P637" s="150">
        <v>0</v>
      </c>
      <c r="Q637" s="150">
        <v>0</v>
      </c>
      <c r="R637" s="150">
        <v>0</v>
      </c>
      <c r="S637" s="150">
        <v>0</v>
      </c>
      <c r="T637" s="150">
        <v>0</v>
      </c>
      <c r="V637" s="459"/>
      <c r="W637" s="459"/>
      <c r="X637" s="459"/>
      <c r="Y637" s="459"/>
      <c r="Z637" s="459"/>
      <c r="AA637" s="459"/>
      <c r="AB637" s="459"/>
      <c r="AC637" s="459"/>
      <c r="AD637" s="459"/>
      <c r="AE637" s="459"/>
      <c r="AF637" s="459"/>
      <c r="AG637" s="459"/>
      <c r="AH637" s="459"/>
      <c r="AI637" s="459"/>
    </row>
    <row r="638" spans="1:38" ht="24" customHeight="1">
      <c r="A638" s="281" t="s">
        <v>370</v>
      </c>
      <c r="B638" s="282"/>
      <c r="C638" s="282"/>
      <c r="D638" s="281" t="s">
        <v>1102</v>
      </c>
      <c r="E638" s="282"/>
      <c r="F638" s="282"/>
      <c r="G638" s="282"/>
      <c r="H638" s="282"/>
      <c r="I638" s="282"/>
      <c r="J638" s="282"/>
      <c r="K638" s="282"/>
      <c r="L638" s="226">
        <v>70975</v>
      </c>
      <c r="M638" s="226">
        <v>54065</v>
      </c>
      <c r="N638" s="151">
        <v>0</v>
      </c>
      <c r="O638" s="151">
        <v>0</v>
      </c>
      <c r="P638" s="150">
        <v>0</v>
      </c>
      <c r="Q638" s="150">
        <v>0</v>
      </c>
      <c r="R638" s="150">
        <v>0</v>
      </c>
      <c r="S638" s="150">
        <v>0</v>
      </c>
      <c r="T638" s="150">
        <v>0</v>
      </c>
      <c r="V638" s="459"/>
      <c r="W638" s="459"/>
      <c r="X638" s="459"/>
      <c r="Y638" s="459"/>
      <c r="Z638" s="459"/>
      <c r="AA638" s="459"/>
      <c r="AB638" s="459"/>
      <c r="AC638" s="459"/>
      <c r="AD638" s="459"/>
      <c r="AE638" s="459"/>
      <c r="AF638" s="459"/>
      <c r="AG638" s="459"/>
      <c r="AH638" s="459"/>
      <c r="AI638" s="459"/>
    </row>
    <row r="639" spans="1:38" ht="24" customHeight="1">
      <c r="A639" s="285" t="s">
        <v>371</v>
      </c>
      <c r="B639" s="285"/>
      <c r="C639" s="285"/>
      <c r="D639" s="285"/>
      <c r="E639" s="285"/>
      <c r="F639" s="285"/>
      <c r="G639" s="285"/>
      <c r="H639" s="285"/>
      <c r="I639" s="285"/>
      <c r="J639" s="285"/>
      <c r="K639" s="285"/>
      <c r="L639" s="233"/>
      <c r="M639" s="233"/>
      <c r="N639" s="166"/>
      <c r="O639" s="166"/>
      <c r="P639" s="165"/>
      <c r="Q639" s="165"/>
      <c r="R639" s="165"/>
      <c r="S639" s="165"/>
      <c r="T639" s="165"/>
      <c r="V639" s="459"/>
      <c r="W639" s="459"/>
      <c r="X639" s="459"/>
      <c r="Y639" s="459"/>
      <c r="Z639" s="459"/>
      <c r="AA639" s="459"/>
      <c r="AD639" s="200"/>
      <c r="AE639" s="200"/>
      <c r="AF639" s="200"/>
      <c r="AG639" s="200"/>
      <c r="AH639" s="200"/>
    </row>
    <row r="640" spans="1:38" ht="24" customHeight="1">
      <c r="A640" s="281" t="s">
        <v>372</v>
      </c>
      <c r="B640" s="282"/>
      <c r="C640" s="282"/>
      <c r="D640" s="281" t="s">
        <v>1042</v>
      </c>
      <c r="E640" s="282"/>
      <c r="F640" s="282"/>
      <c r="G640" s="282"/>
      <c r="H640" s="282"/>
      <c r="I640" s="282"/>
      <c r="J640" s="282"/>
      <c r="K640" s="282"/>
      <c r="L640" s="224">
        <v>89961</v>
      </c>
      <c r="M640" s="224">
        <v>92224</v>
      </c>
      <c r="N640" s="151">
        <v>94544</v>
      </c>
      <c r="O640" s="151">
        <v>94544</v>
      </c>
      <c r="P640" s="150">
        <v>96923</v>
      </c>
      <c r="Q640" s="150">
        <v>99361</v>
      </c>
      <c r="R640" s="150">
        <v>101860</v>
      </c>
      <c r="S640" s="150">
        <v>104423</v>
      </c>
      <c r="T640" s="150">
        <v>107050</v>
      </c>
      <c r="V640" s="459"/>
      <c r="W640" s="459"/>
      <c r="X640" s="459"/>
      <c r="Y640" s="459"/>
      <c r="Z640" s="459"/>
      <c r="AA640" s="459"/>
      <c r="AB640" s="459"/>
      <c r="AC640" s="459"/>
      <c r="AD640" s="459"/>
      <c r="AE640" s="459"/>
      <c r="AF640" s="459"/>
      <c r="AG640" s="459"/>
      <c r="AH640" s="459"/>
      <c r="AI640" s="459"/>
    </row>
    <row r="641" spans="1:38" ht="24" customHeight="1">
      <c r="A641" s="281" t="s">
        <v>373</v>
      </c>
      <c r="B641" s="282"/>
      <c r="C641" s="282"/>
      <c r="D641" s="281" t="s">
        <v>1102</v>
      </c>
      <c r="E641" s="282"/>
      <c r="F641" s="282"/>
      <c r="G641" s="282"/>
      <c r="H641" s="282"/>
      <c r="I641" s="282"/>
      <c r="J641" s="282"/>
      <c r="K641" s="282"/>
      <c r="L641" s="226">
        <v>35069</v>
      </c>
      <c r="M641" s="226">
        <v>32806</v>
      </c>
      <c r="N641" s="151">
        <v>30486</v>
      </c>
      <c r="O641" s="151">
        <v>30486</v>
      </c>
      <c r="P641" s="150">
        <v>28108</v>
      </c>
      <c r="Q641" s="150">
        <v>25669</v>
      </c>
      <c r="R641" s="150">
        <v>23170</v>
      </c>
      <c r="S641" s="150">
        <v>20607</v>
      </c>
      <c r="T641" s="150">
        <v>17981</v>
      </c>
      <c r="V641" s="459"/>
      <c r="W641" s="459"/>
      <c r="X641" s="459"/>
      <c r="Y641" s="459"/>
      <c r="Z641" s="459"/>
      <c r="AA641" s="459"/>
      <c r="AB641" s="459"/>
      <c r="AC641" s="459"/>
      <c r="AD641" s="459"/>
      <c r="AE641" s="459"/>
      <c r="AF641" s="459"/>
      <c r="AG641" s="459"/>
      <c r="AH641" s="459"/>
      <c r="AI641" s="459"/>
    </row>
    <row r="642" spans="1:38" ht="24" customHeight="1">
      <c r="A642" s="285" t="s">
        <v>1345</v>
      </c>
      <c r="B642" s="285"/>
      <c r="C642" s="285"/>
      <c r="D642" s="285"/>
      <c r="E642" s="285"/>
      <c r="F642" s="285"/>
      <c r="G642" s="285"/>
      <c r="H642" s="285"/>
      <c r="I642" s="285"/>
      <c r="J642" s="285"/>
      <c r="K642" s="285"/>
      <c r="L642" s="233"/>
      <c r="M642" s="233"/>
      <c r="N642" s="166"/>
      <c r="O642" s="166"/>
      <c r="P642" s="165"/>
      <c r="Q642" s="165"/>
      <c r="R642" s="165"/>
      <c r="S642" s="165"/>
      <c r="T642" s="165"/>
      <c r="V642" s="458"/>
      <c r="W642" s="458"/>
      <c r="X642" s="458"/>
      <c r="Y642" s="458"/>
      <c r="Z642" s="458"/>
      <c r="AA642" s="458"/>
      <c r="AD642" s="712"/>
      <c r="AE642" s="712"/>
      <c r="AF642" s="712"/>
      <c r="AG642" s="712"/>
      <c r="AH642" s="712"/>
      <c r="AI642" s="712"/>
      <c r="AK642" s="453"/>
      <c r="AL642" s="453"/>
    </row>
    <row r="643" spans="1:38" ht="24" customHeight="1">
      <c r="A643" s="281" t="s">
        <v>1262</v>
      </c>
      <c r="B643" s="452"/>
      <c r="C643" s="452"/>
      <c r="D643" s="281" t="s">
        <v>1042</v>
      </c>
      <c r="E643" s="452"/>
      <c r="F643" s="452"/>
      <c r="G643" s="452"/>
      <c r="H643" s="452"/>
      <c r="I643" s="452"/>
      <c r="J643" s="452"/>
      <c r="K643" s="452"/>
      <c r="L643" s="224">
        <v>0</v>
      </c>
      <c r="M643" s="224">
        <v>0</v>
      </c>
      <c r="N643" s="151">
        <v>120000</v>
      </c>
      <c r="O643" s="151">
        <v>120000</v>
      </c>
      <c r="P643" s="150">
        <v>120000</v>
      </c>
      <c r="Q643" s="150">
        <v>120000</v>
      </c>
      <c r="R643" s="150">
        <v>130000</v>
      </c>
      <c r="S643" s="150">
        <v>125000</v>
      </c>
      <c r="T643" s="150">
        <v>130000</v>
      </c>
      <c r="V643" s="459"/>
      <c r="W643" s="459"/>
      <c r="X643" s="459"/>
      <c r="Y643" s="459"/>
      <c r="Z643" s="459"/>
      <c r="AA643" s="459"/>
      <c r="AB643" s="459"/>
      <c r="AC643" s="459"/>
      <c r="AD643" s="459"/>
      <c r="AE643" s="459"/>
      <c r="AF643" s="459"/>
      <c r="AG643" s="459"/>
      <c r="AH643" s="459"/>
      <c r="AI643" s="459"/>
    </row>
    <row r="644" spans="1:38" ht="24" customHeight="1">
      <c r="A644" s="281" t="s">
        <v>1263</v>
      </c>
      <c r="B644" s="452"/>
      <c r="C644" s="452"/>
      <c r="D644" s="281" t="s">
        <v>292</v>
      </c>
      <c r="E644" s="452"/>
      <c r="F644" s="452"/>
      <c r="G644" s="452"/>
      <c r="H644" s="452"/>
      <c r="I644" s="452"/>
      <c r="J644" s="452"/>
      <c r="K644" s="452"/>
      <c r="L644" s="226">
        <v>0</v>
      </c>
      <c r="M644" s="226">
        <v>13111</v>
      </c>
      <c r="N644" s="151">
        <f>16275+16275</f>
        <v>32550</v>
      </c>
      <c r="O644" s="151">
        <v>32550</v>
      </c>
      <c r="P644" s="150">
        <f>15075+15075</f>
        <v>30150</v>
      </c>
      <c r="Q644" s="150">
        <f>13875+13875</f>
        <v>27750</v>
      </c>
      <c r="R644" s="150">
        <f>12675+12675</f>
        <v>25350</v>
      </c>
      <c r="S644" s="150">
        <f>11375+11375</f>
        <v>22750</v>
      </c>
      <c r="T644" s="150">
        <v>20250</v>
      </c>
      <c r="V644" s="459"/>
      <c r="W644" s="459"/>
      <c r="X644" s="459"/>
      <c r="Y644" s="459"/>
      <c r="Z644" s="459"/>
      <c r="AA644" s="459"/>
      <c r="AB644" s="459"/>
      <c r="AC644" s="459"/>
      <c r="AD644" s="459"/>
      <c r="AE644" s="459"/>
      <c r="AF644" s="459"/>
      <c r="AG644" s="459"/>
      <c r="AH644" s="459"/>
      <c r="AI644" s="459"/>
    </row>
    <row r="645" spans="1:38" ht="24" customHeight="1">
      <c r="A645" s="281" t="s">
        <v>1381</v>
      </c>
      <c r="B645" s="586"/>
      <c r="C645" s="586"/>
      <c r="D645" s="281" t="s">
        <v>1251</v>
      </c>
      <c r="E645" s="586"/>
      <c r="F645" s="586"/>
      <c r="G645" s="586"/>
      <c r="H645" s="586"/>
      <c r="I645" s="586"/>
      <c r="J645" s="586"/>
      <c r="K645" s="586"/>
      <c r="L645" s="230">
        <v>0</v>
      </c>
      <c r="M645" s="230">
        <v>1256453</v>
      </c>
      <c r="N645" s="164">
        <v>0</v>
      </c>
      <c r="O645" s="164">
        <v>0</v>
      </c>
      <c r="P645" s="163">
        <v>0</v>
      </c>
      <c r="Q645" s="163">
        <v>0</v>
      </c>
      <c r="R645" s="163">
        <v>0</v>
      </c>
      <c r="S645" s="163">
        <v>0</v>
      </c>
      <c r="T645" s="163">
        <v>0</v>
      </c>
      <c r="V645" s="459"/>
      <c r="W645" s="459"/>
      <c r="X645" s="459"/>
      <c r="Y645" s="459"/>
      <c r="Z645" s="459"/>
      <c r="AA645" s="459"/>
      <c r="AB645" s="459"/>
      <c r="AC645" s="459"/>
      <c r="AD645" s="459"/>
      <c r="AE645" s="459"/>
      <c r="AF645" s="459"/>
      <c r="AG645" s="459"/>
      <c r="AH645" s="459"/>
      <c r="AI645" s="459"/>
    </row>
    <row r="646" spans="1:38" ht="15" customHeight="1">
      <c r="A646" s="215"/>
      <c r="B646" s="215"/>
      <c r="C646" s="215"/>
      <c r="D646" s="215"/>
      <c r="E646" s="215"/>
      <c r="F646" s="215"/>
      <c r="G646" s="215"/>
      <c r="H646" s="215"/>
      <c r="I646" s="215"/>
      <c r="J646" s="215"/>
      <c r="K646" s="215"/>
      <c r="L646" s="231"/>
      <c r="M646" s="231"/>
      <c r="N646" s="166"/>
      <c r="O646" s="166"/>
      <c r="P646" s="165"/>
      <c r="Q646" s="165"/>
      <c r="R646" s="165"/>
      <c r="S646" s="165"/>
      <c r="T646" s="165"/>
      <c r="V646" s="200"/>
      <c r="W646" s="200"/>
      <c r="X646" s="200"/>
      <c r="Y646" s="200"/>
      <c r="Z646" s="200"/>
      <c r="AA646" s="200"/>
      <c r="AB646" s="200"/>
      <c r="AC646" s="200"/>
      <c r="AD646" s="200"/>
      <c r="AE646" s="200"/>
      <c r="AF646" s="200"/>
      <c r="AG646" s="200"/>
      <c r="AH646" s="200"/>
      <c r="AI646" s="200"/>
    </row>
    <row r="647" spans="1:38" s="215" customFormat="1" ht="24" customHeight="1">
      <c r="K647" s="285" t="s">
        <v>550</v>
      </c>
      <c r="L647" s="233">
        <f>SUM(L572:L646)</f>
        <v>2763633</v>
      </c>
      <c r="M647" s="233">
        <f t="shared" ref="M647:T647" si="219">SUM(M572:M646)</f>
        <v>4319725</v>
      </c>
      <c r="N647" s="234">
        <f t="shared" si="219"/>
        <v>7949715</v>
      </c>
      <c r="O647" s="234">
        <f t="shared" si="219"/>
        <v>4397027</v>
      </c>
      <c r="P647" s="233">
        <f t="shared" si="219"/>
        <v>6445269</v>
      </c>
      <c r="Q647" s="233">
        <f t="shared" si="219"/>
        <v>4041487</v>
      </c>
      <c r="R647" s="233">
        <f t="shared" si="219"/>
        <v>4322721</v>
      </c>
      <c r="S647" s="233">
        <f t="shared" si="219"/>
        <v>5234152</v>
      </c>
      <c r="T647" s="233">
        <f t="shared" si="219"/>
        <v>4619018</v>
      </c>
      <c r="U647" s="470"/>
    </row>
    <row r="648" spans="1:38" s="215" customFormat="1" ht="15" customHeight="1">
      <c r="L648" s="231"/>
      <c r="M648" s="231"/>
      <c r="N648" s="232"/>
      <c r="O648" s="232"/>
      <c r="P648" s="231"/>
      <c r="Q648" s="231"/>
      <c r="R648" s="231"/>
      <c r="S648" s="231"/>
      <c r="T648" s="231"/>
      <c r="U648" s="470"/>
    </row>
    <row r="649" spans="1:38" s="215" customFormat="1" ht="24" customHeight="1">
      <c r="K649" s="285" t="s">
        <v>549</v>
      </c>
      <c r="L649" s="250">
        <f t="shared" ref="L649:T649" si="220">L569-L647</f>
        <v>-175756</v>
      </c>
      <c r="M649" s="250">
        <f t="shared" si="220"/>
        <v>-250935</v>
      </c>
      <c r="N649" s="251">
        <f t="shared" si="220"/>
        <v>-276196</v>
      </c>
      <c r="O649" s="251">
        <f t="shared" si="220"/>
        <v>3310778</v>
      </c>
      <c r="P649" s="250">
        <f t="shared" si="220"/>
        <v>-2650361</v>
      </c>
      <c r="Q649" s="250">
        <f t="shared" si="220"/>
        <v>-147130</v>
      </c>
      <c r="R649" s="250">
        <f t="shared" si="220"/>
        <v>-423392</v>
      </c>
      <c r="S649" s="250">
        <f t="shared" si="220"/>
        <v>-919978</v>
      </c>
      <c r="T649" s="250">
        <f t="shared" si="220"/>
        <v>177693</v>
      </c>
      <c r="U649" s="470"/>
    </row>
    <row r="650" spans="1:38" s="215" customFormat="1" ht="15" customHeight="1">
      <c r="L650" s="250"/>
      <c r="M650" s="250"/>
      <c r="N650" s="251"/>
      <c r="O650" s="251"/>
      <c r="P650" s="250"/>
      <c r="Q650" s="250"/>
      <c r="R650" s="250"/>
      <c r="S650" s="250"/>
      <c r="T650" s="250"/>
      <c r="U650" s="470"/>
    </row>
    <row r="651" spans="1:38" s="215" customFormat="1" ht="24" customHeight="1">
      <c r="J651" s="300" t="s">
        <v>560</v>
      </c>
      <c r="L651" s="250">
        <v>1350923</v>
      </c>
      <c r="M651" s="250">
        <v>1099988</v>
      </c>
      <c r="N651" s="251">
        <v>558007</v>
      </c>
      <c r="O651" s="251">
        <f>M651+O649</f>
        <v>4410766</v>
      </c>
      <c r="P651" s="250">
        <f>O651+P649</f>
        <v>1760405</v>
      </c>
      <c r="Q651" s="250">
        <f>P651+Q649</f>
        <v>1613275</v>
      </c>
      <c r="R651" s="250">
        <f>Q651+R649</f>
        <v>1189883</v>
      </c>
      <c r="S651" s="250">
        <f>R651+S649</f>
        <v>269905</v>
      </c>
      <c r="T651" s="250">
        <f>S651+T649</f>
        <v>447598</v>
      </c>
      <c r="U651" s="470"/>
      <c r="V651" s="713"/>
    </row>
    <row r="652" spans="1:38" s="294" customFormat="1" ht="24" customHeight="1">
      <c r="L652" s="252">
        <f t="shared" ref="L652" si="221">L651/L647</f>
        <v>0.4888214173155408</v>
      </c>
      <c r="M652" s="252">
        <f t="shared" ref="M652:T652" si="222">M651/M647</f>
        <v>0.25464306176897833</v>
      </c>
      <c r="N652" s="253">
        <f t="shared" ref="N652:O652" si="223">N651/N647</f>
        <v>7.0192076068135781E-2</v>
      </c>
      <c r="O652" s="253">
        <f t="shared" si="223"/>
        <v>1.0031246112430059</v>
      </c>
      <c r="P652" s="252">
        <f>P651/P647</f>
        <v>0.2731313464185901</v>
      </c>
      <c r="Q652" s="252">
        <f t="shared" si="222"/>
        <v>0.39917856967002491</v>
      </c>
      <c r="R652" s="252">
        <f t="shared" si="222"/>
        <v>0.27526250248396783</v>
      </c>
      <c r="S652" s="252">
        <f t="shared" ref="S652" si="224">S651/S647</f>
        <v>5.1566137169879664E-2</v>
      </c>
      <c r="T652" s="252">
        <f t="shared" si="222"/>
        <v>9.690328117361742E-2</v>
      </c>
      <c r="U652" s="337"/>
    </row>
    <row r="653" spans="1:38" s="291" customFormat="1" ht="15" customHeight="1">
      <c r="A653" s="521"/>
      <c r="B653" s="521"/>
      <c r="C653" s="521"/>
      <c r="D653" s="521"/>
      <c r="E653" s="521"/>
      <c r="F653" s="521"/>
      <c r="G653" s="521"/>
      <c r="H653" s="521"/>
      <c r="I653" s="521"/>
      <c r="J653" s="521"/>
      <c r="K653" s="290"/>
      <c r="L653" s="400"/>
      <c r="M653" s="400"/>
      <c r="N653" s="405"/>
      <c r="O653" s="405"/>
      <c r="P653" s="406"/>
      <c r="Q653" s="406"/>
      <c r="R653" s="406"/>
      <c r="S653" s="406"/>
      <c r="T653" s="406"/>
      <c r="U653" s="211"/>
      <c r="V653" s="213"/>
      <c r="W653" s="213"/>
      <c r="X653" s="213"/>
      <c r="Y653" s="213"/>
      <c r="Z653" s="213"/>
      <c r="AA653" s="213"/>
    </row>
    <row r="654" spans="1:38" ht="15" customHeight="1">
      <c r="A654" s="215"/>
      <c r="B654" s="215"/>
      <c r="C654" s="215"/>
      <c r="D654" s="215"/>
      <c r="E654" s="215"/>
      <c r="F654" s="215"/>
      <c r="G654" s="215"/>
      <c r="H654" s="215"/>
      <c r="I654" s="215"/>
      <c r="J654" s="215"/>
      <c r="K654" s="215"/>
      <c r="L654" s="399"/>
      <c r="M654" s="399"/>
      <c r="N654" s="403"/>
      <c r="O654" s="403"/>
      <c r="P654" s="404"/>
      <c r="Q654" s="404"/>
      <c r="R654" s="404"/>
      <c r="S654" s="404"/>
      <c r="T654" s="404"/>
    </row>
    <row r="655" spans="1:38" ht="24" customHeight="1">
      <c r="A655" s="292" t="s">
        <v>571</v>
      </c>
      <c r="B655" s="215"/>
      <c r="C655" s="215"/>
      <c r="D655" s="215"/>
      <c r="E655" s="215"/>
      <c r="F655" s="215"/>
      <c r="G655" s="215"/>
      <c r="H655" s="215"/>
      <c r="I655" s="215"/>
      <c r="J655" s="215"/>
      <c r="K655" s="215"/>
      <c r="L655" s="279"/>
      <c r="M655" s="279"/>
      <c r="N655" s="397"/>
      <c r="O655" s="397"/>
      <c r="P655" s="398"/>
      <c r="Q655" s="398"/>
      <c r="R655" s="398"/>
      <c r="S655" s="398"/>
      <c r="T655" s="398"/>
    </row>
    <row r="656" spans="1:38" ht="15" customHeight="1">
      <c r="A656" s="215"/>
      <c r="B656" s="215"/>
      <c r="C656" s="215"/>
      <c r="D656" s="215"/>
      <c r="E656" s="215"/>
      <c r="F656" s="215"/>
      <c r="G656" s="215"/>
      <c r="H656" s="215"/>
      <c r="I656" s="215"/>
      <c r="J656" s="215"/>
      <c r="K656" s="215"/>
      <c r="L656" s="279"/>
      <c r="M656" s="279"/>
      <c r="N656" s="397"/>
      <c r="O656" s="397"/>
      <c r="P656" s="398"/>
      <c r="Q656" s="398"/>
      <c r="R656" s="398"/>
      <c r="S656" s="398"/>
      <c r="T656" s="398"/>
    </row>
    <row r="657" spans="1:30" ht="24" customHeight="1">
      <c r="A657" s="281" t="s">
        <v>1241</v>
      </c>
      <c r="B657" s="282"/>
      <c r="C657" s="282"/>
      <c r="D657" s="215" t="s">
        <v>375</v>
      </c>
      <c r="E657" s="282"/>
      <c r="F657" s="282"/>
      <c r="G657" s="282"/>
      <c r="H657" s="282"/>
      <c r="I657" s="282"/>
      <c r="J657" s="282"/>
      <c r="K657" s="282"/>
      <c r="L657" s="225">
        <v>110601</v>
      </c>
      <c r="M657" s="225">
        <v>0</v>
      </c>
      <c r="N657" s="172">
        <v>0</v>
      </c>
      <c r="O657" s="172">
        <v>0</v>
      </c>
      <c r="P657" s="171">
        <v>0</v>
      </c>
      <c r="Q657" s="171">
        <v>0</v>
      </c>
      <c r="R657" s="171">
        <v>0</v>
      </c>
      <c r="S657" s="171">
        <v>0</v>
      </c>
      <c r="T657" s="171">
        <v>0</v>
      </c>
      <c r="V657" s="418"/>
      <c r="W657" s="419"/>
      <c r="AD657" s="625"/>
    </row>
    <row r="658" spans="1:30" ht="24" customHeight="1">
      <c r="A658" s="281" t="s">
        <v>892</v>
      </c>
      <c r="B658" s="282"/>
      <c r="C658" s="282"/>
      <c r="D658" s="281" t="s">
        <v>917</v>
      </c>
      <c r="E658" s="358"/>
      <c r="F658" s="358"/>
      <c r="G658" s="358"/>
      <c r="H658" s="358"/>
      <c r="I658" s="358"/>
      <c r="J658" s="358"/>
      <c r="K658" s="358"/>
      <c r="L658" s="225">
        <v>16800</v>
      </c>
      <c r="M658" s="225">
        <v>35000</v>
      </c>
      <c r="N658" s="172">
        <v>0</v>
      </c>
      <c r="O658" s="172">
        <v>0</v>
      </c>
      <c r="P658" s="171">
        <v>0</v>
      </c>
      <c r="Q658" s="171">
        <v>0</v>
      </c>
      <c r="R658" s="171">
        <v>0</v>
      </c>
      <c r="S658" s="171">
        <v>0</v>
      </c>
      <c r="T658" s="171">
        <v>0</v>
      </c>
      <c r="V658" s="149"/>
      <c r="AD658" s="625"/>
    </row>
    <row r="659" spans="1:30" ht="24" customHeight="1">
      <c r="A659" s="281" t="s">
        <v>376</v>
      </c>
      <c r="B659" s="215"/>
      <c r="C659" s="215"/>
      <c r="D659" s="281" t="s">
        <v>377</v>
      </c>
      <c r="E659" s="388"/>
      <c r="F659" s="388"/>
      <c r="G659" s="387"/>
      <c r="H659" s="387"/>
      <c r="I659" s="387"/>
      <c r="J659" s="387"/>
      <c r="K659" s="387"/>
      <c r="L659" s="225">
        <v>756746</v>
      </c>
      <c r="M659" s="225">
        <v>790556</v>
      </c>
      <c r="N659" s="157">
        <v>802200</v>
      </c>
      <c r="O659" s="223">
        <f>ROUND((7100*19.1)*6,0)</f>
        <v>813660</v>
      </c>
      <c r="P659" s="154">
        <f>ROUND(((7100*6)*19.67),0)</f>
        <v>837942</v>
      </c>
      <c r="Q659" s="154">
        <f>ROUND(((7100*6)*20.26),0)</f>
        <v>863076</v>
      </c>
      <c r="R659" s="154">
        <f>ROUND(((7100*6)*20.87),0)</f>
        <v>889062</v>
      </c>
      <c r="S659" s="154">
        <f>ROUND(R659*1.03,0)</f>
        <v>915734</v>
      </c>
      <c r="T659" s="154">
        <f>ROUND(S659*1.03,0)</f>
        <v>943206</v>
      </c>
      <c r="V659" s="418"/>
      <c r="W659" s="419"/>
      <c r="X659" s="419"/>
      <c r="AD659" s="625"/>
    </row>
    <row r="660" spans="1:30" ht="24" customHeight="1">
      <c r="A660" s="281" t="s">
        <v>1050</v>
      </c>
      <c r="B660" s="282"/>
      <c r="C660" s="282"/>
      <c r="D660" s="281" t="s">
        <v>1052</v>
      </c>
      <c r="E660" s="396"/>
      <c r="F660" s="396"/>
      <c r="G660" s="396"/>
      <c r="H660" s="396"/>
      <c r="I660" s="396"/>
      <c r="J660" s="396"/>
      <c r="K660" s="396"/>
      <c r="L660" s="225">
        <v>333587</v>
      </c>
      <c r="M660" s="225">
        <v>341199</v>
      </c>
      <c r="N660" s="223">
        <v>340000</v>
      </c>
      <c r="O660" s="157">
        <v>340000</v>
      </c>
      <c r="P660" s="222">
        <v>340000</v>
      </c>
      <c r="Q660" s="222">
        <v>340000</v>
      </c>
      <c r="R660" s="222">
        <v>340000</v>
      </c>
      <c r="S660" s="222">
        <v>340000</v>
      </c>
      <c r="T660" s="222">
        <v>340000</v>
      </c>
      <c r="V660" s="149"/>
      <c r="AD660" s="625"/>
    </row>
    <row r="661" spans="1:30" ht="24" customHeight="1">
      <c r="A661" s="281" t="s">
        <v>378</v>
      </c>
      <c r="B661" s="282"/>
      <c r="C661" s="282"/>
      <c r="D661" s="281" t="s">
        <v>379</v>
      </c>
      <c r="E661" s="620"/>
      <c r="F661" s="620"/>
      <c r="G661" s="620"/>
      <c r="H661" s="620"/>
      <c r="I661" s="620"/>
      <c r="J661" s="620"/>
      <c r="K661" s="620"/>
      <c r="L661" s="225">
        <v>800</v>
      </c>
      <c r="M661" s="225">
        <v>600</v>
      </c>
      <c r="N661" s="157">
        <v>5000</v>
      </c>
      <c r="O661" s="157">
        <v>750</v>
      </c>
      <c r="P661" s="154">
        <v>2000</v>
      </c>
      <c r="Q661" s="154">
        <v>5000</v>
      </c>
      <c r="R661" s="154">
        <v>5000</v>
      </c>
      <c r="S661" s="154">
        <v>5000</v>
      </c>
      <c r="T661" s="154">
        <v>5000</v>
      </c>
      <c r="V661" s="152"/>
      <c r="AD661" s="625"/>
    </row>
    <row r="662" spans="1:30" ht="24" customHeight="1">
      <c r="A662" s="281" t="s">
        <v>380</v>
      </c>
      <c r="B662" s="282"/>
      <c r="C662" s="282"/>
      <c r="D662" s="281" t="s">
        <v>381</v>
      </c>
      <c r="E662" s="620"/>
      <c r="F662" s="620"/>
      <c r="G662" s="620"/>
      <c r="H662" s="620"/>
      <c r="I662" s="620"/>
      <c r="J662" s="620"/>
      <c r="K662" s="620"/>
      <c r="L662" s="222">
        <v>9200</v>
      </c>
      <c r="M662" s="222">
        <v>5400</v>
      </c>
      <c r="N662" s="157">
        <v>20000</v>
      </c>
      <c r="O662" s="157">
        <v>5000</v>
      </c>
      <c r="P662" s="154">
        <v>7000</v>
      </c>
      <c r="Q662" s="154">
        <v>25000</v>
      </c>
      <c r="R662" s="154">
        <v>25000</v>
      </c>
      <c r="S662" s="154">
        <v>25000</v>
      </c>
      <c r="T662" s="154">
        <v>25000</v>
      </c>
      <c r="V662" s="152"/>
      <c r="AD662" s="625"/>
    </row>
    <row r="663" spans="1:30" ht="24" customHeight="1">
      <c r="A663" s="281" t="s">
        <v>1051</v>
      </c>
      <c r="B663" s="282"/>
      <c r="C663" s="282"/>
      <c r="D663" s="281" t="s">
        <v>995</v>
      </c>
      <c r="E663" s="282"/>
      <c r="F663" s="282"/>
      <c r="G663" s="282"/>
      <c r="H663" s="282"/>
      <c r="I663" s="282"/>
      <c r="J663" s="282"/>
      <c r="K663" s="282"/>
      <c r="L663" s="225">
        <v>13821</v>
      </c>
      <c r="M663" s="225">
        <v>13634</v>
      </c>
      <c r="N663" s="172">
        <v>13000</v>
      </c>
      <c r="O663" s="172">
        <v>13000</v>
      </c>
      <c r="P663" s="171">
        <v>13000</v>
      </c>
      <c r="Q663" s="171">
        <v>13000</v>
      </c>
      <c r="R663" s="171">
        <v>13000</v>
      </c>
      <c r="S663" s="171">
        <v>13000</v>
      </c>
      <c r="T663" s="171">
        <v>13000</v>
      </c>
      <c r="AD663" s="625"/>
    </row>
    <row r="664" spans="1:30" ht="24" customHeight="1">
      <c r="A664" s="281" t="s">
        <v>382</v>
      </c>
      <c r="B664" s="282"/>
      <c r="C664" s="282"/>
      <c r="D664" s="281" t="s">
        <v>383</v>
      </c>
      <c r="E664" s="613"/>
      <c r="F664" s="613"/>
      <c r="G664" s="613"/>
      <c r="H664" s="613"/>
      <c r="I664" s="613"/>
      <c r="J664" s="613"/>
      <c r="K664" s="613"/>
      <c r="L664" s="225">
        <v>278</v>
      </c>
      <c r="M664" s="225">
        <v>324</v>
      </c>
      <c r="N664" s="157">
        <v>0</v>
      </c>
      <c r="O664" s="157">
        <v>924</v>
      </c>
      <c r="P664" s="154">
        <v>0</v>
      </c>
      <c r="Q664" s="154">
        <v>0</v>
      </c>
      <c r="R664" s="154">
        <v>0</v>
      </c>
      <c r="S664" s="154">
        <v>0</v>
      </c>
      <c r="T664" s="154">
        <v>0</v>
      </c>
      <c r="AD664" s="625"/>
    </row>
    <row r="665" spans="1:30" ht="24" customHeight="1">
      <c r="A665" s="281" t="s">
        <v>384</v>
      </c>
      <c r="B665" s="282"/>
      <c r="C665" s="282"/>
      <c r="D665" s="770" t="s">
        <v>6</v>
      </c>
      <c r="E665" s="770"/>
      <c r="F665" s="770"/>
      <c r="G665" s="770"/>
      <c r="H665" s="770"/>
      <c r="I665" s="770"/>
      <c r="J665" s="770"/>
      <c r="K665" s="770"/>
      <c r="L665" s="224">
        <v>9260</v>
      </c>
      <c r="M665" s="224">
        <v>5427</v>
      </c>
      <c r="N665" s="151">
        <v>1500</v>
      </c>
      <c r="O665" s="151">
        <v>1100</v>
      </c>
      <c r="P665" s="150">
        <v>1000</v>
      </c>
      <c r="Q665" s="150">
        <v>500</v>
      </c>
      <c r="R665" s="150">
        <v>500</v>
      </c>
      <c r="S665" s="150">
        <v>500</v>
      </c>
      <c r="T665" s="150">
        <v>500</v>
      </c>
      <c r="AD665" s="625"/>
    </row>
    <row r="666" spans="1:30" ht="24" customHeight="1">
      <c r="A666" s="281" t="s">
        <v>1382</v>
      </c>
      <c r="B666" s="586"/>
      <c r="C666" s="586"/>
      <c r="D666" s="770" t="s">
        <v>1373</v>
      </c>
      <c r="E666" s="770"/>
      <c r="F666" s="770"/>
      <c r="G666" s="770"/>
      <c r="H666" s="770"/>
      <c r="I666" s="770"/>
      <c r="J666" s="770"/>
      <c r="K666" s="770"/>
      <c r="L666" s="224">
        <v>0</v>
      </c>
      <c r="M666" s="224">
        <v>3749</v>
      </c>
      <c r="N666" s="151">
        <v>0</v>
      </c>
      <c r="O666" s="151">
        <v>0</v>
      </c>
      <c r="P666" s="150">
        <v>0</v>
      </c>
      <c r="Q666" s="150">
        <v>0</v>
      </c>
      <c r="R666" s="150">
        <v>0</v>
      </c>
      <c r="S666" s="150">
        <v>0</v>
      </c>
      <c r="T666" s="150">
        <v>0</v>
      </c>
      <c r="AD666" s="625"/>
    </row>
    <row r="667" spans="1:30" ht="24" customHeight="1">
      <c r="A667" s="281" t="s">
        <v>1304</v>
      </c>
      <c r="B667" s="543"/>
      <c r="C667" s="543"/>
      <c r="D667" s="281" t="s">
        <v>1305</v>
      </c>
      <c r="E667" s="543"/>
      <c r="F667" s="543"/>
      <c r="G667" s="543"/>
      <c r="H667" s="543"/>
      <c r="I667" s="543"/>
      <c r="J667" s="543"/>
      <c r="K667" s="543"/>
      <c r="L667" s="224">
        <v>0</v>
      </c>
      <c r="M667" s="224">
        <v>0</v>
      </c>
      <c r="N667" s="151">
        <v>200000</v>
      </c>
      <c r="O667" s="151">
        <v>200000</v>
      </c>
      <c r="P667" s="150">
        <f>P709</f>
        <v>200000</v>
      </c>
      <c r="Q667" s="150">
        <f t="shared" ref="Q667:T667" si="225">Q709</f>
        <v>200000</v>
      </c>
      <c r="R667" s="150">
        <f t="shared" si="225"/>
        <v>200000</v>
      </c>
      <c r="S667" s="150">
        <f t="shared" si="225"/>
        <v>200000</v>
      </c>
      <c r="T667" s="150">
        <f t="shared" si="225"/>
        <v>200000</v>
      </c>
      <c r="V667" s="149"/>
      <c r="AD667" s="625"/>
    </row>
    <row r="668" spans="1:30" ht="24" customHeight="1">
      <c r="A668" s="281" t="s">
        <v>385</v>
      </c>
      <c r="B668" s="282"/>
      <c r="C668" s="282"/>
      <c r="D668" s="770" t="s">
        <v>63</v>
      </c>
      <c r="E668" s="770"/>
      <c r="F668" s="770"/>
      <c r="G668" s="770"/>
      <c r="H668" s="770"/>
      <c r="I668" s="770"/>
      <c r="J668" s="770"/>
      <c r="K668" s="770"/>
      <c r="L668" s="224">
        <v>1300</v>
      </c>
      <c r="M668" s="224">
        <v>2360</v>
      </c>
      <c r="N668" s="151">
        <v>0</v>
      </c>
      <c r="O668" s="151">
        <v>1175</v>
      </c>
      <c r="P668" s="150">
        <v>0</v>
      </c>
      <c r="Q668" s="150">
        <v>0</v>
      </c>
      <c r="R668" s="150">
        <v>0</v>
      </c>
      <c r="S668" s="150">
        <v>0</v>
      </c>
      <c r="T668" s="150">
        <v>0</v>
      </c>
      <c r="AD668" s="625"/>
    </row>
    <row r="669" spans="1:30" ht="24" customHeight="1">
      <c r="A669" s="281" t="s">
        <v>386</v>
      </c>
      <c r="B669" s="282"/>
      <c r="C669" s="282"/>
      <c r="D669" s="281" t="s">
        <v>271</v>
      </c>
      <c r="E669" s="282"/>
      <c r="F669" s="282"/>
      <c r="G669" s="282"/>
      <c r="H669" s="282"/>
      <c r="I669" s="282"/>
      <c r="J669" s="282"/>
      <c r="K669" s="282"/>
      <c r="L669" s="224">
        <v>1137220</v>
      </c>
      <c r="M669" s="224">
        <v>1133972</v>
      </c>
      <c r="N669" s="151">
        <v>1134654</v>
      </c>
      <c r="O669" s="151">
        <v>1134654</v>
      </c>
      <c r="P669" s="150">
        <f>P724+P725</f>
        <v>1134052</v>
      </c>
      <c r="Q669" s="150">
        <f t="shared" ref="Q669:S669" si="226">Q724+Q725</f>
        <v>1137166</v>
      </c>
      <c r="R669" s="150">
        <f t="shared" si="226"/>
        <v>1133782</v>
      </c>
      <c r="S669" s="150">
        <f t="shared" si="226"/>
        <v>1134114</v>
      </c>
      <c r="T669" s="150">
        <f t="shared" ref="T669" si="227">T724+T725</f>
        <v>1137948</v>
      </c>
      <c r="V669" s="149"/>
      <c r="Z669" s="160"/>
      <c r="AD669" s="625"/>
    </row>
    <row r="670" spans="1:30" ht="24" customHeight="1">
      <c r="A670" s="281" t="s">
        <v>1117</v>
      </c>
      <c r="B670" s="363"/>
      <c r="C670" s="363"/>
      <c r="D670" s="281" t="s">
        <v>1101</v>
      </c>
      <c r="E670" s="363"/>
      <c r="F670" s="363"/>
      <c r="G670" s="363"/>
      <c r="H670" s="363"/>
      <c r="I670" s="363"/>
      <c r="J670" s="363"/>
      <c r="K670" s="363"/>
      <c r="L670" s="239">
        <v>0</v>
      </c>
      <c r="M670" s="239">
        <v>110000</v>
      </c>
      <c r="N670" s="176">
        <v>0</v>
      </c>
      <c r="O670" s="176">
        <v>0</v>
      </c>
      <c r="P670" s="175">
        <v>0</v>
      </c>
      <c r="Q670" s="175">
        <v>0</v>
      </c>
      <c r="R670" s="175">
        <v>0</v>
      </c>
      <c r="S670" s="175">
        <v>0</v>
      </c>
      <c r="T670" s="175">
        <v>0</v>
      </c>
      <c r="V670" s="149"/>
      <c r="Z670" s="160"/>
      <c r="AD670" s="625"/>
    </row>
    <row r="671" spans="1:30" ht="15" customHeight="1">
      <c r="A671" s="281"/>
      <c r="B671" s="282"/>
      <c r="C671" s="282"/>
      <c r="D671" s="215"/>
      <c r="E671" s="282"/>
      <c r="F671" s="282"/>
      <c r="G671" s="282"/>
      <c r="H671" s="282"/>
      <c r="I671" s="282"/>
      <c r="J671" s="282"/>
      <c r="K671" s="282"/>
      <c r="L671" s="230"/>
      <c r="M671" s="230"/>
      <c r="N671" s="164"/>
      <c r="O671" s="164"/>
      <c r="P671" s="163"/>
      <c r="Q671" s="163"/>
      <c r="R671" s="163"/>
      <c r="S671" s="163"/>
      <c r="T671" s="163"/>
      <c r="AD671" s="625"/>
    </row>
    <row r="672" spans="1:30" s="215" customFormat="1" ht="24" customHeight="1">
      <c r="K672" s="285" t="s">
        <v>545</v>
      </c>
      <c r="L672" s="233">
        <f t="shared" ref="L672" si="228">SUM(L657:L671)</f>
        <v>2389613</v>
      </c>
      <c r="M672" s="233">
        <f t="shared" ref="M672:T672" si="229">SUM(M657:M671)</f>
        <v>2442221</v>
      </c>
      <c r="N672" s="234">
        <f t="shared" si="229"/>
        <v>2516354</v>
      </c>
      <c r="O672" s="234">
        <f t="shared" ref="O672" si="230">SUM(O657:O671)</f>
        <v>2510263</v>
      </c>
      <c r="P672" s="233">
        <f t="shared" ref="P672:S672" si="231">SUM(P657:P671)</f>
        <v>2534994</v>
      </c>
      <c r="Q672" s="233">
        <f t="shared" si="231"/>
        <v>2583742</v>
      </c>
      <c r="R672" s="233">
        <f t="shared" si="231"/>
        <v>2606344</v>
      </c>
      <c r="S672" s="233">
        <f t="shared" si="231"/>
        <v>2633348</v>
      </c>
      <c r="T672" s="233">
        <f t="shared" si="229"/>
        <v>2664654</v>
      </c>
      <c r="U672" s="470"/>
      <c r="AC672" s="213"/>
      <c r="AD672" s="625"/>
    </row>
    <row r="673" spans="1:30" ht="15" customHeight="1">
      <c r="A673" s="215"/>
      <c r="B673" s="215"/>
      <c r="C673" s="215"/>
      <c r="D673" s="215"/>
      <c r="E673" s="215"/>
      <c r="F673" s="215"/>
      <c r="G673" s="215"/>
      <c r="H673" s="215"/>
      <c r="I673" s="215"/>
      <c r="J673" s="215"/>
      <c r="K673" s="215"/>
      <c r="L673" s="233"/>
      <c r="M673" s="233"/>
      <c r="N673" s="169"/>
      <c r="O673" s="169"/>
      <c r="P673" s="168"/>
      <c r="Q673" s="168"/>
      <c r="R673" s="168"/>
      <c r="S673" s="168"/>
      <c r="T673" s="168"/>
      <c r="AD673" s="625"/>
    </row>
    <row r="674" spans="1:30" ht="24" customHeight="1">
      <c r="A674" s="285" t="s">
        <v>1088</v>
      </c>
      <c r="B674" s="215"/>
      <c r="C674" s="215"/>
      <c r="D674" s="215"/>
      <c r="E674" s="215"/>
      <c r="F674" s="215"/>
      <c r="G674" s="215"/>
      <c r="H674" s="215"/>
      <c r="I674" s="215"/>
      <c r="J674" s="215"/>
      <c r="K674" s="215"/>
      <c r="L674" s="233"/>
      <c r="M674" s="233"/>
      <c r="N674" s="169"/>
      <c r="O674" s="169"/>
      <c r="P674" s="168"/>
      <c r="Q674" s="168"/>
      <c r="R674" s="168"/>
      <c r="S674" s="168"/>
      <c r="T674" s="168"/>
      <c r="AD674" s="625"/>
    </row>
    <row r="675" spans="1:30" ht="24" customHeight="1">
      <c r="A675" s="281" t="s">
        <v>387</v>
      </c>
      <c r="B675" s="282"/>
      <c r="C675" s="282"/>
      <c r="D675" s="281" t="s">
        <v>933</v>
      </c>
      <c r="E675" s="282"/>
      <c r="F675" s="282"/>
      <c r="G675" s="282"/>
      <c r="H675" s="282"/>
      <c r="I675" s="282"/>
      <c r="J675" s="282"/>
      <c r="K675" s="282"/>
      <c r="L675" s="224">
        <v>164160</v>
      </c>
      <c r="M675" s="224">
        <v>187220</v>
      </c>
      <c r="N675" s="159">
        <v>203003</v>
      </c>
      <c r="O675" s="151">
        <v>203003</v>
      </c>
      <c r="P675" s="158">
        <v>214289</v>
      </c>
      <c r="Q675" s="158">
        <v>221650</v>
      </c>
      <c r="R675" s="158">
        <v>228300</v>
      </c>
      <c r="S675" s="158">
        <v>235149</v>
      </c>
      <c r="T675" s="158">
        <v>242203</v>
      </c>
      <c r="V675" s="418"/>
      <c r="W675" s="419"/>
      <c r="X675" s="419"/>
      <c r="Y675" s="419"/>
      <c r="Z675" s="149"/>
      <c r="AD675" s="625"/>
    </row>
    <row r="676" spans="1:30" ht="24" customHeight="1">
      <c r="A676" s="281" t="s">
        <v>388</v>
      </c>
      <c r="B676" s="282"/>
      <c r="C676" s="282"/>
      <c r="D676" s="281" t="s">
        <v>14</v>
      </c>
      <c r="E676" s="282"/>
      <c r="F676" s="282"/>
      <c r="G676" s="282"/>
      <c r="H676" s="282"/>
      <c r="I676" s="282"/>
      <c r="J676" s="282"/>
      <c r="K676" s="282"/>
      <c r="L676" s="224">
        <v>113</v>
      </c>
      <c r="M676" s="224">
        <v>81</v>
      </c>
      <c r="N676" s="151">
        <v>2000</v>
      </c>
      <c r="O676" s="151">
        <v>2000</v>
      </c>
      <c r="P676" s="158">
        <v>2000</v>
      </c>
      <c r="Q676" s="150">
        <v>2000</v>
      </c>
      <c r="R676" s="150">
        <v>2000</v>
      </c>
      <c r="S676" s="150">
        <v>2000</v>
      </c>
      <c r="T676" s="150">
        <v>2000</v>
      </c>
      <c r="V676" s="418"/>
      <c r="W676" s="419"/>
      <c r="X676" s="419"/>
      <c r="Y676" s="419"/>
      <c r="AD676" s="625"/>
    </row>
    <row r="677" spans="1:30" ht="24" customHeight="1">
      <c r="A677" s="281" t="s">
        <v>389</v>
      </c>
      <c r="B677" s="282"/>
      <c r="C677" s="282"/>
      <c r="D677" s="281" t="s">
        <v>8</v>
      </c>
      <c r="E677" s="282"/>
      <c r="F677" s="282"/>
      <c r="G677" s="282"/>
      <c r="H677" s="282"/>
      <c r="I677" s="282"/>
      <c r="J677" s="282"/>
      <c r="K677" s="282"/>
      <c r="L677" s="224">
        <v>18268</v>
      </c>
      <c r="M677" s="224">
        <v>21410</v>
      </c>
      <c r="N677" s="151">
        <v>22807</v>
      </c>
      <c r="O677" s="151">
        <v>22807</v>
      </c>
      <c r="P677" s="158">
        <v>23359</v>
      </c>
      <c r="Q677" s="150">
        <v>24825</v>
      </c>
      <c r="R677" s="150">
        <v>26597</v>
      </c>
      <c r="S677" s="150">
        <v>28500</v>
      </c>
      <c r="T677" s="150">
        <v>30518</v>
      </c>
      <c r="V677" s="418"/>
      <c r="W677" s="419"/>
      <c r="X677" s="419"/>
      <c r="Y677" s="419"/>
      <c r="AD677" s="625"/>
    </row>
    <row r="678" spans="1:30" ht="24" customHeight="1">
      <c r="A678" s="281" t="s">
        <v>390</v>
      </c>
      <c r="B678" s="215"/>
      <c r="C678" s="215"/>
      <c r="D678" s="281" t="s">
        <v>9</v>
      </c>
      <c r="E678" s="215"/>
      <c r="F678" s="215"/>
      <c r="G678" s="215"/>
      <c r="H678" s="215"/>
      <c r="I678" s="215"/>
      <c r="J678" s="215"/>
      <c r="K678" s="215"/>
      <c r="L678" s="224">
        <v>12371</v>
      </c>
      <c r="M678" s="224">
        <v>14093</v>
      </c>
      <c r="N678" s="159">
        <v>15177</v>
      </c>
      <c r="O678" s="151">
        <v>15177</v>
      </c>
      <c r="P678" s="158">
        <v>16175</v>
      </c>
      <c r="Q678" s="158">
        <v>16731</v>
      </c>
      <c r="R678" s="158">
        <v>17233</v>
      </c>
      <c r="S678" s="158">
        <v>17750</v>
      </c>
      <c r="T678" s="158">
        <v>18283</v>
      </c>
      <c r="V678" s="418"/>
      <c r="W678" s="419"/>
      <c r="X678" s="419"/>
      <c r="Y678" s="419"/>
      <c r="AD678" s="625"/>
    </row>
    <row r="679" spans="1:30" ht="24" customHeight="1">
      <c r="A679" s="281" t="s">
        <v>594</v>
      </c>
      <c r="B679" s="215"/>
      <c r="C679" s="215"/>
      <c r="D679" s="281" t="s">
        <v>13</v>
      </c>
      <c r="E679" s="215"/>
      <c r="F679" s="215"/>
      <c r="G679" s="215"/>
      <c r="H679" s="215"/>
      <c r="I679" s="215"/>
      <c r="J679" s="215"/>
      <c r="K679" s="215"/>
      <c r="L679" s="224">
        <v>32305</v>
      </c>
      <c r="M679" s="224">
        <v>40589</v>
      </c>
      <c r="N679" s="156">
        <v>70903</v>
      </c>
      <c r="O679" s="156">
        <f>ROUND(17632.13+(7*(3440.02-365.7))+(150*8)+(7*9)+6+2600,0)</f>
        <v>43021</v>
      </c>
      <c r="P679" s="158">
        <v>51144</v>
      </c>
      <c r="Q679" s="155">
        <v>55236</v>
      </c>
      <c r="R679" s="155">
        <v>59655</v>
      </c>
      <c r="S679" s="155">
        <v>64427</v>
      </c>
      <c r="T679" s="155">
        <v>69581</v>
      </c>
      <c r="V679" s="418"/>
      <c r="W679" s="419"/>
      <c r="X679" s="418"/>
      <c r="Y679" s="419"/>
      <c r="AA679" s="149"/>
      <c r="AD679" s="625"/>
    </row>
    <row r="680" spans="1:30" ht="24" customHeight="1">
      <c r="A680" s="281" t="s">
        <v>595</v>
      </c>
      <c r="B680" s="215"/>
      <c r="C680" s="215"/>
      <c r="D680" s="281" t="s">
        <v>182</v>
      </c>
      <c r="E680" s="215"/>
      <c r="F680" s="215"/>
      <c r="G680" s="215"/>
      <c r="H680" s="215"/>
      <c r="I680" s="215"/>
      <c r="J680" s="215"/>
      <c r="K680" s="215"/>
      <c r="L680" s="224">
        <v>265</v>
      </c>
      <c r="M680" s="224">
        <v>328</v>
      </c>
      <c r="N680" s="156">
        <v>373</v>
      </c>
      <c r="O680" s="156">
        <f>ROUND(136.4+(8*(34.1)),0)</f>
        <v>409</v>
      </c>
      <c r="P680" s="158">
        <v>371</v>
      </c>
      <c r="Q680" s="155">
        <v>371</v>
      </c>
      <c r="R680" s="155">
        <v>375</v>
      </c>
      <c r="S680" s="155">
        <v>379</v>
      </c>
      <c r="T680" s="155">
        <v>383</v>
      </c>
      <c r="V680" s="418"/>
      <c r="W680" s="419"/>
      <c r="X680" s="418"/>
      <c r="Y680" s="419"/>
      <c r="AA680" s="149"/>
      <c r="AD680" s="625"/>
    </row>
    <row r="681" spans="1:30" ht="24" customHeight="1">
      <c r="A681" s="281" t="s">
        <v>596</v>
      </c>
      <c r="B681" s="215"/>
      <c r="C681" s="215"/>
      <c r="D681" s="281" t="s">
        <v>600</v>
      </c>
      <c r="E681" s="215"/>
      <c r="F681" s="215"/>
      <c r="G681" s="215"/>
      <c r="H681" s="215"/>
      <c r="I681" s="215"/>
      <c r="J681" s="215"/>
      <c r="K681" s="215"/>
      <c r="L681" s="224">
        <v>2006</v>
      </c>
      <c r="M681" s="224">
        <v>3215</v>
      </c>
      <c r="N681" s="156">
        <v>4650</v>
      </c>
      <c r="O681" s="156">
        <f>ROUND(1414.56+(8*353.64),0)</f>
        <v>4244</v>
      </c>
      <c r="P681" s="158">
        <v>4658</v>
      </c>
      <c r="Q681" s="155">
        <v>4891</v>
      </c>
      <c r="R681" s="155">
        <v>5136</v>
      </c>
      <c r="S681" s="155">
        <v>5393</v>
      </c>
      <c r="T681" s="155">
        <v>5663</v>
      </c>
      <c r="V681" s="418"/>
      <c r="W681" s="419"/>
      <c r="X681" s="418"/>
      <c r="Y681" s="419"/>
      <c r="AA681" s="149"/>
      <c r="AD681" s="625"/>
    </row>
    <row r="682" spans="1:30" ht="24" customHeight="1">
      <c r="A682" s="281" t="s">
        <v>608</v>
      </c>
      <c r="B682" s="215"/>
      <c r="C682" s="215"/>
      <c r="D682" s="281" t="s">
        <v>602</v>
      </c>
      <c r="E682" s="215"/>
      <c r="F682" s="215"/>
      <c r="G682" s="215"/>
      <c r="H682" s="215"/>
      <c r="I682" s="215"/>
      <c r="J682" s="215"/>
      <c r="K682" s="215"/>
      <c r="L682" s="224">
        <v>277</v>
      </c>
      <c r="M682" s="224">
        <v>407</v>
      </c>
      <c r="N682" s="156">
        <v>479</v>
      </c>
      <c r="O682" s="156">
        <f>ROUND(183.88+(8*45.97),0)</f>
        <v>552</v>
      </c>
      <c r="P682" s="158">
        <v>552</v>
      </c>
      <c r="Q682" s="155">
        <v>569</v>
      </c>
      <c r="R682" s="155">
        <v>586</v>
      </c>
      <c r="S682" s="155">
        <v>604</v>
      </c>
      <c r="T682" s="155">
        <v>622</v>
      </c>
      <c r="V682" s="418"/>
      <c r="W682" s="419"/>
      <c r="X682" s="418"/>
      <c r="Y682" s="419"/>
      <c r="AA682" s="149"/>
      <c r="AD682" s="625"/>
    </row>
    <row r="683" spans="1:30" ht="24" customHeight="1">
      <c r="A683" s="281" t="s">
        <v>575</v>
      </c>
      <c r="B683" s="215"/>
      <c r="C683" s="215"/>
      <c r="D683" s="281" t="s">
        <v>181</v>
      </c>
      <c r="E683" s="215"/>
      <c r="F683" s="215"/>
      <c r="G683" s="215"/>
      <c r="H683" s="215"/>
      <c r="I683" s="215"/>
      <c r="J683" s="215"/>
      <c r="K683" s="215"/>
      <c r="L683" s="224">
        <v>302</v>
      </c>
      <c r="M683" s="224">
        <v>376</v>
      </c>
      <c r="N683" s="151">
        <v>1000</v>
      </c>
      <c r="O683" s="151">
        <v>500</v>
      </c>
      <c r="P683" s="150">
        <v>1000</v>
      </c>
      <c r="Q683" s="150">
        <v>1000</v>
      </c>
      <c r="R683" s="150">
        <v>1000</v>
      </c>
      <c r="S683" s="150">
        <v>1000</v>
      </c>
      <c r="T683" s="150">
        <v>1000</v>
      </c>
      <c r="AD683" s="625"/>
    </row>
    <row r="684" spans="1:30" ht="24" customHeight="1">
      <c r="A684" s="281" t="s">
        <v>573</v>
      </c>
      <c r="B684" s="215"/>
      <c r="C684" s="215"/>
      <c r="D684" s="281" t="s">
        <v>239</v>
      </c>
      <c r="E684" s="215"/>
      <c r="F684" s="215"/>
      <c r="G684" s="215"/>
      <c r="H684" s="215"/>
      <c r="I684" s="215"/>
      <c r="J684" s="215"/>
      <c r="K684" s="215"/>
      <c r="L684" s="224">
        <v>14236</v>
      </c>
      <c r="M684" s="224">
        <v>12025</v>
      </c>
      <c r="N684" s="151">
        <v>11660</v>
      </c>
      <c r="O684" s="151">
        <f>11456+803</f>
        <v>12259</v>
      </c>
      <c r="P684" s="150">
        <f>ROUND(O684*1.06,0)</f>
        <v>12995</v>
      </c>
      <c r="Q684" s="150">
        <f>ROUND(P684*1.06,0)</f>
        <v>13775</v>
      </c>
      <c r="R684" s="150">
        <f>ROUND(Q684*1.06,0)</f>
        <v>14602</v>
      </c>
      <c r="S684" s="150">
        <f>ROUND(R684*1.06,0)</f>
        <v>15478</v>
      </c>
      <c r="T684" s="150">
        <f>ROUND(S684*1.06,0)</f>
        <v>16407</v>
      </c>
      <c r="V684" s="418"/>
      <c r="W684" s="419"/>
      <c r="X684" s="727"/>
      <c r="AD684" s="625"/>
    </row>
    <row r="685" spans="1:30" ht="24" customHeight="1">
      <c r="A685" s="281" t="s">
        <v>893</v>
      </c>
      <c r="B685" s="215"/>
      <c r="C685" s="215"/>
      <c r="D685" s="215" t="s">
        <v>888</v>
      </c>
      <c r="E685" s="215"/>
      <c r="F685" s="215"/>
      <c r="G685" s="215"/>
      <c r="H685" s="215"/>
      <c r="I685" s="215"/>
      <c r="J685" s="215"/>
      <c r="K685" s="215"/>
      <c r="L685" s="224">
        <v>16800</v>
      </c>
      <c r="M685" s="224">
        <v>35000</v>
      </c>
      <c r="N685" s="151">
        <f t="shared" ref="N685" si="232">N658</f>
        <v>0</v>
      </c>
      <c r="O685" s="151">
        <v>0</v>
      </c>
      <c r="P685" s="150">
        <f t="shared" ref="P685:R685" si="233">P658</f>
        <v>0</v>
      </c>
      <c r="Q685" s="150">
        <f t="shared" si="233"/>
        <v>0</v>
      </c>
      <c r="R685" s="150">
        <f t="shared" si="233"/>
        <v>0</v>
      </c>
      <c r="S685" s="150">
        <f t="shared" ref="S685:T685" si="234">S658</f>
        <v>0</v>
      </c>
      <c r="T685" s="150">
        <f t="shared" si="234"/>
        <v>0</v>
      </c>
      <c r="V685" s="149"/>
      <c r="AD685" s="625"/>
    </row>
    <row r="686" spans="1:30" ht="24" customHeight="1">
      <c r="A686" s="281" t="s">
        <v>391</v>
      </c>
      <c r="B686" s="282"/>
      <c r="C686" s="282"/>
      <c r="D686" s="665" t="s">
        <v>95</v>
      </c>
      <c r="E686" s="664"/>
      <c r="F686" s="664"/>
      <c r="G686" s="664"/>
      <c r="H686" s="664"/>
      <c r="I686" s="664"/>
      <c r="J686" s="664"/>
      <c r="K686" s="664"/>
      <c r="L686" s="224">
        <v>0</v>
      </c>
      <c r="M686" s="224">
        <v>1504</v>
      </c>
      <c r="N686" s="151">
        <f>500+800+(2*500)</f>
        <v>2300</v>
      </c>
      <c r="O686" s="151">
        <v>2300</v>
      </c>
      <c r="P686" s="147">
        <v>3300</v>
      </c>
      <c r="Q686" s="147">
        <v>3300</v>
      </c>
      <c r="R686" s="147">
        <v>3300</v>
      </c>
      <c r="S686" s="147">
        <v>3300</v>
      </c>
      <c r="T686" s="147">
        <v>3300</v>
      </c>
      <c r="AD686" s="625"/>
    </row>
    <row r="687" spans="1:30" ht="24" customHeight="1">
      <c r="A687" s="281" t="s">
        <v>392</v>
      </c>
      <c r="B687" s="215"/>
      <c r="C687" s="215"/>
      <c r="D687" s="281" t="s">
        <v>1075</v>
      </c>
      <c r="E687" s="215"/>
      <c r="F687" s="215"/>
      <c r="G687" s="282"/>
      <c r="H687" s="282"/>
      <c r="I687" s="282"/>
      <c r="J687" s="282"/>
      <c r="K687" s="282"/>
      <c r="L687" s="224">
        <v>0</v>
      </c>
      <c r="M687" s="224">
        <v>240</v>
      </c>
      <c r="N687" s="151">
        <v>500</v>
      </c>
      <c r="O687" s="151">
        <v>500</v>
      </c>
      <c r="P687" s="150">
        <v>500</v>
      </c>
      <c r="Q687" s="150">
        <v>500</v>
      </c>
      <c r="R687" s="150">
        <v>500</v>
      </c>
      <c r="S687" s="150">
        <v>500</v>
      </c>
      <c r="T687" s="150">
        <v>500</v>
      </c>
      <c r="AD687" s="625"/>
    </row>
    <row r="688" spans="1:30" ht="24" customHeight="1">
      <c r="A688" s="281" t="s">
        <v>697</v>
      </c>
      <c r="B688" s="215"/>
      <c r="C688" s="215"/>
      <c r="D688" s="281" t="s">
        <v>1076</v>
      </c>
      <c r="E688" s="215"/>
      <c r="F688" s="215"/>
      <c r="G688" s="282"/>
      <c r="H688" s="282"/>
      <c r="I688" s="282"/>
      <c r="J688" s="282"/>
      <c r="K688" s="282"/>
      <c r="L688" s="224">
        <v>28</v>
      </c>
      <c r="M688" s="224">
        <v>30</v>
      </c>
      <c r="N688" s="151">
        <f>100+1600</f>
        <v>1700</v>
      </c>
      <c r="O688" s="151">
        <v>1700</v>
      </c>
      <c r="P688" s="150">
        <f>100+1600</f>
        <v>1700</v>
      </c>
      <c r="Q688" s="150">
        <f t="shared" ref="Q688:T688" si="235">100+1600</f>
        <v>1700</v>
      </c>
      <c r="R688" s="150">
        <f t="shared" si="235"/>
        <v>1700</v>
      </c>
      <c r="S688" s="150">
        <f t="shared" si="235"/>
        <v>1700</v>
      </c>
      <c r="T688" s="150">
        <f t="shared" si="235"/>
        <v>1700</v>
      </c>
      <c r="AD688" s="625"/>
    </row>
    <row r="689" spans="1:30" ht="24" customHeight="1">
      <c r="A689" s="281" t="s">
        <v>393</v>
      </c>
      <c r="B689" s="215"/>
      <c r="C689" s="215"/>
      <c r="D689" s="281" t="s">
        <v>234</v>
      </c>
      <c r="E689" s="215"/>
      <c r="F689" s="282"/>
      <c r="G689" s="215"/>
      <c r="H689" s="215"/>
      <c r="I689" s="215"/>
      <c r="J689" s="215"/>
      <c r="K689" s="215"/>
      <c r="L689" s="224">
        <v>1848</v>
      </c>
      <c r="M689" s="224">
        <v>1895</v>
      </c>
      <c r="N689" s="151">
        <v>2500</v>
      </c>
      <c r="O689" s="151">
        <v>2500</v>
      </c>
      <c r="P689" s="150">
        <v>2500</v>
      </c>
      <c r="Q689" s="150">
        <v>2500</v>
      </c>
      <c r="R689" s="150">
        <v>2500</v>
      </c>
      <c r="S689" s="150">
        <v>2500</v>
      </c>
      <c r="T689" s="150">
        <v>2500</v>
      </c>
      <c r="V689" s="149"/>
      <c r="AD689" s="625"/>
    </row>
    <row r="690" spans="1:30" ht="24" customHeight="1">
      <c r="A690" s="281" t="s">
        <v>728</v>
      </c>
      <c r="B690" s="215"/>
      <c r="C690" s="215"/>
      <c r="D690" s="281" t="s">
        <v>729</v>
      </c>
      <c r="E690" s="362"/>
      <c r="F690" s="361"/>
      <c r="G690" s="362"/>
      <c r="H690" s="362"/>
      <c r="I690" s="362"/>
      <c r="J690" s="362"/>
      <c r="K690" s="362"/>
      <c r="L690" s="224">
        <v>18582</v>
      </c>
      <c r="M690" s="224">
        <v>8589</v>
      </c>
      <c r="N690" s="151">
        <v>21365</v>
      </c>
      <c r="O690" s="151">
        <v>21365</v>
      </c>
      <c r="P690" s="150">
        <f>ROUND(O690*1.05,0)+15000</f>
        <v>37433</v>
      </c>
      <c r="Q690" s="150">
        <f t="shared" ref="Q690:T690" si="236">ROUND(P690*1.05,0)</f>
        <v>39305</v>
      </c>
      <c r="R690" s="150">
        <f t="shared" si="236"/>
        <v>41270</v>
      </c>
      <c r="S690" s="150">
        <f t="shared" si="236"/>
        <v>43334</v>
      </c>
      <c r="T690" s="150">
        <f t="shared" si="236"/>
        <v>45501</v>
      </c>
      <c r="V690" s="152"/>
      <c r="AD690" s="625"/>
    </row>
    <row r="691" spans="1:30" ht="24" customHeight="1">
      <c r="A691" s="281" t="s">
        <v>394</v>
      </c>
      <c r="B691" s="215"/>
      <c r="C691" s="215"/>
      <c r="D691" s="281" t="s">
        <v>10</v>
      </c>
      <c r="E691" s="540"/>
      <c r="F691" s="540"/>
      <c r="G691" s="539"/>
      <c r="H691" s="539"/>
      <c r="I691" s="539"/>
      <c r="J691" s="539"/>
      <c r="K691" s="539"/>
      <c r="L691" s="224">
        <f>7017-L696</f>
        <v>4917</v>
      </c>
      <c r="M691" s="224">
        <v>6861</v>
      </c>
      <c r="N691" s="148">
        <v>8000</v>
      </c>
      <c r="O691" s="151">
        <v>8000</v>
      </c>
      <c r="P691" s="147">
        <v>8000</v>
      </c>
      <c r="Q691" s="147">
        <v>8000</v>
      </c>
      <c r="R691" s="147">
        <v>8000</v>
      </c>
      <c r="S691" s="147">
        <v>8000</v>
      </c>
      <c r="T691" s="147">
        <v>8000</v>
      </c>
      <c r="AD691" s="625"/>
    </row>
    <row r="692" spans="1:30" ht="24" customHeight="1">
      <c r="A692" s="281" t="s">
        <v>395</v>
      </c>
      <c r="B692" s="282"/>
      <c r="C692" s="282"/>
      <c r="D692" s="281" t="s">
        <v>17</v>
      </c>
      <c r="E692" s="354"/>
      <c r="F692" s="354"/>
      <c r="G692" s="354"/>
      <c r="H692" s="354"/>
      <c r="I692" s="354"/>
      <c r="J692" s="354"/>
      <c r="K692" s="354"/>
      <c r="L692" s="225">
        <v>24674</v>
      </c>
      <c r="M692" s="225">
        <v>20258</v>
      </c>
      <c r="N692" s="151">
        <f>40000-10000</f>
        <v>30000</v>
      </c>
      <c r="O692" s="157">
        <v>30000</v>
      </c>
      <c r="P692" s="158">
        <f>ROUND(O692*1.06,0)</f>
        <v>31800</v>
      </c>
      <c r="Q692" s="150">
        <f t="shared" ref="Q692:T692" si="237">ROUND(P692*1.06,0)</f>
        <v>33708</v>
      </c>
      <c r="R692" s="150">
        <f t="shared" si="237"/>
        <v>35730</v>
      </c>
      <c r="S692" s="150">
        <f t="shared" si="237"/>
        <v>37874</v>
      </c>
      <c r="T692" s="150">
        <f t="shared" si="237"/>
        <v>40146</v>
      </c>
      <c r="V692" s="152"/>
      <c r="AD692" s="625"/>
    </row>
    <row r="693" spans="1:30" ht="24" customHeight="1">
      <c r="A693" s="281" t="s">
        <v>396</v>
      </c>
      <c r="B693" s="282"/>
      <c r="C693" s="282"/>
      <c r="D693" s="281" t="s">
        <v>90</v>
      </c>
      <c r="E693" s="282"/>
      <c r="F693" s="282"/>
      <c r="G693" s="215"/>
      <c r="H693" s="215"/>
      <c r="I693" s="215"/>
      <c r="J693" s="215"/>
      <c r="K693" s="215"/>
      <c r="L693" s="245">
        <v>504</v>
      </c>
      <c r="M693" s="245">
        <v>504</v>
      </c>
      <c r="N693" s="186">
        <v>1500</v>
      </c>
      <c r="O693" s="186">
        <v>1500</v>
      </c>
      <c r="P693" s="185">
        <v>1000</v>
      </c>
      <c r="Q693" s="185">
        <v>1000</v>
      </c>
      <c r="R693" s="185">
        <v>1000</v>
      </c>
      <c r="S693" s="185">
        <v>1000</v>
      </c>
      <c r="T693" s="185">
        <v>1000</v>
      </c>
      <c r="AD693" s="625"/>
    </row>
    <row r="694" spans="1:30" ht="24" customHeight="1">
      <c r="A694" s="281" t="s">
        <v>1359</v>
      </c>
      <c r="B694" s="284"/>
      <c r="C694" s="284"/>
      <c r="D694" s="281" t="s">
        <v>1354</v>
      </c>
      <c r="E694" s="284"/>
      <c r="F694" s="284"/>
      <c r="G694" s="284"/>
      <c r="H694" s="284"/>
      <c r="I694" s="284"/>
      <c r="J694" s="284"/>
      <c r="K694" s="284"/>
      <c r="L694" s="225">
        <v>0</v>
      </c>
      <c r="M694" s="225">
        <v>75369</v>
      </c>
      <c r="N694" s="157">
        <v>0</v>
      </c>
      <c r="O694" s="157">
        <v>0</v>
      </c>
      <c r="P694" s="154">
        <v>0</v>
      </c>
      <c r="Q694" s="154">
        <v>0</v>
      </c>
      <c r="R694" s="154">
        <v>0</v>
      </c>
      <c r="S694" s="154">
        <v>0</v>
      </c>
      <c r="T694" s="154">
        <v>0</v>
      </c>
      <c r="AD694" s="625"/>
    </row>
    <row r="695" spans="1:30" ht="24" customHeight="1">
      <c r="A695" s="281" t="s">
        <v>1003</v>
      </c>
      <c r="B695" s="282"/>
      <c r="C695" s="282"/>
      <c r="D695" s="281" t="s">
        <v>998</v>
      </c>
      <c r="E695" s="282"/>
      <c r="F695" s="282"/>
      <c r="G695" s="282"/>
      <c r="H695" s="282"/>
      <c r="I695" s="282"/>
      <c r="J695" s="282"/>
      <c r="K695" s="282"/>
      <c r="L695" s="241">
        <v>1663</v>
      </c>
      <c r="M695" s="241">
        <v>4447</v>
      </c>
      <c r="N695" s="187">
        <v>5000</v>
      </c>
      <c r="O695" s="187">
        <v>5000</v>
      </c>
      <c r="P695" s="179">
        <v>12000</v>
      </c>
      <c r="Q695" s="179">
        <v>12000</v>
      </c>
      <c r="R695" s="179">
        <v>12000</v>
      </c>
      <c r="S695" s="179">
        <v>12000</v>
      </c>
      <c r="T695" s="179">
        <v>12000</v>
      </c>
      <c r="V695" s="149"/>
      <c r="AD695" s="625"/>
    </row>
    <row r="696" spans="1:30" ht="24" customHeight="1">
      <c r="A696" s="281" t="s">
        <v>1105</v>
      </c>
      <c r="B696" s="349"/>
      <c r="C696" s="349"/>
      <c r="D696" s="281" t="s">
        <v>1103</v>
      </c>
      <c r="E696" s="495"/>
      <c r="F696" s="495"/>
      <c r="G696" s="495"/>
      <c r="H696" s="495"/>
      <c r="I696" s="495"/>
      <c r="J696" s="495"/>
      <c r="K696" s="495"/>
      <c r="L696" s="241">
        <f>1800+300</f>
        <v>2100</v>
      </c>
      <c r="M696" s="241">
        <v>6512</v>
      </c>
      <c r="N696" s="187">
        <v>4000</v>
      </c>
      <c r="O696" s="187">
        <v>24532</v>
      </c>
      <c r="P696" s="179">
        <f>16000</f>
        <v>16000</v>
      </c>
      <c r="Q696" s="179">
        <v>16000</v>
      </c>
      <c r="R696" s="179">
        <v>16000</v>
      </c>
      <c r="S696" s="179">
        <v>16000</v>
      </c>
      <c r="T696" s="179">
        <v>16000</v>
      </c>
      <c r="V696" s="149"/>
      <c r="AD696" s="625"/>
    </row>
    <row r="697" spans="1:30" ht="24" customHeight="1">
      <c r="A697" s="281" t="s">
        <v>708</v>
      </c>
      <c r="B697" s="282"/>
      <c r="C697" s="282"/>
      <c r="D697" s="281" t="s">
        <v>312</v>
      </c>
      <c r="E697" s="474"/>
      <c r="F697" s="474"/>
      <c r="G697" s="474"/>
      <c r="H697" s="474"/>
      <c r="I697" s="474"/>
      <c r="J697" s="474"/>
      <c r="K697" s="474"/>
      <c r="L697" s="241">
        <v>2920</v>
      </c>
      <c r="M697" s="241">
        <v>1277</v>
      </c>
      <c r="N697" s="187">
        <v>2980</v>
      </c>
      <c r="O697" s="187">
        <v>2980</v>
      </c>
      <c r="P697" s="179">
        <v>2980</v>
      </c>
      <c r="Q697" s="179">
        <v>2980</v>
      </c>
      <c r="R697" s="179">
        <v>2980</v>
      </c>
      <c r="S697" s="179">
        <v>2980</v>
      </c>
      <c r="T697" s="179">
        <f>2980-590</f>
        <v>2390</v>
      </c>
      <c r="AD697" s="625"/>
    </row>
    <row r="698" spans="1:30" ht="24" customHeight="1">
      <c r="A698" s="281" t="s">
        <v>707</v>
      </c>
      <c r="B698" s="282"/>
      <c r="C698" s="282"/>
      <c r="D698" s="281" t="s">
        <v>18</v>
      </c>
      <c r="E698" s="282"/>
      <c r="F698" s="282"/>
      <c r="G698" s="282"/>
      <c r="H698" s="282"/>
      <c r="I698" s="282"/>
      <c r="J698" s="282"/>
      <c r="K698" s="282"/>
      <c r="L698" s="224">
        <v>1494</v>
      </c>
      <c r="M698" s="224">
        <v>1765</v>
      </c>
      <c r="N698" s="151">
        <v>3000</v>
      </c>
      <c r="O698" s="151">
        <v>2000</v>
      </c>
      <c r="P698" s="150">
        <v>2250</v>
      </c>
      <c r="Q698" s="150">
        <v>2250</v>
      </c>
      <c r="R698" s="150">
        <v>2250</v>
      </c>
      <c r="S698" s="150">
        <v>2250</v>
      </c>
      <c r="T698" s="150">
        <v>2250</v>
      </c>
      <c r="AD698" s="625"/>
    </row>
    <row r="699" spans="1:30" ht="24" customHeight="1">
      <c r="A699" s="281" t="s">
        <v>397</v>
      </c>
      <c r="B699" s="282"/>
      <c r="C699" s="282"/>
      <c r="D699" s="281" t="s">
        <v>100</v>
      </c>
      <c r="E699" s="282"/>
      <c r="F699" s="282"/>
      <c r="G699" s="282"/>
      <c r="H699" s="282"/>
      <c r="I699" s="282"/>
      <c r="J699" s="282"/>
      <c r="K699" s="282"/>
      <c r="L699" s="224">
        <v>2930</v>
      </c>
      <c r="M699" s="224">
        <v>2585</v>
      </c>
      <c r="N699" s="148">
        <v>2625</v>
      </c>
      <c r="O699" s="151">
        <v>2625</v>
      </c>
      <c r="P699" s="147">
        <f>ROUND(O699*1.05,0)</f>
        <v>2756</v>
      </c>
      <c r="Q699" s="147">
        <f t="shared" ref="Q699:T699" si="238">ROUND(P699*1.05,0)</f>
        <v>2894</v>
      </c>
      <c r="R699" s="147">
        <f t="shared" si="238"/>
        <v>3039</v>
      </c>
      <c r="S699" s="147">
        <f t="shared" si="238"/>
        <v>3191</v>
      </c>
      <c r="T699" s="147">
        <f t="shared" si="238"/>
        <v>3351</v>
      </c>
      <c r="AD699" s="625"/>
    </row>
    <row r="700" spans="1:30" ht="24" customHeight="1">
      <c r="A700" s="281" t="s">
        <v>398</v>
      </c>
      <c r="B700" s="282"/>
      <c r="C700" s="282"/>
      <c r="D700" s="281" t="s">
        <v>11</v>
      </c>
      <c r="E700" s="349"/>
      <c r="F700" s="349"/>
      <c r="G700" s="349"/>
      <c r="H700" s="349"/>
      <c r="I700" s="349"/>
      <c r="J700" s="349"/>
      <c r="K700" s="349"/>
      <c r="L700" s="224">
        <v>2342</v>
      </c>
      <c r="M700" s="224">
        <v>517</v>
      </c>
      <c r="N700" s="151">
        <v>2000</v>
      </c>
      <c r="O700" s="151">
        <v>2000</v>
      </c>
      <c r="P700" s="150">
        <v>2000</v>
      </c>
      <c r="Q700" s="150">
        <v>2000</v>
      </c>
      <c r="R700" s="150">
        <v>2000</v>
      </c>
      <c r="S700" s="150">
        <v>2000</v>
      </c>
      <c r="T700" s="150">
        <v>2000</v>
      </c>
      <c r="AD700" s="625"/>
    </row>
    <row r="701" spans="1:30" ht="24" customHeight="1">
      <c r="A701" s="281" t="s">
        <v>399</v>
      </c>
      <c r="B701" s="282"/>
      <c r="C701" s="282"/>
      <c r="D701" s="281" t="s">
        <v>400</v>
      </c>
      <c r="E701" s="361"/>
      <c r="F701" s="361"/>
      <c r="G701" s="361"/>
      <c r="H701" s="361"/>
      <c r="I701" s="361"/>
      <c r="J701" s="361"/>
      <c r="K701" s="361"/>
      <c r="L701" s="225">
        <v>2682</v>
      </c>
      <c r="M701" s="225">
        <v>5012</v>
      </c>
      <c r="N701" s="148">
        <v>12000</v>
      </c>
      <c r="O701" s="148">
        <v>12000</v>
      </c>
      <c r="P701" s="147">
        <v>12000</v>
      </c>
      <c r="Q701" s="147">
        <v>12000</v>
      </c>
      <c r="R701" s="147">
        <v>12000</v>
      </c>
      <c r="S701" s="147">
        <v>12000</v>
      </c>
      <c r="T701" s="147">
        <v>12000</v>
      </c>
      <c r="V701" s="152"/>
      <c r="AD701" s="625"/>
    </row>
    <row r="702" spans="1:30" ht="24" customHeight="1">
      <c r="A702" s="281" t="s">
        <v>401</v>
      </c>
      <c r="B702" s="282"/>
      <c r="C702" s="282"/>
      <c r="D702" s="281" t="s">
        <v>12</v>
      </c>
      <c r="E702" s="349"/>
      <c r="F702" s="349"/>
      <c r="G702" s="349"/>
      <c r="H702" s="349"/>
      <c r="I702" s="349"/>
      <c r="J702" s="349"/>
      <c r="K702" s="282"/>
      <c r="L702" s="224">
        <v>3959</v>
      </c>
      <c r="M702" s="224">
        <v>4828</v>
      </c>
      <c r="N702" s="151">
        <f t="shared" ref="N702" si="239">2500+2000</f>
        <v>4500</v>
      </c>
      <c r="O702" s="151">
        <v>4500</v>
      </c>
      <c r="P702" s="150">
        <v>5000</v>
      </c>
      <c r="Q702" s="150">
        <v>5000</v>
      </c>
      <c r="R702" s="150">
        <v>5000</v>
      </c>
      <c r="S702" s="150">
        <v>5000</v>
      </c>
      <c r="T702" s="150">
        <v>5000</v>
      </c>
      <c r="AD702" s="625"/>
    </row>
    <row r="703" spans="1:30" ht="24" customHeight="1">
      <c r="A703" s="281" t="s">
        <v>1004</v>
      </c>
      <c r="B703" s="282"/>
      <c r="C703" s="282"/>
      <c r="D703" s="281" t="s">
        <v>1000</v>
      </c>
      <c r="E703" s="282"/>
      <c r="F703" s="282"/>
      <c r="G703" s="282"/>
      <c r="H703" s="282"/>
      <c r="I703" s="282"/>
      <c r="J703" s="282"/>
      <c r="K703" s="282"/>
      <c r="L703" s="224">
        <v>3557</v>
      </c>
      <c r="M703" s="224">
        <v>1315</v>
      </c>
      <c r="N703" s="151">
        <v>2000</v>
      </c>
      <c r="O703" s="151">
        <v>2000</v>
      </c>
      <c r="P703" s="150">
        <v>2000</v>
      </c>
      <c r="Q703" s="150">
        <v>2000</v>
      </c>
      <c r="R703" s="150">
        <v>2000</v>
      </c>
      <c r="S703" s="150">
        <v>2000</v>
      </c>
      <c r="T703" s="150">
        <v>2000</v>
      </c>
      <c r="U703" s="334"/>
      <c r="V703" s="463"/>
      <c r="W703" s="463"/>
      <c r="X703" s="463"/>
      <c r="Z703" s="735"/>
      <c r="AA703" s="735"/>
      <c r="AD703" s="625"/>
    </row>
    <row r="704" spans="1:30" ht="24" customHeight="1">
      <c r="A704" s="281" t="s">
        <v>402</v>
      </c>
      <c r="B704" s="282"/>
      <c r="C704" s="282"/>
      <c r="D704" s="281" t="s">
        <v>16</v>
      </c>
      <c r="E704" s="282"/>
      <c r="F704" s="282"/>
      <c r="G704" s="282"/>
      <c r="H704" s="282"/>
      <c r="I704" s="282"/>
      <c r="J704" s="282"/>
      <c r="K704" s="282"/>
      <c r="L704" s="224">
        <v>7867</v>
      </c>
      <c r="M704" s="224">
        <v>1109</v>
      </c>
      <c r="N704" s="151">
        <f>1000+500+1000</f>
        <v>2500</v>
      </c>
      <c r="O704" s="151">
        <v>2500</v>
      </c>
      <c r="P704" s="150">
        <f>1000+500+1000</f>
        <v>2500</v>
      </c>
      <c r="Q704" s="150">
        <f>1000+500+1000</f>
        <v>2500</v>
      </c>
      <c r="R704" s="150">
        <f>1000+500+1000</f>
        <v>2500</v>
      </c>
      <c r="S704" s="150">
        <f>1000+500+1000</f>
        <v>2500</v>
      </c>
      <c r="T704" s="150">
        <f>1000+500+1000</f>
        <v>2500</v>
      </c>
      <c r="V704" s="735"/>
      <c r="W704" s="459"/>
      <c r="X704" s="737"/>
      <c r="Z704" s="735"/>
      <c r="AA704" s="738"/>
      <c r="AD704" s="625"/>
    </row>
    <row r="705" spans="1:30" ht="24" customHeight="1">
      <c r="A705" s="281" t="s">
        <v>403</v>
      </c>
      <c r="B705" s="282"/>
      <c r="C705" s="282"/>
      <c r="D705" s="281" t="s">
        <v>243</v>
      </c>
      <c r="E705" s="282"/>
      <c r="F705" s="282"/>
      <c r="G705" s="299"/>
      <c r="H705" s="299"/>
      <c r="I705" s="299"/>
      <c r="J705" s="299"/>
      <c r="K705" s="299"/>
      <c r="L705" s="224">
        <v>225</v>
      </c>
      <c r="M705" s="224">
        <v>259</v>
      </c>
      <c r="N705" s="151">
        <v>1200</v>
      </c>
      <c r="O705" s="151">
        <v>1200</v>
      </c>
      <c r="P705" s="150">
        <v>1200</v>
      </c>
      <c r="Q705" s="150">
        <v>1200</v>
      </c>
      <c r="R705" s="150">
        <v>1200</v>
      </c>
      <c r="S705" s="150">
        <v>1200</v>
      </c>
      <c r="T705" s="150">
        <v>1200</v>
      </c>
      <c r="V705" s="735"/>
      <c r="W705" s="459"/>
      <c r="X705" s="737"/>
      <c r="AD705" s="625"/>
    </row>
    <row r="706" spans="1:30" ht="24" customHeight="1">
      <c r="A706" s="281" t="s">
        <v>404</v>
      </c>
      <c r="B706" s="282"/>
      <c r="C706" s="282"/>
      <c r="D706" s="281" t="s">
        <v>1078</v>
      </c>
      <c r="E706" s="361"/>
      <c r="F706" s="361"/>
      <c r="G706" s="361"/>
      <c r="H706" s="361"/>
      <c r="I706" s="361"/>
      <c r="J706" s="361"/>
      <c r="K706" s="361"/>
      <c r="L706" s="222">
        <v>12777</v>
      </c>
      <c r="M706" s="222">
        <v>1301</v>
      </c>
      <c r="N706" s="148">
        <v>30000</v>
      </c>
      <c r="O706" s="148">
        <v>30000</v>
      </c>
      <c r="P706" s="147">
        <v>30000</v>
      </c>
      <c r="Q706" s="147">
        <v>30000</v>
      </c>
      <c r="R706" s="147">
        <v>30000</v>
      </c>
      <c r="S706" s="147">
        <v>30000</v>
      </c>
      <c r="T706" s="147">
        <v>30000</v>
      </c>
      <c r="AD706" s="625"/>
    </row>
    <row r="707" spans="1:30" ht="24" customHeight="1">
      <c r="A707" s="281" t="s">
        <v>405</v>
      </c>
      <c r="B707" s="282"/>
      <c r="C707" s="282"/>
      <c r="D707" s="661" t="s">
        <v>143</v>
      </c>
      <c r="E707" s="659"/>
      <c r="F707" s="659"/>
      <c r="G707" s="659"/>
      <c r="H707" s="659"/>
      <c r="I707" s="659"/>
      <c r="J707" s="659"/>
      <c r="K707" s="659"/>
      <c r="L707" s="225">
        <v>29725</v>
      </c>
      <c r="M707" s="225">
        <v>21374</v>
      </c>
      <c r="N707" s="157">
        <v>35785</v>
      </c>
      <c r="O707" s="157">
        <v>35785</v>
      </c>
      <c r="P707" s="154">
        <f>ROUND(25000*1.07,0)</f>
        <v>26750</v>
      </c>
      <c r="Q707" s="154">
        <f t="shared" ref="Q707:T707" si="240">ROUND(P707*1.07,0)</f>
        <v>28623</v>
      </c>
      <c r="R707" s="154">
        <f t="shared" si="240"/>
        <v>30627</v>
      </c>
      <c r="S707" s="154">
        <f t="shared" si="240"/>
        <v>32771</v>
      </c>
      <c r="T707" s="154">
        <f t="shared" si="240"/>
        <v>35065</v>
      </c>
      <c r="V707" s="149"/>
      <c r="AD707" s="625"/>
    </row>
    <row r="708" spans="1:30" ht="24" customHeight="1">
      <c r="A708" s="281" t="s">
        <v>1090</v>
      </c>
      <c r="B708" s="282"/>
      <c r="C708" s="282"/>
      <c r="D708" s="283" t="s">
        <v>1086</v>
      </c>
      <c r="E708" s="282"/>
      <c r="F708" s="282"/>
      <c r="G708" s="282"/>
      <c r="H708" s="282"/>
      <c r="I708" s="282"/>
      <c r="J708" s="282"/>
      <c r="K708" s="282"/>
      <c r="L708" s="225">
        <v>0</v>
      </c>
      <c r="M708" s="225">
        <v>251677</v>
      </c>
      <c r="N708" s="157">
        <v>200000</v>
      </c>
      <c r="O708" s="157">
        <v>200000</v>
      </c>
      <c r="P708" s="154">
        <v>200000</v>
      </c>
      <c r="Q708" s="154">
        <v>200000</v>
      </c>
      <c r="R708" s="154">
        <v>200000</v>
      </c>
      <c r="S708" s="154">
        <v>200000</v>
      </c>
      <c r="T708" s="154">
        <v>200000</v>
      </c>
      <c r="V708" s="149"/>
      <c r="AD708" s="625"/>
    </row>
    <row r="709" spans="1:30" ht="24" customHeight="1">
      <c r="A709" s="281" t="s">
        <v>1302</v>
      </c>
      <c r="B709" s="543"/>
      <c r="C709" s="543"/>
      <c r="D709" s="283" t="s">
        <v>1303</v>
      </c>
      <c r="E709" s="543"/>
      <c r="F709" s="543"/>
      <c r="G709" s="543"/>
      <c r="H709" s="543"/>
      <c r="I709" s="543"/>
      <c r="J709" s="543"/>
      <c r="K709" s="543"/>
      <c r="L709" s="225">
        <v>0</v>
      </c>
      <c r="M709" s="225">
        <v>98029</v>
      </c>
      <c r="N709" s="157">
        <v>200000</v>
      </c>
      <c r="O709" s="151">
        <v>200000</v>
      </c>
      <c r="P709" s="154">
        <v>200000</v>
      </c>
      <c r="Q709" s="154">
        <v>200000</v>
      </c>
      <c r="R709" s="154">
        <v>200000</v>
      </c>
      <c r="S709" s="154">
        <v>200000</v>
      </c>
      <c r="T709" s="154">
        <v>200000</v>
      </c>
      <c r="V709" s="149"/>
      <c r="AD709" s="625"/>
    </row>
    <row r="710" spans="1:30" ht="24" customHeight="1">
      <c r="A710" s="702" t="s">
        <v>1418</v>
      </c>
      <c r="B710" s="284"/>
      <c r="C710" s="284"/>
      <c r="D710" s="703" t="s">
        <v>937</v>
      </c>
      <c r="E710" s="284"/>
      <c r="F710" s="284"/>
      <c r="G710" s="284"/>
      <c r="H710" s="284"/>
      <c r="I710" s="284"/>
      <c r="J710" s="284"/>
      <c r="K710" s="284"/>
      <c r="L710" s="237">
        <v>0</v>
      </c>
      <c r="M710" s="237">
        <v>0</v>
      </c>
      <c r="N710" s="172">
        <v>0</v>
      </c>
      <c r="O710" s="172">
        <v>0</v>
      </c>
      <c r="P710" s="171">
        <f>ROUND(3800/3,0)</f>
        <v>1267</v>
      </c>
      <c r="Q710" s="171">
        <f t="shared" ref="Q710:R710" si="241">ROUND(3800/3,0)</f>
        <v>1267</v>
      </c>
      <c r="R710" s="171">
        <f t="shared" si="241"/>
        <v>1267</v>
      </c>
      <c r="S710" s="171">
        <v>0</v>
      </c>
      <c r="T710" s="171">
        <v>0</v>
      </c>
      <c r="V710" s="149"/>
      <c r="AD710" s="625"/>
    </row>
    <row r="711" spans="1:30" ht="24" customHeight="1">
      <c r="A711" s="281" t="s">
        <v>1030</v>
      </c>
      <c r="B711" s="282"/>
      <c r="C711" s="282"/>
      <c r="D711" s="281" t="s">
        <v>290</v>
      </c>
      <c r="E711" s="622"/>
      <c r="F711" s="622"/>
      <c r="G711" s="622"/>
      <c r="H711" s="622"/>
      <c r="I711" s="622"/>
      <c r="J711" s="622"/>
      <c r="K711" s="622"/>
      <c r="L711" s="225">
        <v>0</v>
      </c>
      <c r="M711" s="225">
        <v>379986</v>
      </c>
      <c r="N711" s="157">
        <v>0</v>
      </c>
      <c r="O711" s="157">
        <v>0</v>
      </c>
      <c r="P711" s="154">
        <v>0</v>
      </c>
      <c r="Q711" s="154">
        <v>0</v>
      </c>
      <c r="R711" s="154">
        <v>0</v>
      </c>
      <c r="S711" s="154">
        <v>0</v>
      </c>
      <c r="T711" s="154">
        <v>0</v>
      </c>
      <c r="V711" s="149"/>
      <c r="AD711" s="625"/>
    </row>
    <row r="712" spans="1:30" ht="24" customHeight="1">
      <c r="A712" s="281" t="s">
        <v>406</v>
      </c>
      <c r="B712" s="215"/>
      <c r="C712" s="215"/>
      <c r="D712" s="281" t="s">
        <v>285</v>
      </c>
      <c r="E712" s="623"/>
      <c r="F712" s="623"/>
      <c r="G712" s="623"/>
      <c r="H712" s="623"/>
      <c r="I712" s="623"/>
      <c r="J712" s="623"/>
      <c r="K712" s="623"/>
      <c r="L712" s="224">
        <v>66773</v>
      </c>
      <c r="M712" s="224">
        <v>78828</v>
      </c>
      <c r="N712" s="151">
        <f>ROUND((4917.93*12),0)</f>
        <v>59015</v>
      </c>
      <c r="O712" s="151">
        <f>ROUND((4917.93*12),0)</f>
        <v>59015</v>
      </c>
      <c r="P712" s="150">
        <f>ROUND((4917.93*12),0)</f>
        <v>59015</v>
      </c>
      <c r="Q712" s="150">
        <f t="shared" ref="Q712:T712" si="242">ROUND((4917.93*12),0)</f>
        <v>59015</v>
      </c>
      <c r="R712" s="150">
        <f t="shared" si="242"/>
        <v>59015</v>
      </c>
      <c r="S712" s="150">
        <f t="shared" si="242"/>
        <v>59015</v>
      </c>
      <c r="T712" s="150">
        <f t="shared" si="242"/>
        <v>59015</v>
      </c>
      <c r="U712" s="331"/>
      <c r="V712" s="149"/>
      <c r="AD712" s="625"/>
    </row>
    <row r="713" spans="1:30" ht="24" customHeight="1">
      <c r="A713" s="281" t="s">
        <v>407</v>
      </c>
      <c r="B713" s="215"/>
      <c r="C713" s="215"/>
      <c r="D713" s="281" t="s">
        <v>408</v>
      </c>
      <c r="E713" s="215"/>
      <c r="F713" s="215"/>
      <c r="G713" s="215"/>
      <c r="H713" s="215"/>
      <c r="I713" s="215"/>
      <c r="J713" s="215"/>
      <c r="K713" s="215"/>
      <c r="L713" s="224">
        <v>0</v>
      </c>
      <c r="M713" s="224">
        <v>62922</v>
      </c>
      <c r="N713" s="151">
        <v>32891</v>
      </c>
      <c r="O713" s="151">
        <v>32891</v>
      </c>
      <c r="P713" s="150">
        <v>33872</v>
      </c>
      <c r="Q713" s="150">
        <v>34888</v>
      </c>
      <c r="R713" s="150">
        <v>35939</v>
      </c>
      <c r="S713" s="150">
        <v>28204</v>
      </c>
      <c r="T713" s="150">
        <v>0</v>
      </c>
      <c r="V713" s="463"/>
      <c r="W713" s="463"/>
      <c r="X713" s="463"/>
      <c r="Y713" s="463"/>
      <c r="Z713" s="463"/>
      <c r="AA713" s="463"/>
      <c r="AB713" s="463"/>
      <c r="AD713" s="625"/>
    </row>
    <row r="714" spans="1:30" ht="24" customHeight="1">
      <c r="A714" s="285" t="s">
        <v>409</v>
      </c>
      <c r="B714" s="285"/>
      <c r="C714" s="285"/>
      <c r="D714" s="285"/>
      <c r="E714" s="285"/>
      <c r="F714" s="285"/>
      <c r="G714" s="285"/>
      <c r="H714" s="285"/>
      <c r="I714" s="285"/>
      <c r="J714" s="285"/>
      <c r="K714" s="285"/>
      <c r="L714" s="233"/>
      <c r="M714" s="233"/>
      <c r="N714" s="166"/>
      <c r="O714" s="166"/>
      <c r="P714" s="165"/>
      <c r="Q714" s="165"/>
      <c r="R714" s="165"/>
      <c r="S714" s="165"/>
      <c r="T714" s="165"/>
      <c r="V714" s="739"/>
      <c r="W714" s="739"/>
      <c r="X714" s="739"/>
      <c r="Y714" s="739"/>
      <c r="Z714" s="739"/>
      <c r="AD714" s="625"/>
    </row>
    <row r="715" spans="1:30" ht="24" customHeight="1">
      <c r="A715" s="281" t="s">
        <v>410</v>
      </c>
      <c r="B715" s="282"/>
      <c r="C715" s="282"/>
      <c r="D715" s="281" t="s">
        <v>1042</v>
      </c>
      <c r="E715" s="282"/>
      <c r="F715" s="282"/>
      <c r="G715" s="282"/>
      <c r="H715" s="282"/>
      <c r="I715" s="282"/>
      <c r="J715" s="282"/>
      <c r="K715" s="282"/>
      <c r="L715" s="224">
        <v>280000</v>
      </c>
      <c r="M715" s="224">
        <v>375000</v>
      </c>
      <c r="N715" s="151">
        <v>395000</v>
      </c>
      <c r="O715" s="151">
        <v>395000</v>
      </c>
      <c r="P715" s="150">
        <v>410000</v>
      </c>
      <c r="Q715" s="150">
        <v>435000</v>
      </c>
      <c r="R715" s="150">
        <v>455000</v>
      </c>
      <c r="S715" s="150">
        <v>0</v>
      </c>
      <c r="T715" s="150">
        <v>0</v>
      </c>
      <c r="V715" s="459"/>
      <c r="W715" s="459"/>
      <c r="X715" s="459"/>
      <c r="Y715" s="459"/>
      <c r="Z715" s="459"/>
      <c r="AD715" s="625"/>
    </row>
    <row r="716" spans="1:30" ht="24" customHeight="1">
      <c r="A716" s="281" t="s">
        <v>411</v>
      </c>
      <c r="B716" s="282"/>
      <c r="C716" s="282"/>
      <c r="D716" s="281" t="s">
        <v>1102</v>
      </c>
      <c r="E716" s="282"/>
      <c r="F716" s="282"/>
      <c r="G716" s="282"/>
      <c r="H716" s="282"/>
      <c r="I716" s="282"/>
      <c r="J716" s="282"/>
      <c r="K716" s="282"/>
      <c r="L716" s="226">
        <v>88750</v>
      </c>
      <c r="M716" s="226">
        <v>78950</v>
      </c>
      <c r="N716" s="151">
        <v>65825</v>
      </c>
      <c r="O716" s="151">
        <v>65825</v>
      </c>
      <c r="P716" s="150">
        <v>52000</v>
      </c>
      <c r="Q716" s="150">
        <v>35600</v>
      </c>
      <c r="R716" s="150">
        <v>18200</v>
      </c>
      <c r="S716" s="150">
        <v>0</v>
      </c>
      <c r="T716" s="150">
        <v>0</v>
      </c>
      <c r="V716" s="459"/>
      <c r="W716" s="459"/>
      <c r="X716" s="459"/>
      <c r="Y716" s="459"/>
      <c r="Z716" s="459"/>
      <c r="AD716" s="625"/>
    </row>
    <row r="717" spans="1:30" ht="24" customHeight="1">
      <c r="A717" s="285" t="s">
        <v>1099</v>
      </c>
      <c r="B717" s="285"/>
      <c r="C717" s="285"/>
      <c r="D717" s="285"/>
      <c r="E717" s="285"/>
      <c r="F717" s="285"/>
      <c r="G717" s="285"/>
      <c r="H717" s="285"/>
      <c r="I717" s="285"/>
      <c r="J717" s="285"/>
      <c r="K717" s="285"/>
      <c r="L717" s="233"/>
      <c r="M717" s="233"/>
      <c r="N717" s="166"/>
      <c r="O717" s="166"/>
      <c r="P717" s="165"/>
      <c r="Q717" s="165"/>
      <c r="R717" s="165"/>
      <c r="S717" s="165"/>
      <c r="T717" s="165"/>
      <c r="V717" s="459"/>
      <c r="W717" s="459"/>
      <c r="X717" s="459"/>
      <c r="Y717" s="459"/>
      <c r="Z717" s="459"/>
      <c r="AD717" s="625"/>
    </row>
    <row r="718" spans="1:30" ht="24" customHeight="1">
      <c r="A718" s="281" t="s">
        <v>412</v>
      </c>
      <c r="B718" s="282"/>
      <c r="C718" s="282"/>
      <c r="D718" s="281" t="s">
        <v>1042</v>
      </c>
      <c r="E718" s="282"/>
      <c r="F718" s="282"/>
      <c r="G718" s="282"/>
      <c r="H718" s="282"/>
      <c r="I718" s="282"/>
      <c r="J718" s="282"/>
      <c r="K718" s="282"/>
      <c r="L718" s="224">
        <v>100000</v>
      </c>
      <c r="M718" s="224">
        <v>105000</v>
      </c>
      <c r="N718" s="151">
        <v>110000</v>
      </c>
      <c r="O718" s="151">
        <v>110000</v>
      </c>
      <c r="P718" s="150">
        <v>115000</v>
      </c>
      <c r="Q718" s="150">
        <v>120000</v>
      </c>
      <c r="R718" s="150">
        <v>130000</v>
      </c>
      <c r="S718" s="150">
        <v>135000</v>
      </c>
      <c r="T718" s="150">
        <v>140000</v>
      </c>
      <c r="V718" s="459"/>
      <c r="W718" s="459"/>
      <c r="X718" s="459"/>
      <c r="Y718" s="459"/>
      <c r="Z718" s="459"/>
      <c r="AD718" s="625"/>
    </row>
    <row r="719" spans="1:30" ht="24" customHeight="1">
      <c r="A719" s="281" t="s">
        <v>413</v>
      </c>
      <c r="B719" s="282"/>
      <c r="C719" s="282"/>
      <c r="D719" s="281" t="s">
        <v>1102</v>
      </c>
      <c r="E719" s="282"/>
      <c r="F719" s="282"/>
      <c r="G719" s="282"/>
      <c r="H719" s="282"/>
      <c r="I719" s="282"/>
      <c r="J719" s="282"/>
      <c r="K719" s="282"/>
      <c r="L719" s="226">
        <v>62048</v>
      </c>
      <c r="M719" s="226">
        <v>57648</v>
      </c>
      <c r="N719" s="151">
        <v>52870</v>
      </c>
      <c r="O719" s="151">
        <v>52870</v>
      </c>
      <c r="P719" s="150">
        <v>47755</v>
      </c>
      <c r="Q719" s="150">
        <v>42293</v>
      </c>
      <c r="R719" s="150">
        <v>36233</v>
      </c>
      <c r="S719" s="150">
        <v>29668</v>
      </c>
      <c r="T719" s="150">
        <v>22850</v>
      </c>
      <c r="V719" s="459"/>
      <c r="W719" s="459"/>
      <c r="X719" s="459"/>
      <c r="Y719" s="459"/>
      <c r="Z719" s="459"/>
      <c r="AD719" s="625"/>
    </row>
    <row r="720" spans="1:30" ht="24" customHeight="1">
      <c r="A720" s="285" t="s">
        <v>1236</v>
      </c>
      <c r="B720" s="285"/>
      <c r="C720" s="285"/>
      <c r="D720" s="285"/>
      <c r="E720" s="285"/>
      <c r="F720" s="285"/>
      <c r="G720" s="285"/>
      <c r="H720" s="285"/>
      <c r="I720" s="285"/>
      <c r="J720" s="285"/>
      <c r="K720" s="285"/>
      <c r="L720" s="233"/>
      <c r="M720" s="233"/>
      <c r="N720" s="166"/>
      <c r="O720" s="166"/>
      <c r="P720" s="165"/>
      <c r="Q720" s="165"/>
      <c r="R720" s="165"/>
      <c r="S720" s="165"/>
      <c r="T720" s="165"/>
      <c r="V720" s="459"/>
      <c r="W720" s="459"/>
      <c r="X720" s="459"/>
      <c r="Y720" s="459"/>
      <c r="Z720" s="459"/>
      <c r="AD720" s="625"/>
    </row>
    <row r="721" spans="1:30" ht="24" customHeight="1">
      <c r="A721" s="281" t="s">
        <v>414</v>
      </c>
      <c r="B721" s="282"/>
      <c r="C721" s="282"/>
      <c r="D721" s="281" t="s">
        <v>1042</v>
      </c>
      <c r="E721" s="282"/>
      <c r="F721" s="282"/>
      <c r="G721" s="282"/>
      <c r="H721" s="282"/>
      <c r="I721" s="282"/>
      <c r="J721" s="282"/>
      <c r="K721" s="282"/>
      <c r="L721" s="224">
        <v>180000</v>
      </c>
      <c r="M721" s="224">
        <v>190000</v>
      </c>
      <c r="N721" s="151">
        <v>0</v>
      </c>
      <c r="O721" s="151">
        <v>0</v>
      </c>
      <c r="P721" s="150">
        <v>0</v>
      </c>
      <c r="Q721" s="150">
        <v>0</v>
      </c>
      <c r="R721" s="150">
        <v>0</v>
      </c>
      <c r="S721" s="150">
        <v>0</v>
      </c>
      <c r="T721" s="150">
        <v>0</v>
      </c>
      <c r="V721" s="459"/>
      <c r="W721" s="459"/>
      <c r="X721" s="459"/>
      <c r="Y721" s="459"/>
      <c r="Z721" s="459"/>
      <c r="AD721" s="625"/>
    </row>
    <row r="722" spans="1:30" ht="24" customHeight="1">
      <c r="A722" s="281" t="s">
        <v>415</v>
      </c>
      <c r="B722" s="282"/>
      <c r="C722" s="282"/>
      <c r="D722" s="281" t="s">
        <v>1102</v>
      </c>
      <c r="E722" s="282"/>
      <c r="F722" s="282"/>
      <c r="G722" s="282"/>
      <c r="H722" s="282"/>
      <c r="I722" s="282"/>
      <c r="J722" s="282"/>
      <c r="K722" s="282"/>
      <c r="L722" s="226">
        <v>13050</v>
      </c>
      <c r="M722" s="226">
        <v>6840</v>
      </c>
      <c r="N722" s="151">
        <v>0</v>
      </c>
      <c r="O722" s="151">
        <v>0</v>
      </c>
      <c r="P722" s="150">
        <v>0</v>
      </c>
      <c r="Q722" s="150">
        <v>0</v>
      </c>
      <c r="R722" s="150">
        <v>0</v>
      </c>
      <c r="S722" s="150">
        <v>0</v>
      </c>
      <c r="T722" s="150">
        <v>0</v>
      </c>
      <c r="V722" s="459"/>
      <c r="W722" s="459"/>
      <c r="X722" s="459"/>
      <c r="Y722" s="459"/>
      <c r="Z722" s="459"/>
      <c r="AD722" s="625"/>
    </row>
    <row r="723" spans="1:30" ht="24" customHeight="1">
      <c r="A723" s="285" t="s">
        <v>416</v>
      </c>
      <c r="B723" s="285"/>
      <c r="C723" s="285"/>
      <c r="D723" s="285"/>
      <c r="E723" s="285"/>
      <c r="F723" s="285"/>
      <c r="G723" s="285"/>
      <c r="H723" s="285"/>
      <c r="I723" s="285"/>
      <c r="J723" s="285"/>
      <c r="K723" s="285"/>
      <c r="L723" s="233"/>
      <c r="M723" s="233"/>
      <c r="N723" s="166"/>
      <c r="O723" s="166"/>
      <c r="P723" s="165"/>
      <c r="Q723" s="165"/>
      <c r="R723" s="165"/>
      <c r="S723" s="165"/>
      <c r="T723" s="165"/>
      <c r="V723" s="459"/>
      <c r="W723" s="459"/>
      <c r="X723" s="459"/>
      <c r="Y723" s="459"/>
      <c r="Z723" s="459"/>
      <c r="AD723" s="625"/>
    </row>
    <row r="724" spans="1:30" ht="24" customHeight="1">
      <c r="A724" s="281" t="s">
        <v>898</v>
      </c>
      <c r="B724" s="282"/>
      <c r="C724" s="282"/>
      <c r="D724" s="281" t="s">
        <v>1042</v>
      </c>
      <c r="E724" s="282"/>
      <c r="F724" s="282"/>
      <c r="G724" s="282"/>
      <c r="H724" s="282"/>
      <c r="I724" s="282"/>
      <c r="J724" s="282"/>
      <c r="K724" s="282"/>
      <c r="L724" s="224">
        <v>660000</v>
      </c>
      <c r="M724" s="224">
        <v>685000</v>
      </c>
      <c r="N724" s="151">
        <v>715000</v>
      </c>
      <c r="O724" s="151">
        <v>715000</v>
      </c>
      <c r="P724" s="150">
        <v>745000</v>
      </c>
      <c r="Q724" s="150">
        <v>780000</v>
      </c>
      <c r="R724" s="150">
        <v>810000</v>
      </c>
      <c r="S724" s="150">
        <v>845000</v>
      </c>
      <c r="T724" s="150">
        <v>885000</v>
      </c>
      <c r="V724" s="459"/>
      <c r="W724" s="459"/>
      <c r="X724" s="459"/>
      <c r="Y724" s="459"/>
      <c r="Z724" s="459"/>
      <c r="AD724" s="625"/>
    </row>
    <row r="725" spans="1:30" ht="24" customHeight="1">
      <c r="A725" s="281" t="s">
        <v>899</v>
      </c>
      <c r="B725" s="282"/>
      <c r="C725" s="282"/>
      <c r="D725" s="281" t="s">
        <v>1102</v>
      </c>
      <c r="E725" s="282"/>
      <c r="F725" s="282"/>
      <c r="G725" s="282"/>
      <c r="H725" s="282"/>
      <c r="I725" s="282"/>
      <c r="J725" s="282"/>
      <c r="K725" s="282"/>
      <c r="L725" s="226">
        <v>477220</v>
      </c>
      <c r="M725" s="226">
        <v>448972</v>
      </c>
      <c r="N725" s="156">
        <v>419654</v>
      </c>
      <c r="O725" s="156">
        <v>419654</v>
      </c>
      <c r="P725" s="155">
        <v>389052</v>
      </c>
      <c r="Q725" s="155">
        <v>357166</v>
      </c>
      <c r="R725" s="155">
        <v>323782</v>
      </c>
      <c r="S725" s="155">
        <v>289114</v>
      </c>
      <c r="T725" s="155">
        <v>252948</v>
      </c>
      <c r="V725" s="459"/>
      <c r="W725" s="459"/>
      <c r="X725" s="459"/>
      <c r="Y725" s="459"/>
      <c r="Z725" s="459"/>
      <c r="AD725" s="625"/>
    </row>
    <row r="726" spans="1:30" ht="24" customHeight="1">
      <c r="A726" s="285" t="s">
        <v>417</v>
      </c>
      <c r="B726" s="285"/>
      <c r="C726" s="285"/>
      <c r="D726" s="285"/>
      <c r="E726" s="285"/>
      <c r="F726" s="285"/>
      <c r="G726" s="285"/>
      <c r="H726" s="285"/>
      <c r="I726" s="285"/>
      <c r="J726" s="285"/>
      <c r="K726" s="285"/>
      <c r="L726" s="233"/>
      <c r="M726" s="233"/>
      <c r="N726" s="166"/>
      <c r="O726" s="166"/>
      <c r="P726" s="165"/>
      <c r="Q726" s="165"/>
      <c r="R726" s="165"/>
      <c r="S726" s="165"/>
      <c r="T726" s="165"/>
      <c r="V726" s="459"/>
      <c r="W726" s="459"/>
      <c r="X726" s="459"/>
      <c r="Y726" s="459"/>
      <c r="Z726" s="459"/>
      <c r="AD726" s="625"/>
    </row>
    <row r="727" spans="1:30" ht="24" customHeight="1">
      <c r="A727" s="281" t="s">
        <v>418</v>
      </c>
      <c r="B727" s="282"/>
      <c r="C727" s="282"/>
      <c r="D727" s="281" t="s">
        <v>1042</v>
      </c>
      <c r="E727" s="282"/>
      <c r="F727" s="282"/>
      <c r="G727" s="282"/>
      <c r="H727" s="282"/>
      <c r="I727" s="282"/>
      <c r="J727" s="282"/>
      <c r="K727" s="282"/>
      <c r="L727" s="224">
        <v>90952</v>
      </c>
      <c r="M727" s="224">
        <v>93355</v>
      </c>
      <c r="N727" s="151">
        <v>95821</v>
      </c>
      <c r="O727" s="151">
        <v>95821</v>
      </c>
      <c r="P727" s="150">
        <v>98353</v>
      </c>
      <c r="Q727" s="150">
        <v>100952</v>
      </c>
      <c r="R727" s="150">
        <v>103619</v>
      </c>
      <c r="S727" s="150">
        <v>52832</v>
      </c>
      <c r="T727" s="150">
        <v>0</v>
      </c>
      <c r="V727" s="459"/>
      <c r="W727" s="459"/>
      <c r="X727" s="459"/>
      <c r="Y727" s="459"/>
      <c r="Z727" s="459"/>
      <c r="AD727" s="625"/>
    </row>
    <row r="728" spans="1:30" ht="24" customHeight="1">
      <c r="A728" s="281" t="s">
        <v>419</v>
      </c>
      <c r="B728" s="282"/>
      <c r="C728" s="282"/>
      <c r="D728" s="281" t="s">
        <v>1102</v>
      </c>
      <c r="E728" s="282"/>
      <c r="F728" s="282"/>
      <c r="G728" s="282"/>
      <c r="H728" s="282"/>
      <c r="I728" s="282"/>
      <c r="J728" s="282"/>
      <c r="K728" s="282"/>
      <c r="L728" s="226">
        <v>16099</v>
      </c>
      <c r="M728" s="226">
        <v>13696</v>
      </c>
      <c r="N728" s="151">
        <v>11229</v>
      </c>
      <c r="O728" s="151">
        <v>11229</v>
      </c>
      <c r="P728" s="150">
        <v>8697</v>
      </c>
      <c r="Q728" s="150">
        <v>6099</v>
      </c>
      <c r="R728" s="150">
        <v>3431</v>
      </c>
      <c r="S728" s="150">
        <v>693</v>
      </c>
      <c r="T728" s="150">
        <v>0</v>
      </c>
      <c r="V728" s="459"/>
      <c r="W728" s="459"/>
      <c r="X728" s="459"/>
      <c r="Y728" s="459"/>
      <c r="Z728" s="459"/>
      <c r="AD728" s="625"/>
    </row>
    <row r="729" spans="1:30" ht="24" customHeight="1">
      <c r="A729" s="281" t="s">
        <v>904</v>
      </c>
      <c r="B729" s="282"/>
      <c r="C729" s="282"/>
      <c r="D729" s="281" t="s">
        <v>216</v>
      </c>
      <c r="E729" s="282"/>
      <c r="F729" s="282"/>
      <c r="G729" s="282"/>
      <c r="H729" s="282"/>
      <c r="I729" s="282"/>
      <c r="J729" s="282"/>
      <c r="K729" s="282"/>
      <c r="L729" s="242">
        <v>82988</v>
      </c>
      <c r="M729" s="242">
        <v>83588</v>
      </c>
      <c r="N729" s="181">
        <f>ROUND((N637+N638+N643+N644)/2,0)</f>
        <v>76275</v>
      </c>
      <c r="O729" s="181">
        <v>76275</v>
      </c>
      <c r="P729" s="180">
        <f>ROUND((P637+P638+P643+P644)/2,0)</f>
        <v>75075</v>
      </c>
      <c r="Q729" s="180">
        <f>ROUND((Q637+Q638+Q643+Q644)/2,0)</f>
        <v>73875</v>
      </c>
      <c r="R729" s="180">
        <f>ROUND((R637+R638+R643+R644)/2,0)</f>
        <v>77675</v>
      </c>
      <c r="S729" s="180">
        <f>ROUND((S637+S638+S643+S644)/2,0)</f>
        <v>73875</v>
      </c>
      <c r="T729" s="180">
        <f>ROUND((T637+T638+T643+T644)/2,0)</f>
        <v>75125</v>
      </c>
      <c r="V729" s="152"/>
      <c r="AD729" s="625"/>
    </row>
    <row r="730" spans="1:30" ht="15" customHeight="1">
      <c r="A730" s="281"/>
      <c r="B730" s="215"/>
      <c r="C730" s="215"/>
      <c r="D730" s="281"/>
      <c r="E730" s="215"/>
      <c r="F730" s="215"/>
      <c r="G730" s="215"/>
      <c r="H730" s="215"/>
      <c r="I730" s="215"/>
      <c r="J730" s="215"/>
      <c r="K730" s="215"/>
      <c r="L730" s="231"/>
      <c r="M730" s="231"/>
      <c r="N730" s="166"/>
      <c r="O730" s="166"/>
      <c r="P730" s="165"/>
      <c r="Q730" s="165"/>
      <c r="R730" s="165"/>
      <c r="S730" s="165"/>
      <c r="T730" s="165"/>
      <c r="AD730" s="625"/>
    </row>
    <row r="731" spans="1:30" s="215" customFormat="1" ht="24" customHeight="1">
      <c r="K731" s="285" t="s">
        <v>550</v>
      </c>
      <c r="L731" s="233">
        <f t="shared" ref="L731" si="243">SUM(L675:L729)</f>
        <v>2503777</v>
      </c>
      <c r="M731" s="233">
        <f t="shared" ref="M731:T731" si="244">SUM(M675:M729)</f>
        <v>3491786</v>
      </c>
      <c r="N731" s="234">
        <f t="shared" ref="N731" si="245">SUM(N675:N729)</f>
        <v>2941087</v>
      </c>
      <c r="O731" s="234">
        <f t="shared" ref="O731" si="246">SUM(O675:O729)</f>
        <v>2932539</v>
      </c>
      <c r="P731" s="233">
        <f t="shared" si="244"/>
        <v>2965298</v>
      </c>
      <c r="Q731" s="233">
        <f t="shared" si="244"/>
        <v>2996663</v>
      </c>
      <c r="R731" s="233">
        <f t="shared" si="244"/>
        <v>3025241</v>
      </c>
      <c r="S731" s="233">
        <f t="shared" si="244"/>
        <v>2506181</v>
      </c>
      <c r="T731" s="233">
        <f t="shared" si="244"/>
        <v>2450001</v>
      </c>
      <c r="U731" s="470"/>
      <c r="AC731" s="213"/>
      <c r="AD731" s="625"/>
    </row>
    <row r="732" spans="1:30" s="215" customFormat="1" ht="15" customHeight="1">
      <c r="L732" s="250"/>
      <c r="M732" s="250"/>
      <c r="N732" s="251"/>
      <c r="O732" s="251"/>
      <c r="P732" s="250"/>
      <c r="Q732" s="250"/>
      <c r="R732" s="250"/>
      <c r="S732" s="250"/>
      <c r="T732" s="250"/>
      <c r="U732" s="470"/>
      <c r="AC732" s="213"/>
      <c r="AD732" s="625"/>
    </row>
    <row r="733" spans="1:30" s="215" customFormat="1" ht="24" customHeight="1">
      <c r="K733" s="285" t="s">
        <v>549</v>
      </c>
      <c r="L733" s="250">
        <f t="shared" ref="L733:T733" si="247">L672-L731</f>
        <v>-114164</v>
      </c>
      <c r="M733" s="250">
        <f t="shared" si="247"/>
        <v>-1049565</v>
      </c>
      <c r="N733" s="251">
        <f t="shared" si="247"/>
        <v>-424733</v>
      </c>
      <c r="O733" s="251">
        <f t="shared" si="247"/>
        <v>-422276</v>
      </c>
      <c r="P733" s="250">
        <f t="shared" si="247"/>
        <v>-430304</v>
      </c>
      <c r="Q733" s="250">
        <f t="shared" si="247"/>
        <v>-412921</v>
      </c>
      <c r="R733" s="250">
        <f t="shared" si="247"/>
        <v>-418897</v>
      </c>
      <c r="S733" s="250">
        <f t="shared" si="247"/>
        <v>127167</v>
      </c>
      <c r="T733" s="250">
        <f t="shared" si="247"/>
        <v>214653</v>
      </c>
      <c r="U733" s="470"/>
      <c r="AC733" s="213"/>
      <c r="AD733" s="625"/>
    </row>
    <row r="734" spans="1:30" s="215" customFormat="1" ht="15" customHeight="1">
      <c r="L734" s="250"/>
      <c r="M734" s="250"/>
      <c r="N734" s="251"/>
      <c r="O734" s="251"/>
      <c r="P734" s="250"/>
      <c r="Q734" s="250"/>
      <c r="R734" s="250"/>
      <c r="S734" s="250"/>
      <c r="T734" s="250"/>
      <c r="U734" s="470"/>
      <c r="V734" s="713"/>
      <c r="W734" s="713"/>
      <c r="AC734" s="213"/>
      <c r="AD734" s="625"/>
    </row>
    <row r="735" spans="1:30" s="215" customFormat="1" ht="24" customHeight="1">
      <c r="J735" s="290" t="s">
        <v>560</v>
      </c>
      <c r="L735" s="250">
        <v>2879170</v>
      </c>
      <c r="M735" s="250">
        <v>1829603</v>
      </c>
      <c r="N735" s="251">
        <v>1368893</v>
      </c>
      <c r="O735" s="251">
        <f>M735+O733</f>
        <v>1407327</v>
      </c>
      <c r="P735" s="250">
        <f>O735+P733</f>
        <v>977023</v>
      </c>
      <c r="Q735" s="250">
        <f>P735+Q733</f>
        <v>564102</v>
      </c>
      <c r="R735" s="250">
        <f>Q735+R733</f>
        <v>145205</v>
      </c>
      <c r="S735" s="250">
        <f>R735+S733</f>
        <v>272372</v>
      </c>
      <c r="T735" s="250">
        <f>S735+T733</f>
        <v>487025</v>
      </c>
      <c r="U735" s="470"/>
      <c r="V735" s="713"/>
      <c r="W735" s="713"/>
      <c r="AC735" s="213"/>
      <c r="AD735" s="625"/>
    </row>
    <row r="736" spans="1:30" s="294" customFormat="1" ht="24" customHeight="1">
      <c r="L736" s="252">
        <f t="shared" ref="L736" si="248">L735/L731</f>
        <v>1.1499306847215227</v>
      </c>
      <c r="M736" s="252">
        <f t="shared" ref="M736:T736" si="249">M735/M731</f>
        <v>0.52397340501393841</v>
      </c>
      <c r="N736" s="253">
        <f t="shared" ref="N736:O736" si="250">N735/N731</f>
        <v>0.46543777861722552</v>
      </c>
      <c r="O736" s="253">
        <f t="shared" si="250"/>
        <v>0.47990052306209741</v>
      </c>
      <c r="P736" s="252">
        <f t="shared" si="249"/>
        <v>0.32948560313331071</v>
      </c>
      <c r="Q736" s="252">
        <f t="shared" si="249"/>
        <v>0.18824338939680571</v>
      </c>
      <c r="R736" s="252">
        <f t="shared" si="249"/>
        <v>4.7997828933298209E-2</v>
      </c>
      <c r="S736" s="252">
        <f t="shared" ref="S736" si="251">S735/S731</f>
        <v>0.10868009932243521</v>
      </c>
      <c r="T736" s="252">
        <f t="shared" si="249"/>
        <v>0.19878563314872116</v>
      </c>
      <c r="U736" s="337"/>
      <c r="AC736" s="213"/>
      <c r="AD736" s="625"/>
    </row>
    <row r="737" spans="1:27" s="291" customFormat="1" ht="15" customHeight="1">
      <c r="A737" s="521"/>
      <c r="B737" s="521"/>
      <c r="C737" s="521"/>
      <c r="D737" s="521"/>
      <c r="E737" s="521"/>
      <c r="F737" s="521"/>
      <c r="G737" s="521"/>
      <c r="H737" s="521"/>
      <c r="I737" s="521"/>
      <c r="J737" s="521"/>
      <c r="K737" s="290"/>
      <c r="L737" s="400"/>
      <c r="M737" s="400"/>
      <c r="N737" s="405"/>
      <c r="O737" s="405"/>
      <c r="P737" s="406"/>
      <c r="Q737" s="406"/>
      <c r="R737" s="406"/>
      <c r="S737" s="406"/>
      <c r="T737" s="406"/>
      <c r="U737" s="211"/>
      <c r="V737" s="213"/>
      <c r="W737" s="213"/>
      <c r="X737" s="213"/>
      <c r="Y737" s="213"/>
      <c r="Z737" s="213"/>
      <c r="AA737" s="213"/>
    </row>
    <row r="738" spans="1:27" ht="15" customHeight="1">
      <c r="A738" s="215"/>
      <c r="B738" s="215"/>
      <c r="C738" s="215"/>
      <c r="D738" s="215"/>
      <c r="E738" s="215"/>
      <c r="F738" s="215"/>
      <c r="G738" s="215"/>
      <c r="H738" s="215"/>
      <c r="I738" s="215"/>
      <c r="J738" s="215"/>
      <c r="K738" s="215"/>
      <c r="L738" s="399"/>
      <c r="M738" s="399"/>
      <c r="N738" s="403"/>
      <c r="O738" s="403"/>
      <c r="P738" s="404"/>
      <c r="Q738" s="404"/>
      <c r="R738" s="404"/>
      <c r="S738" s="404"/>
      <c r="T738" s="404"/>
    </row>
    <row r="739" spans="1:27" ht="24" customHeight="1">
      <c r="A739" s="292" t="s">
        <v>568</v>
      </c>
      <c r="B739" s="215"/>
      <c r="C739" s="215"/>
      <c r="D739" s="215"/>
      <c r="E739" s="215"/>
      <c r="F739" s="215"/>
      <c r="G739" s="215"/>
      <c r="H739" s="215"/>
      <c r="I739" s="215"/>
      <c r="J739" s="215"/>
      <c r="K739" s="215"/>
      <c r="L739" s="279"/>
      <c r="M739" s="279"/>
      <c r="N739" s="397"/>
      <c r="O739" s="397"/>
      <c r="P739" s="398"/>
      <c r="Q739" s="398"/>
      <c r="R739" s="398"/>
      <c r="S739" s="398"/>
      <c r="T739" s="398"/>
    </row>
    <row r="740" spans="1:27" ht="15" customHeight="1">
      <c r="A740" s="215"/>
      <c r="B740" s="215"/>
      <c r="C740" s="215"/>
      <c r="D740" s="215"/>
      <c r="E740" s="215"/>
      <c r="F740" s="215"/>
      <c r="G740" s="215"/>
      <c r="H740" s="215"/>
      <c r="I740" s="215"/>
      <c r="J740" s="215"/>
      <c r="K740" s="215"/>
      <c r="L740" s="279"/>
      <c r="M740" s="279"/>
      <c r="N740" s="397"/>
      <c r="O740" s="397"/>
      <c r="P740" s="398"/>
      <c r="Q740" s="398"/>
      <c r="R740" s="398"/>
      <c r="S740" s="398"/>
      <c r="T740" s="398"/>
    </row>
    <row r="741" spans="1:27" ht="24" customHeight="1">
      <c r="A741" s="281" t="s">
        <v>674</v>
      </c>
      <c r="B741" s="282"/>
      <c r="C741" s="282"/>
      <c r="D741" s="301" t="s">
        <v>939</v>
      </c>
      <c r="E741" s="635"/>
      <c r="F741" s="635"/>
      <c r="G741" s="635"/>
      <c r="H741" s="635"/>
      <c r="I741" s="635"/>
      <c r="J741" s="635"/>
      <c r="K741" s="635"/>
      <c r="L741" s="225">
        <v>31286</v>
      </c>
      <c r="M741" s="225">
        <v>40144</v>
      </c>
      <c r="N741" s="157">
        <v>0</v>
      </c>
      <c r="O741" s="157">
        <v>0</v>
      </c>
      <c r="P741" s="154">
        <v>0</v>
      </c>
      <c r="Q741" s="154">
        <v>0</v>
      </c>
      <c r="R741" s="154">
        <v>0</v>
      </c>
      <c r="S741" s="154">
        <v>0</v>
      </c>
      <c r="T741" s="154">
        <v>0</v>
      </c>
      <c r="V741" s="149"/>
    </row>
    <row r="742" spans="1:27" ht="24" customHeight="1">
      <c r="A742" s="281" t="s">
        <v>675</v>
      </c>
      <c r="B742" s="282"/>
      <c r="C742" s="282"/>
      <c r="D742" s="301" t="s">
        <v>1291</v>
      </c>
      <c r="E742" s="685"/>
      <c r="F742" s="685"/>
      <c r="G742" s="685"/>
      <c r="H742" s="685"/>
      <c r="I742" s="685"/>
      <c r="J742" s="685"/>
      <c r="K742" s="685"/>
      <c r="L742" s="225">
        <v>0</v>
      </c>
      <c r="M742" s="225">
        <v>0</v>
      </c>
      <c r="N742" s="157">
        <v>400000</v>
      </c>
      <c r="O742" s="157">
        <v>0</v>
      </c>
      <c r="P742" s="154">
        <v>400000</v>
      </c>
      <c r="Q742" s="154">
        <v>0</v>
      </c>
      <c r="R742" s="154">
        <v>0</v>
      </c>
      <c r="S742" s="154">
        <v>0</v>
      </c>
      <c r="T742" s="154">
        <v>0</v>
      </c>
    </row>
    <row r="743" spans="1:27" ht="24" customHeight="1">
      <c r="A743" s="281" t="s">
        <v>1289</v>
      </c>
      <c r="B743" s="480"/>
      <c r="C743" s="480"/>
      <c r="D743" s="301" t="s">
        <v>1290</v>
      </c>
      <c r="E743" s="611"/>
      <c r="F743" s="611"/>
      <c r="G743" s="611"/>
      <c r="H743" s="611"/>
      <c r="I743" s="611"/>
      <c r="J743" s="611"/>
      <c r="K743" s="611"/>
      <c r="L743" s="225">
        <v>0</v>
      </c>
      <c r="M743" s="225">
        <v>0</v>
      </c>
      <c r="N743" s="157">
        <v>0</v>
      </c>
      <c r="O743" s="157">
        <v>0</v>
      </c>
      <c r="P743" s="154">
        <v>0</v>
      </c>
      <c r="Q743" s="154">
        <v>0</v>
      </c>
      <c r="R743" s="154">
        <v>400000</v>
      </c>
      <c r="S743" s="154">
        <v>0</v>
      </c>
      <c r="T743" s="154">
        <v>0</v>
      </c>
    </row>
    <row r="744" spans="1:27" ht="24" customHeight="1">
      <c r="A744" s="281" t="s">
        <v>1154</v>
      </c>
      <c r="B744" s="385"/>
      <c r="C744" s="385"/>
      <c r="D744" s="281" t="s">
        <v>917</v>
      </c>
      <c r="E744" s="385"/>
      <c r="F744" s="385"/>
      <c r="G744" s="385"/>
      <c r="H744" s="385"/>
      <c r="I744" s="385"/>
      <c r="J744" s="385"/>
      <c r="K744" s="385"/>
      <c r="L744" s="225">
        <v>1733</v>
      </c>
      <c r="M744" s="225">
        <v>8407</v>
      </c>
      <c r="N744" s="157">
        <v>0</v>
      </c>
      <c r="O744" s="157">
        <v>0</v>
      </c>
      <c r="P744" s="154">
        <v>0</v>
      </c>
      <c r="Q744" s="154">
        <v>0</v>
      </c>
      <c r="R744" s="154">
        <v>0</v>
      </c>
      <c r="S744" s="154">
        <v>0</v>
      </c>
      <c r="T744" s="154">
        <v>0</v>
      </c>
    </row>
    <row r="745" spans="1:27" ht="24" customHeight="1">
      <c r="A745" s="281" t="s">
        <v>1173</v>
      </c>
      <c r="B745" s="394"/>
      <c r="C745" s="394"/>
      <c r="D745" s="770" t="s">
        <v>6</v>
      </c>
      <c r="E745" s="770"/>
      <c r="F745" s="770"/>
      <c r="G745" s="770"/>
      <c r="H745" s="770"/>
      <c r="I745" s="770"/>
      <c r="J745" s="770"/>
      <c r="K745" s="770"/>
      <c r="L745" s="225">
        <v>4</v>
      </c>
      <c r="M745" s="225">
        <v>0</v>
      </c>
      <c r="N745" s="157">
        <v>0</v>
      </c>
      <c r="O745" s="157">
        <v>0</v>
      </c>
      <c r="P745" s="154">
        <v>0</v>
      </c>
      <c r="Q745" s="154">
        <v>0</v>
      </c>
      <c r="R745" s="154">
        <v>0</v>
      </c>
      <c r="S745" s="154">
        <v>0</v>
      </c>
      <c r="T745" s="154">
        <v>0</v>
      </c>
    </row>
    <row r="746" spans="1:27" ht="24" customHeight="1">
      <c r="A746" s="281" t="s">
        <v>1278</v>
      </c>
      <c r="B746" s="475"/>
      <c r="C746" s="475"/>
      <c r="D746" s="685" t="s">
        <v>1414</v>
      </c>
      <c r="E746" s="539"/>
      <c r="F746" s="539"/>
      <c r="G746" s="539"/>
      <c r="H746" s="539"/>
      <c r="I746" s="539"/>
      <c r="J746" s="539"/>
      <c r="K746" s="539"/>
      <c r="L746" s="225">
        <v>0</v>
      </c>
      <c r="M746" s="225">
        <v>83311</v>
      </c>
      <c r="N746" s="157">
        <v>0</v>
      </c>
      <c r="O746" s="157">
        <v>0</v>
      </c>
      <c r="P746" s="154">
        <v>50000</v>
      </c>
      <c r="Q746" s="154">
        <v>0</v>
      </c>
      <c r="R746" s="154">
        <v>0</v>
      </c>
      <c r="S746" s="154">
        <v>0</v>
      </c>
      <c r="T746" s="154">
        <v>0</v>
      </c>
    </row>
    <row r="747" spans="1:27" ht="24" customHeight="1">
      <c r="A747" s="476" t="s">
        <v>1279</v>
      </c>
      <c r="B747" s="476"/>
      <c r="C747" s="476"/>
      <c r="D747" s="476" t="s">
        <v>1280</v>
      </c>
      <c r="E747" s="476"/>
      <c r="F747" s="476"/>
      <c r="G747" s="476"/>
      <c r="H747" s="476"/>
      <c r="I747" s="476"/>
      <c r="J747" s="476"/>
      <c r="K747" s="476"/>
      <c r="L747" s="226">
        <v>0</v>
      </c>
      <c r="M747" s="226">
        <v>1406</v>
      </c>
      <c r="N747" s="156">
        <v>0</v>
      </c>
      <c r="O747" s="156">
        <v>0</v>
      </c>
      <c r="P747" s="155">
        <v>0</v>
      </c>
      <c r="Q747" s="155">
        <v>0</v>
      </c>
      <c r="R747" s="155">
        <v>0</v>
      </c>
      <c r="S747" s="155">
        <v>0</v>
      </c>
      <c r="T747" s="155">
        <v>0</v>
      </c>
    </row>
    <row r="748" spans="1:27" ht="24" customHeight="1">
      <c r="A748" s="215" t="s">
        <v>420</v>
      </c>
      <c r="B748" s="215"/>
      <c r="C748" s="215"/>
      <c r="D748" s="694" t="s">
        <v>421</v>
      </c>
      <c r="E748" s="694"/>
      <c r="F748" s="694"/>
      <c r="G748" s="694"/>
      <c r="H748" s="694"/>
      <c r="I748" s="694"/>
      <c r="J748" s="694"/>
      <c r="K748" s="694"/>
      <c r="L748" s="226">
        <v>42367</v>
      </c>
      <c r="M748" s="226">
        <v>30320</v>
      </c>
      <c r="N748" s="156">
        <v>30000</v>
      </c>
      <c r="O748" s="156">
        <v>30000</v>
      </c>
      <c r="P748" s="155">
        <v>30000</v>
      </c>
      <c r="Q748" s="155">
        <v>30000</v>
      </c>
      <c r="R748" s="155">
        <v>30000</v>
      </c>
      <c r="S748" s="155">
        <v>30000</v>
      </c>
      <c r="T748" s="155">
        <v>30000</v>
      </c>
    </row>
    <row r="749" spans="1:27" ht="24" customHeight="1">
      <c r="A749" s="215" t="s">
        <v>422</v>
      </c>
      <c r="B749" s="215"/>
      <c r="C749" s="215"/>
      <c r="D749" s="215" t="s">
        <v>423</v>
      </c>
      <c r="E749" s="215"/>
      <c r="F749" s="215"/>
      <c r="G749" s="215"/>
      <c r="H749" s="215"/>
      <c r="I749" s="215"/>
      <c r="J749" s="215"/>
      <c r="K749" s="215"/>
      <c r="L749" s="226">
        <v>2841</v>
      </c>
      <c r="M749" s="226">
        <v>7386</v>
      </c>
      <c r="N749" s="156">
        <v>500</v>
      </c>
      <c r="O749" s="156">
        <v>7386</v>
      </c>
      <c r="P749" s="155">
        <v>5000</v>
      </c>
      <c r="Q749" s="155">
        <v>5000</v>
      </c>
      <c r="R749" s="155">
        <v>5000</v>
      </c>
      <c r="S749" s="155">
        <v>5000</v>
      </c>
      <c r="T749" s="155">
        <v>5000</v>
      </c>
    </row>
    <row r="750" spans="1:27" ht="24" customHeight="1">
      <c r="A750" s="636" t="s">
        <v>1401</v>
      </c>
      <c r="B750" s="636"/>
      <c r="C750" s="636"/>
      <c r="D750" s="636" t="s">
        <v>1402</v>
      </c>
      <c r="E750" s="636"/>
      <c r="F750" s="636"/>
      <c r="G750" s="636"/>
      <c r="H750" s="636"/>
      <c r="I750" s="636"/>
      <c r="J750" s="636"/>
      <c r="K750" s="636"/>
      <c r="L750" s="225">
        <v>0</v>
      </c>
      <c r="M750" s="225">
        <v>0</v>
      </c>
      <c r="N750" s="157">
        <v>0</v>
      </c>
      <c r="O750" s="157">
        <v>3076</v>
      </c>
      <c r="P750" s="154">
        <v>2000</v>
      </c>
      <c r="Q750" s="154">
        <v>0</v>
      </c>
      <c r="R750" s="154">
        <v>0</v>
      </c>
      <c r="S750" s="154">
        <v>0</v>
      </c>
      <c r="T750" s="154">
        <v>0</v>
      </c>
    </row>
    <row r="751" spans="1:27" ht="24" customHeight="1">
      <c r="A751" s="636" t="s">
        <v>1403</v>
      </c>
      <c r="B751" s="636"/>
      <c r="C751" s="636"/>
      <c r="D751" s="636" t="s">
        <v>1404</v>
      </c>
      <c r="E751" s="636"/>
      <c r="F751" s="636"/>
      <c r="G751" s="636"/>
      <c r="H751" s="636"/>
      <c r="I751" s="636"/>
      <c r="J751" s="636"/>
      <c r="K751" s="636"/>
      <c r="L751" s="225">
        <v>0</v>
      </c>
      <c r="M751" s="225">
        <v>0</v>
      </c>
      <c r="N751" s="157">
        <v>0</v>
      </c>
      <c r="O751" s="157">
        <v>1406</v>
      </c>
      <c r="P751" s="154">
        <v>0</v>
      </c>
      <c r="Q751" s="154">
        <v>0</v>
      </c>
      <c r="R751" s="154">
        <v>0</v>
      </c>
      <c r="S751" s="154">
        <v>0</v>
      </c>
      <c r="T751" s="154">
        <v>0</v>
      </c>
    </row>
    <row r="752" spans="1:27" ht="24" customHeight="1">
      <c r="A752" s="636" t="s">
        <v>1405</v>
      </c>
      <c r="B752" s="636"/>
      <c r="C752" s="636"/>
      <c r="D752" s="686" t="s">
        <v>1406</v>
      </c>
      <c r="E752" s="686"/>
      <c r="F752" s="686"/>
      <c r="G752" s="686"/>
      <c r="H752" s="686"/>
      <c r="I752" s="686"/>
      <c r="J752" s="686"/>
      <c r="K752" s="686"/>
      <c r="L752" s="225">
        <v>0</v>
      </c>
      <c r="M752" s="225">
        <v>0</v>
      </c>
      <c r="N752" s="157">
        <v>0</v>
      </c>
      <c r="O752" s="157">
        <v>67600</v>
      </c>
      <c r="P752" s="154">
        <v>0</v>
      </c>
      <c r="Q752" s="154">
        <v>0</v>
      </c>
      <c r="R752" s="154">
        <v>0</v>
      </c>
      <c r="S752" s="154">
        <v>0</v>
      </c>
      <c r="T752" s="154">
        <v>0</v>
      </c>
    </row>
    <row r="753" spans="1:22" ht="24" customHeight="1">
      <c r="A753" s="395" t="s">
        <v>1174</v>
      </c>
      <c r="B753" s="395"/>
      <c r="C753" s="395"/>
      <c r="D753" s="395" t="s">
        <v>1175</v>
      </c>
      <c r="E753" s="395"/>
      <c r="F753" s="395"/>
      <c r="G753" s="395"/>
      <c r="H753" s="395"/>
      <c r="I753" s="395"/>
      <c r="J753" s="395"/>
      <c r="K753" s="395"/>
      <c r="L753" s="225">
        <v>9371</v>
      </c>
      <c r="M753" s="225">
        <v>1885</v>
      </c>
      <c r="N753" s="157">
        <v>0</v>
      </c>
      <c r="O753" s="157">
        <v>3789</v>
      </c>
      <c r="P753" s="154">
        <v>2000</v>
      </c>
      <c r="Q753" s="154">
        <v>2000</v>
      </c>
      <c r="R753" s="154">
        <v>2000</v>
      </c>
      <c r="S753" s="154">
        <v>0</v>
      </c>
      <c r="T753" s="154">
        <v>0</v>
      </c>
    </row>
    <row r="754" spans="1:22" ht="24" customHeight="1">
      <c r="A754" s="587" t="s">
        <v>1383</v>
      </c>
      <c r="B754" s="587"/>
      <c r="C754" s="587"/>
      <c r="D754" s="281" t="s">
        <v>7</v>
      </c>
      <c r="E754" s="587"/>
      <c r="F754" s="587"/>
      <c r="G754" s="587"/>
      <c r="H754" s="587"/>
      <c r="I754" s="587"/>
      <c r="J754" s="587"/>
      <c r="K754" s="587"/>
      <c r="L754" s="225">
        <v>0</v>
      </c>
      <c r="M754" s="225">
        <v>14</v>
      </c>
      <c r="N754" s="157">
        <v>0</v>
      </c>
      <c r="O754" s="157">
        <v>0</v>
      </c>
      <c r="P754" s="154">
        <v>0</v>
      </c>
      <c r="Q754" s="154">
        <v>0</v>
      </c>
      <c r="R754" s="154">
        <v>0</v>
      </c>
      <c r="S754" s="154">
        <v>0</v>
      </c>
      <c r="T754" s="154">
        <v>0</v>
      </c>
    </row>
    <row r="755" spans="1:22" ht="24" customHeight="1">
      <c r="A755" s="215" t="s">
        <v>969</v>
      </c>
      <c r="B755" s="215"/>
      <c r="C755" s="215"/>
      <c r="D755" s="215" t="s">
        <v>970</v>
      </c>
      <c r="E755" s="215"/>
      <c r="F755" s="215"/>
      <c r="G755" s="215"/>
      <c r="H755" s="215"/>
      <c r="I755" s="215"/>
      <c r="J755" s="215"/>
      <c r="K755" s="215"/>
      <c r="L755" s="230">
        <v>50000</v>
      </c>
      <c r="M755" s="230">
        <v>0</v>
      </c>
      <c r="N755" s="164">
        <v>0</v>
      </c>
      <c r="O755" s="164">
        <v>0</v>
      </c>
      <c r="P755" s="163">
        <v>0</v>
      </c>
      <c r="Q755" s="163">
        <v>0</v>
      </c>
      <c r="R755" s="163">
        <v>0</v>
      </c>
      <c r="S755" s="163">
        <v>0</v>
      </c>
      <c r="T755" s="163">
        <v>0</v>
      </c>
      <c r="V755" s="152"/>
    </row>
    <row r="756" spans="1:22" ht="15" customHeight="1">
      <c r="A756" s="215"/>
      <c r="B756" s="215"/>
      <c r="C756" s="215"/>
      <c r="D756" s="215"/>
      <c r="E756" s="215"/>
      <c r="F756" s="215"/>
      <c r="G756" s="215"/>
      <c r="H756" s="215"/>
      <c r="I756" s="215"/>
      <c r="J756" s="215"/>
      <c r="K756" s="215"/>
      <c r="L756" s="231"/>
      <c r="M756" s="231"/>
      <c r="N756" s="166"/>
      <c r="O756" s="166"/>
      <c r="P756" s="165"/>
      <c r="Q756" s="165"/>
      <c r="R756" s="165"/>
      <c r="S756" s="165"/>
      <c r="T756" s="165"/>
    </row>
    <row r="757" spans="1:22" s="215" customFormat="1" ht="24" customHeight="1">
      <c r="K757" s="285" t="s">
        <v>545</v>
      </c>
      <c r="L757" s="233">
        <f t="shared" ref="L757:T757" si="252">SUM(L741:L756)</f>
        <v>137602</v>
      </c>
      <c r="M757" s="233">
        <f t="shared" si="252"/>
        <v>172873</v>
      </c>
      <c r="N757" s="234">
        <f t="shared" si="252"/>
        <v>430500</v>
      </c>
      <c r="O757" s="234">
        <f t="shared" si="252"/>
        <v>113257</v>
      </c>
      <c r="P757" s="233">
        <f t="shared" si="252"/>
        <v>489000</v>
      </c>
      <c r="Q757" s="233">
        <f t="shared" si="252"/>
        <v>37000</v>
      </c>
      <c r="R757" s="233">
        <f t="shared" si="252"/>
        <v>437000</v>
      </c>
      <c r="S757" s="233">
        <f t="shared" si="252"/>
        <v>35000</v>
      </c>
      <c r="T757" s="233">
        <f t="shared" si="252"/>
        <v>35000</v>
      </c>
      <c r="U757" s="470"/>
    </row>
    <row r="758" spans="1:22" ht="15" customHeight="1">
      <c r="A758" s="215"/>
      <c r="B758" s="215"/>
      <c r="C758" s="215"/>
      <c r="D758" s="215"/>
      <c r="E758" s="215"/>
      <c r="F758" s="215"/>
      <c r="G758" s="215"/>
      <c r="H758" s="215"/>
      <c r="I758" s="215"/>
      <c r="J758" s="215"/>
      <c r="K758" s="215"/>
      <c r="L758" s="231"/>
      <c r="M758" s="231"/>
      <c r="N758" s="166"/>
      <c r="O758" s="166"/>
      <c r="P758" s="165"/>
      <c r="Q758" s="165"/>
      <c r="R758" s="165"/>
      <c r="S758" s="165"/>
      <c r="T758" s="165"/>
    </row>
    <row r="759" spans="1:22" ht="24" customHeight="1">
      <c r="A759" s="281" t="s">
        <v>1157</v>
      </c>
      <c r="B759" s="386"/>
      <c r="C759" s="386"/>
      <c r="D759" s="386" t="s">
        <v>888</v>
      </c>
      <c r="E759" s="386"/>
      <c r="F759" s="386"/>
      <c r="G759" s="385"/>
      <c r="H759" s="385"/>
      <c r="I759" s="385"/>
      <c r="J759" s="385"/>
      <c r="K759" s="385"/>
      <c r="L759" s="222">
        <v>1733</v>
      </c>
      <c r="M759" s="222">
        <v>8407</v>
      </c>
      <c r="N759" s="148">
        <v>0</v>
      </c>
      <c r="O759" s="148">
        <v>0</v>
      </c>
      <c r="P759" s="147">
        <v>0</v>
      </c>
      <c r="Q759" s="147">
        <v>0</v>
      </c>
      <c r="R759" s="147">
        <v>0</v>
      </c>
      <c r="S759" s="147">
        <v>0</v>
      </c>
      <c r="T759" s="147">
        <v>0</v>
      </c>
      <c r="V759" s="149"/>
    </row>
    <row r="760" spans="1:22" ht="24" customHeight="1">
      <c r="A760" s="281" t="s">
        <v>1141</v>
      </c>
      <c r="B760" s="366"/>
      <c r="C760" s="366"/>
      <c r="D760" s="281" t="s">
        <v>1142</v>
      </c>
      <c r="E760" s="366"/>
      <c r="F760" s="366"/>
      <c r="G760" s="366"/>
      <c r="H760" s="366"/>
      <c r="I760" s="366"/>
      <c r="J760" s="366"/>
      <c r="K760" s="366"/>
      <c r="L760" s="225">
        <v>16897</v>
      </c>
      <c r="M760" s="225">
        <v>0</v>
      </c>
      <c r="N760" s="157">
        <v>0</v>
      </c>
      <c r="O760" s="157">
        <v>0</v>
      </c>
      <c r="P760" s="154">
        <v>0</v>
      </c>
      <c r="Q760" s="154">
        <v>0</v>
      </c>
      <c r="R760" s="154">
        <v>0</v>
      </c>
      <c r="S760" s="154">
        <v>0</v>
      </c>
      <c r="T760" s="154">
        <v>0</v>
      </c>
    </row>
    <row r="761" spans="1:22" ht="24" customHeight="1">
      <c r="A761" s="281" t="s">
        <v>424</v>
      </c>
      <c r="B761" s="282"/>
      <c r="C761" s="282"/>
      <c r="D761" s="281" t="s">
        <v>1237</v>
      </c>
      <c r="E761" s="282"/>
      <c r="F761" s="282"/>
      <c r="G761" s="282"/>
      <c r="H761" s="282"/>
      <c r="I761" s="282"/>
      <c r="J761" s="282"/>
      <c r="K761" s="282"/>
      <c r="L761" s="225">
        <v>12000</v>
      </c>
      <c r="M761" s="225">
        <v>0</v>
      </c>
      <c r="N761" s="157">
        <v>13000</v>
      </c>
      <c r="O761" s="157">
        <v>13000</v>
      </c>
      <c r="P761" s="154">
        <v>13000</v>
      </c>
      <c r="Q761" s="154">
        <v>13000</v>
      </c>
      <c r="R761" s="154">
        <v>0</v>
      </c>
      <c r="S761" s="154">
        <v>0</v>
      </c>
      <c r="T761" s="154">
        <v>0</v>
      </c>
    </row>
    <row r="762" spans="1:22" ht="24" customHeight="1">
      <c r="A762" s="281" t="s">
        <v>1242</v>
      </c>
      <c r="B762" s="449"/>
      <c r="C762" s="449"/>
      <c r="D762" s="281" t="s">
        <v>1243</v>
      </c>
      <c r="E762" s="585"/>
      <c r="F762" s="585"/>
      <c r="G762" s="585"/>
      <c r="H762" s="585"/>
      <c r="I762" s="585"/>
      <c r="J762" s="585"/>
      <c r="K762" s="585"/>
      <c r="L762" s="225">
        <v>3406</v>
      </c>
      <c r="M762" s="225">
        <v>32434</v>
      </c>
      <c r="N762" s="157">
        <v>292832</v>
      </c>
      <c r="O762" s="157">
        <v>2000</v>
      </c>
      <c r="P762" s="193">
        <v>0</v>
      </c>
      <c r="Q762" s="154">
        <v>292832</v>
      </c>
      <c r="R762" s="154">
        <f>400000-Q762-O762-M762</f>
        <v>72734</v>
      </c>
      <c r="S762" s="154">
        <v>0</v>
      </c>
      <c r="T762" s="154">
        <v>0</v>
      </c>
    </row>
    <row r="763" spans="1:22" ht="24" customHeight="1">
      <c r="A763" s="281" t="s">
        <v>425</v>
      </c>
      <c r="B763" s="282"/>
      <c r="C763" s="282"/>
      <c r="D763" s="301" t="s">
        <v>940</v>
      </c>
      <c r="E763" s="585"/>
      <c r="F763" s="585"/>
      <c r="G763" s="585"/>
      <c r="H763" s="585"/>
      <c r="I763" s="585"/>
      <c r="J763" s="585"/>
      <c r="K763" s="585"/>
      <c r="L763" s="225">
        <v>31613</v>
      </c>
      <c r="M763" s="225">
        <v>20661</v>
      </c>
      <c r="N763" s="157">
        <v>0</v>
      </c>
      <c r="O763" s="157">
        <v>0</v>
      </c>
      <c r="P763" s="154">
        <v>0</v>
      </c>
      <c r="Q763" s="154">
        <v>0</v>
      </c>
      <c r="R763" s="154">
        <v>0</v>
      </c>
      <c r="S763" s="154">
        <v>0</v>
      </c>
      <c r="T763" s="154">
        <v>0</v>
      </c>
      <c r="V763" s="149"/>
    </row>
    <row r="764" spans="1:22" ht="24" customHeight="1">
      <c r="A764" s="281" t="s">
        <v>426</v>
      </c>
      <c r="B764" s="282"/>
      <c r="C764" s="282"/>
      <c r="D764" s="652" t="s">
        <v>427</v>
      </c>
      <c r="E764" s="651"/>
      <c r="F764" s="651"/>
      <c r="G764" s="651"/>
      <c r="H764" s="651"/>
      <c r="I764" s="651"/>
      <c r="J764" s="651"/>
      <c r="K764" s="651"/>
      <c r="L764" s="225">
        <v>4650</v>
      </c>
      <c r="M764" s="225">
        <v>29495</v>
      </c>
      <c r="N764" s="157">
        <v>200000</v>
      </c>
      <c r="O764" s="157">
        <v>5362</v>
      </c>
      <c r="P764" s="154">
        <f>400000-M764-L764</f>
        <v>365855</v>
      </c>
      <c r="Q764" s="154">
        <v>0</v>
      </c>
      <c r="R764" s="154">
        <v>0</v>
      </c>
      <c r="S764" s="154">
        <v>0</v>
      </c>
      <c r="T764" s="154">
        <v>0</v>
      </c>
    </row>
    <row r="765" spans="1:22" ht="24" customHeight="1">
      <c r="A765" s="281" t="s">
        <v>680</v>
      </c>
      <c r="B765" s="282"/>
      <c r="C765" s="282"/>
      <c r="D765" s="283" t="s">
        <v>678</v>
      </c>
      <c r="E765" s="651"/>
      <c r="F765" s="651"/>
      <c r="G765" s="651"/>
      <c r="H765" s="651"/>
      <c r="I765" s="651"/>
      <c r="J765" s="651"/>
      <c r="K765" s="651"/>
      <c r="L765" s="225">
        <v>0</v>
      </c>
      <c r="M765" s="225">
        <v>380</v>
      </c>
      <c r="N765" s="157">
        <v>50000</v>
      </c>
      <c r="O765" s="157">
        <v>25000</v>
      </c>
      <c r="P765" s="154">
        <v>75000</v>
      </c>
      <c r="Q765" s="154">
        <v>0</v>
      </c>
      <c r="R765" s="154">
        <v>0</v>
      </c>
      <c r="S765" s="154">
        <v>0</v>
      </c>
      <c r="T765" s="154">
        <v>0</v>
      </c>
      <c r="V765" s="149"/>
    </row>
    <row r="766" spans="1:22" ht="24" customHeight="1">
      <c r="A766" s="281" t="s">
        <v>681</v>
      </c>
      <c r="B766" s="282"/>
      <c r="C766" s="282"/>
      <c r="D766" s="283" t="s">
        <v>679</v>
      </c>
      <c r="E766" s="651"/>
      <c r="F766" s="651"/>
      <c r="G766" s="651"/>
      <c r="H766" s="651"/>
      <c r="I766" s="651"/>
      <c r="J766" s="651"/>
      <c r="K766" s="651"/>
      <c r="L766" s="225">
        <v>738</v>
      </c>
      <c r="M766" s="225">
        <v>146021</v>
      </c>
      <c r="N766" s="157">
        <v>0</v>
      </c>
      <c r="O766" s="157">
        <v>150</v>
      </c>
      <c r="P766" s="154">
        <v>0</v>
      </c>
      <c r="Q766" s="154">
        <v>0</v>
      </c>
      <c r="R766" s="154">
        <v>0</v>
      </c>
      <c r="S766" s="154">
        <v>0</v>
      </c>
      <c r="T766" s="154">
        <v>0</v>
      </c>
      <c r="V766" s="149"/>
    </row>
    <row r="767" spans="1:22" ht="24" customHeight="1">
      <c r="A767" s="281" t="s">
        <v>1330</v>
      </c>
      <c r="B767" s="282"/>
      <c r="C767" s="282"/>
      <c r="D767" s="283" t="s">
        <v>1329</v>
      </c>
      <c r="E767" s="651"/>
      <c r="F767" s="651"/>
      <c r="G767" s="651"/>
      <c r="H767" s="651"/>
      <c r="I767" s="651"/>
      <c r="J767" s="651"/>
      <c r="K767" s="651"/>
      <c r="L767" s="230">
        <v>0</v>
      </c>
      <c r="M767" s="230">
        <v>6030</v>
      </c>
      <c r="N767" s="164">
        <v>25000</v>
      </c>
      <c r="O767" s="164">
        <v>0</v>
      </c>
      <c r="P767" s="163">
        <v>0</v>
      </c>
      <c r="Q767" s="163">
        <v>25000</v>
      </c>
      <c r="R767" s="163">
        <v>0</v>
      </c>
      <c r="S767" s="163">
        <v>0</v>
      </c>
      <c r="T767" s="163">
        <v>0</v>
      </c>
      <c r="V767" s="149"/>
    </row>
    <row r="768" spans="1:22" ht="15" customHeight="1">
      <c r="A768" s="281"/>
      <c r="B768" s="215"/>
      <c r="C768" s="215"/>
      <c r="D768" s="215"/>
      <c r="E768" s="215"/>
      <c r="F768" s="215"/>
      <c r="G768" s="215"/>
      <c r="H768" s="215"/>
      <c r="I768" s="215"/>
      <c r="J768" s="215"/>
      <c r="K768" s="215"/>
      <c r="L768" s="231"/>
      <c r="M768" s="231"/>
      <c r="N768" s="166"/>
      <c r="O768" s="166"/>
      <c r="P768" s="165"/>
      <c r="Q768" s="165"/>
      <c r="R768" s="165"/>
      <c r="S768" s="165"/>
      <c r="T768" s="165"/>
    </row>
    <row r="769" spans="1:22" s="215" customFormat="1" ht="24" customHeight="1">
      <c r="K769" s="285" t="s">
        <v>548</v>
      </c>
      <c r="L769" s="233">
        <f t="shared" ref="L769" si="253">SUM(L759:L768)</f>
        <v>71037</v>
      </c>
      <c r="M769" s="233">
        <f t="shared" ref="M769:T769" si="254">SUM(M759:M768)</f>
        <v>243428</v>
      </c>
      <c r="N769" s="234">
        <f t="shared" ref="N769" si="255">SUM(N759:N768)</f>
        <v>580832</v>
      </c>
      <c r="O769" s="234">
        <f t="shared" si="254"/>
        <v>45512</v>
      </c>
      <c r="P769" s="233">
        <f t="shared" si="254"/>
        <v>453855</v>
      </c>
      <c r="Q769" s="233">
        <f>SUM(Q759:Q768)</f>
        <v>330832</v>
      </c>
      <c r="R769" s="233">
        <f t="shared" si="254"/>
        <v>72734</v>
      </c>
      <c r="S769" s="233">
        <f t="shared" si="254"/>
        <v>0</v>
      </c>
      <c r="T769" s="233">
        <f t="shared" si="254"/>
        <v>0</v>
      </c>
      <c r="U769" s="470"/>
    </row>
    <row r="770" spans="1:22" s="215" customFormat="1" ht="15" customHeight="1">
      <c r="L770" s="250"/>
      <c r="M770" s="250"/>
      <c r="N770" s="251"/>
      <c r="O770" s="251"/>
      <c r="P770" s="250"/>
      <c r="Q770" s="250"/>
      <c r="R770" s="250"/>
      <c r="S770" s="250"/>
      <c r="T770" s="250"/>
      <c r="U770" s="470"/>
    </row>
    <row r="771" spans="1:22" s="215" customFormat="1" ht="24" customHeight="1">
      <c r="K771" s="285" t="s">
        <v>549</v>
      </c>
      <c r="L771" s="250">
        <f t="shared" ref="L771:T771" si="256">L757-L769</f>
        <v>66565</v>
      </c>
      <c r="M771" s="250">
        <f t="shared" si="256"/>
        <v>-70555</v>
      </c>
      <c r="N771" s="251">
        <f t="shared" si="256"/>
        <v>-150332</v>
      </c>
      <c r="O771" s="251">
        <f t="shared" si="256"/>
        <v>67745</v>
      </c>
      <c r="P771" s="250">
        <f t="shared" si="256"/>
        <v>35145</v>
      </c>
      <c r="Q771" s="250">
        <f t="shared" si="256"/>
        <v>-293832</v>
      </c>
      <c r="R771" s="250">
        <f t="shared" si="256"/>
        <v>364266</v>
      </c>
      <c r="S771" s="250">
        <f t="shared" si="256"/>
        <v>35000</v>
      </c>
      <c r="T771" s="250">
        <f t="shared" si="256"/>
        <v>35000</v>
      </c>
      <c r="U771" s="470"/>
    </row>
    <row r="772" spans="1:22" s="215" customFormat="1" ht="15" customHeight="1">
      <c r="L772" s="250"/>
      <c r="M772" s="250"/>
      <c r="N772" s="251"/>
      <c r="O772" s="251"/>
      <c r="P772" s="250"/>
      <c r="Q772" s="250"/>
      <c r="R772" s="250"/>
      <c r="S772" s="250"/>
      <c r="T772" s="250"/>
      <c r="U772" s="470"/>
    </row>
    <row r="773" spans="1:22" s="215" customFormat="1" ht="24" customHeight="1">
      <c r="K773" s="290" t="s">
        <v>551</v>
      </c>
      <c r="L773" s="250">
        <v>187984</v>
      </c>
      <c r="M773" s="250">
        <v>117430</v>
      </c>
      <c r="N773" s="251">
        <v>-185167</v>
      </c>
      <c r="O773" s="251">
        <f>M773+O771</f>
        <v>185175</v>
      </c>
      <c r="P773" s="250">
        <f>O773+P771</f>
        <v>220320</v>
      </c>
      <c r="Q773" s="250">
        <f>P773+Q771</f>
        <v>-73512</v>
      </c>
      <c r="R773" s="250">
        <f>Q773+R771</f>
        <v>290754</v>
      </c>
      <c r="S773" s="250">
        <f>R773+S771</f>
        <v>325754</v>
      </c>
      <c r="T773" s="250">
        <f>S773+T771</f>
        <v>360754</v>
      </c>
      <c r="U773" s="470"/>
    </row>
    <row r="774" spans="1:22" ht="15" customHeight="1">
      <c r="A774" s="215"/>
      <c r="B774" s="215"/>
      <c r="C774" s="215"/>
      <c r="D774" s="215"/>
      <c r="E774" s="215"/>
      <c r="F774" s="215"/>
      <c r="G774" s="215"/>
      <c r="H774" s="215"/>
      <c r="I774" s="215"/>
      <c r="J774" s="215"/>
      <c r="K774" s="215"/>
      <c r="L774" s="399"/>
      <c r="M774" s="399"/>
      <c r="N774" s="403"/>
      <c r="O774" s="403"/>
      <c r="P774" s="404"/>
      <c r="Q774" s="404"/>
      <c r="R774" s="404"/>
      <c r="S774" s="404"/>
      <c r="T774" s="404"/>
    </row>
    <row r="775" spans="1:22" ht="24" customHeight="1">
      <c r="A775" s="292" t="s">
        <v>569</v>
      </c>
      <c r="B775" s="215"/>
      <c r="C775" s="215"/>
      <c r="D775" s="215"/>
      <c r="E775" s="215"/>
      <c r="F775" s="215"/>
      <c r="G775" s="215"/>
      <c r="H775" s="215"/>
      <c r="I775" s="215"/>
      <c r="J775" s="215"/>
      <c r="K775" s="215"/>
      <c r="L775" s="279"/>
      <c r="M775" s="279"/>
      <c r="N775" s="397"/>
      <c r="O775" s="397"/>
      <c r="P775" s="398"/>
      <c r="Q775" s="398"/>
      <c r="R775" s="398"/>
      <c r="S775" s="398"/>
      <c r="T775" s="398"/>
    </row>
    <row r="776" spans="1:22" ht="15" customHeight="1">
      <c r="A776" s="215"/>
      <c r="B776" s="215"/>
      <c r="C776" s="215"/>
      <c r="D776" s="215"/>
      <c r="E776" s="215"/>
      <c r="F776" s="215"/>
      <c r="G776" s="215"/>
      <c r="H776" s="215"/>
      <c r="I776" s="215"/>
      <c r="J776" s="215"/>
      <c r="K776" s="215"/>
      <c r="L776" s="279"/>
      <c r="M776" s="279"/>
      <c r="N776" s="397"/>
      <c r="O776" s="397"/>
      <c r="P776" s="398"/>
      <c r="Q776" s="398"/>
      <c r="R776" s="398"/>
      <c r="S776" s="398"/>
      <c r="T776" s="398"/>
    </row>
    <row r="777" spans="1:22" ht="24" customHeight="1">
      <c r="A777" s="281" t="s">
        <v>919</v>
      </c>
      <c r="B777" s="215"/>
      <c r="C777" s="215"/>
      <c r="D777" s="672" t="s">
        <v>920</v>
      </c>
      <c r="E777" s="673"/>
      <c r="F777" s="673"/>
      <c r="G777" s="673"/>
      <c r="H777" s="673"/>
      <c r="I777" s="673"/>
      <c r="J777" s="673"/>
      <c r="K777" s="673"/>
      <c r="L777" s="226">
        <v>47745</v>
      </c>
      <c r="M777" s="226">
        <v>72025</v>
      </c>
      <c r="N777" s="156">
        <v>60000</v>
      </c>
      <c r="O777" s="156">
        <v>80000</v>
      </c>
      <c r="P777" s="155">
        <v>80000</v>
      </c>
      <c r="Q777" s="155">
        <v>80000</v>
      </c>
      <c r="R777" s="155">
        <v>80000</v>
      </c>
      <c r="S777" s="155">
        <v>80000</v>
      </c>
      <c r="T777" s="155">
        <v>80000</v>
      </c>
    </row>
    <row r="778" spans="1:22" ht="24" customHeight="1">
      <c r="A778" s="281" t="s">
        <v>921</v>
      </c>
      <c r="B778" s="215"/>
      <c r="C778" s="215"/>
      <c r="D778" s="672" t="s">
        <v>922</v>
      </c>
      <c r="E778" s="673"/>
      <c r="F778" s="673"/>
      <c r="G778" s="673"/>
      <c r="H778" s="673"/>
      <c r="I778" s="673"/>
      <c r="J778" s="673"/>
      <c r="K778" s="673"/>
      <c r="L778" s="226">
        <v>81114</v>
      </c>
      <c r="M778" s="226">
        <v>103683</v>
      </c>
      <c r="N778" s="156">
        <v>90000</v>
      </c>
      <c r="O778" s="156">
        <v>100000</v>
      </c>
      <c r="P778" s="155">
        <v>100000</v>
      </c>
      <c r="Q778" s="155">
        <v>100000</v>
      </c>
      <c r="R778" s="155">
        <v>100000</v>
      </c>
      <c r="S778" s="155">
        <v>100000</v>
      </c>
      <c r="T778" s="155">
        <v>100000</v>
      </c>
    </row>
    <row r="779" spans="1:22" ht="24" customHeight="1">
      <c r="A779" s="281" t="s">
        <v>923</v>
      </c>
      <c r="B779" s="215"/>
      <c r="C779" s="215"/>
      <c r="D779" s="672" t="s">
        <v>1082</v>
      </c>
      <c r="E779" s="673"/>
      <c r="F779" s="673"/>
      <c r="G779" s="673"/>
      <c r="H779" s="673"/>
      <c r="I779" s="673"/>
      <c r="J779" s="673"/>
      <c r="K779" s="673"/>
      <c r="L779" s="226">
        <v>139158</v>
      </c>
      <c r="M779" s="226">
        <v>147481</v>
      </c>
      <c r="N779" s="156">
        <v>145000</v>
      </c>
      <c r="O779" s="156">
        <v>145000</v>
      </c>
      <c r="P779" s="155">
        <v>145000</v>
      </c>
      <c r="Q779" s="155">
        <v>145000</v>
      </c>
      <c r="R779" s="155">
        <v>145000</v>
      </c>
      <c r="S779" s="155">
        <v>145000</v>
      </c>
      <c r="T779" s="155">
        <v>145000</v>
      </c>
    </row>
    <row r="780" spans="1:22" ht="24" customHeight="1">
      <c r="A780" s="281" t="s">
        <v>429</v>
      </c>
      <c r="B780" s="215"/>
      <c r="C780" s="215"/>
      <c r="D780" s="674" t="s">
        <v>430</v>
      </c>
      <c r="E780" s="673"/>
      <c r="F780" s="673"/>
      <c r="G780" s="673"/>
      <c r="H780" s="673"/>
      <c r="I780" s="673"/>
      <c r="J780" s="673"/>
      <c r="K780" s="673"/>
      <c r="L780" s="224">
        <v>31461</v>
      </c>
      <c r="M780" s="224">
        <v>29525</v>
      </c>
      <c r="N780" s="151">
        <v>30000</v>
      </c>
      <c r="O780" s="151">
        <v>26000</v>
      </c>
      <c r="P780" s="150">
        <v>30000</v>
      </c>
      <c r="Q780" s="150">
        <v>30000</v>
      </c>
      <c r="R780" s="150">
        <v>30000</v>
      </c>
      <c r="S780" s="150">
        <v>30000</v>
      </c>
      <c r="T780" s="150">
        <v>30000</v>
      </c>
    </row>
    <row r="781" spans="1:22" ht="24" customHeight="1">
      <c r="A781" s="281" t="s">
        <v>432</v>
      </c>
      <c r="B781" s="282"/>
      <c r="C781" s="282"/>
      <c r="D781" s="770" t="s">
        <v>6</v>
      </c>
      <c r="E781" s="770"/>
      <c r="F781" s="770"/>
      <c r="G781" s="770"/>
      <c r="H781" s="770"/>
      <c r="I781" s="770"/>
      <c r="J781" s="770"/>
      <c r="K781" s="770"/>
      <c r="L781" s="224">
        <v>382</v>
      </c>
      <c r="M781" s="224">
        <v>698</v>
      </c>
      <c r="N781" s="151">
        <v>400</v>
      </c>
      <c r="O781" s="151">
        <v>375</v>
      </c>
      <c r="P781" s="150">
        <v>350</v>
      </c>
      <c r="Q781" s="150">
        <v>350</v>
      </c>
      <c r="R781" s="150">
        <v>350</v>
      </c>
      <c r="S781" s="150">
        <v>350</v>
      </c>
      <c r="T781" s="150">
        <v>350</v>
      </c>
      <c r="U781" s="331"/>
    </row>
    <row r="782" spans="1:22" ht="24" customHeight="1">
      <c r="A782" s="281" t="s">
        <v>696</v>
      </c>
      <c r="B782" s="282"/>
      <c r="C782" s="282"/>
      <c r="D782" s="452" t="s">
        <v>63</v>
      </c>
      <c r="E782" s="452"/>
      <c r="F782" s="452"/>
      <c r="G782" s="452"/>
      <c r="H782" s="452"/>
      <c r="I782" s="452"/>
      <c r="J782" s="452"/>
      <c r="K782" s="452"/>
      <c r="L782" s="225">
        <v>35728</v>
      </c>
      <c r="M782" s="225">
        <v>7502</v>
      </c>
      <c r="N782" s="157">
        <v>0</v>
      </c>
      <c r="O782" s="157">
        <v>0</v>
      </c>
      <c r="P782" s="154">
        <v>0</v>
      </c>
      <c r="Q782" s="154">
        <v>0</v>
      </c>
      <c r="R782" s="154">
        <v>0</v>
      </c>
      <c r="S782" s="154">
        <v>0</v>
      </c>
      <c r="T782" s="154">
        <v>0</v>
      </c>
    </row>
    <row r="783" spans="1:22" ht="24" customHeight="1">
      <c r="A783" s="281" t="s">
        <v>433</v>
      </c>
      <c r="B783" s="215"/>
      <c r="C783" s="215"/>
      <c r="D783" s="676" t="s">
        <v>233</v>
      </c>
      <c r="E783" s="677"/>
      <c r="F783" s="677"/>
      <c r="G783" s="677"/>
      <c r="H783" s="677"/>
      <c r="I783" s="677"/>
      <c r="J783" s="677"/>
      <c r="K783" s="677"/>
      <c r="L783" s="225">
        <v>52859</v>
      </c>
      <c r="M783" s="225">
        <v>44860</v>
      </c>
      <c r="N783" s="159">
        <v>40000</v>
      </c>
      <c r="O783" s="159">
        <v>50000</v>
      </c>
      <c r="P783" s="158">
        <v>50000</v>
      </c>
      <c r="Q783" s="158">
        <v>50000</v>
      </c>
      <c r="R783" s="158">
        <v>50000</v>
      </c>
      <c r="S783" s="158">
        <v>50000</v>
      </c>
      <c r="T783" s="158">
        <v>50000</v>
      </c>
      <c r="V783" s="149"/>
    </row>
    <row r="784" spans="1:22" ht="24" customHeight="1">
      <c r="A784" s="281" t="s">
        <v>682</v>
      </c>
      <c r="B784" s="215"/>
      <c r="C784" s="215"/>
      <c r="D784" s="676" t="s">
        <v>901</v>
      </c>
      <c r="E784" s="677"/>
      <c r="F784" s="677"/>
      <c r="G784" s="677"/>
      <c r="H784" s="677"/>
      <c r="I784" s="677"/>
      <c r="J784" s="677"/>
      <c r="K784" s="677"/>
      <c r="L784" s="225">
        <v>34559</v>
      </c>
      <c r="M784" s="225">
        <v>28928</v>
      </c>
      <c r="N784" s="159">
        <v>25000</v>
      </c>
      <c r="O784" s="159">
        <v>20000</v>
      </c>
      <c r="P784" s="158">
        <v>5000</v>
      </c>
      <c r="Q784" s="158">
        <v>5000</v>
      </c>
      <c r="R784" s="158">
        <v>5000</v>
      </c>
      <c r="S784" s="158">
        <v>5000</v>
      </c>
      <c r="T784" s="158">
        <v>5000</v>
      </c>
      <c r="V784" s="149"/>
    </row>
    <row r="785" spans="1:27" ht="24" customHeight="1">
      <c r="A785" s="281" t="s">
        <v>941</v>
      </c>
      <c r="B785" s="215"/>
      <c r="C785" s="215"/>
      <c r="D785" s="676" t="s">
        <v>431</v>
      </c>
      <c r="E785" s="677"/>
      <c r="F785" s="677"/>
      <c r="G785" s="677"/>
      <c r="H785" s="677"/>
      <c r="I785" s="677"/>
      <c r="J785" s="677"/>
      <c r="K785" s="677"/>
      <c r="L785" s="224">
        <v>90597</v>
      </c>
      <c r="M785" s="224">
        <v>88475</v>
      </c>
      <c r="N785" s="151">
        <v>108000</v>
      </c>
      <c r="O785" s="151">
        <v>108000</v>
      </c>
      <c r="P785" s="150">
        <v>108000</v>
      </c>
      <c r="Q785" s="150">
        <v>108000</v>
      </c>
      <c r="R785" s="150">
        <v>108000</v>
      </c>
      <c r="S785" s="150">
        <v>108000</v>
      </c>
      <c r="T785" s="150">
        <v>108000</v>
      </c>
    </row>
    <row r="786" spans="1:27" ht="24" customHeight="1">
      <c r="A786" s="281" t="s">
        <v>434</v>
      </c>
      <c r="B786" s="215"/>
      <c r="C786" s="215"/>
      <c r="D786" s="281" t="s">
        <v>1083</v>
      </c>
      <c r="E786" s="215"/>
      <c r="F786" s="215"/>
      <c r="G786" s="215"/>
      <c r="H786" s="215"/>
      <c r="I786" s="215"/>
      <c r="J786" s="215"/>
      <c r="K786" s="215"/>
      <c r="L786" s="228">
        <v>4582</v>
      </c>
      <c r="M786" s="228">
        <v>9317</v>
      </c>
      <c r="N786" s="159">
        <v>5000</v>
      </c>
      <c r="O786" s="159">
        <v>10000</v>
      </c>
      <c r="P786" s="158">
        <v>15000</v>
      </c>
      <c r="Q786" s="158">
        <v>15000</v>
      </c>
      <c r="R786" s="158">
        <v>15000</v>
      </c>
      <c r="S786" s="158">
        <v>15000</v>
      </c>
      <c r="T786" s="158">
        <v>15000</v>
      </c>
    </row>
    <row r="787" spans="1:27" ht="24" customHeight="1">
      <c r="A787" s="281" t="s">
        <v>435</v>
      </c>
      <c r="B787" s="215"/>
      <c r="C787" s="215"/>
      <c r="D787" s="281" t="s">
        <v>7</v>
      </c>
      <c r="E787" s="215"/>
      <c r="F787" s="215"/>
      <c r="G787" s="215"/>
      <c r="H787" s="215"/>
      <c r="I787" s="215"/>
      <c r="J787" s="215"/>
      <c r="K787" s="215"/>
      <c r="L787" s="224">
        <v>6227</v>
      </c>
      <c r="M787" s="224">
        <v>6175</v>
      </c>
      <c r="N787" s="151">
        <v>3000</v>
      </c>
      <c r="O787" s="151">
        <v>3000</v>
      </c>
      <c r="P787" s="150">
        <v>3000</v>
      </c>
      <c r="Q787" s="150">
        <v>3000</v>
      </c>
      <c r="R787" s="150">
        <v>3000</v>
      </c>
      <c r="S787" s="150">
        <v>3000</v>
      </c>
      <c r="T787" s="150">
        <v>3000</v>
      </c>
      <c r="U787" s="331"/>
    </row>
    <row r="788" spans="1:27" ht="24" customHeight="1">
      <c r="A788" s="281" t="s">
        <v>436</v>
      </c>
      <c r="B788" s="282"/>
      <c r="C788" s="282"/>
      <c r="D788" s="281" t="s">
        <v>271</v>
      </c>
      <c r="E788" s="461"/>
      <c r="F788" s="461"/>
      <c r="G788" s="461"/>
      <c r="H788" s="461"/>
      <c r="I788" s="461"/>
      <c r="J788" s="461"/>
      <c r="K788" s="282"/>
      <c r="L788" s="239">
        <v>1765504</v>
      </c>
      <c r="M788" s="239">
        <v>1277606</v>
      </c>
      <c r="N788" s="176">
        <f>1041056-3000+28000+63000+90940+28223+35032-13500-38257-38879+1001-908+288431-40825+252+36800+22894+11423-273757+4587-7464+136260-30050+7735-400-9000-114176-139251+22681-2+55806+87179-41447+11500-80117-21637-650-700-8000+3630+11500-345+5750+10242-54726-10000</f>
        <v>1076831</v>
      </c>
      <c r="O788" s="176">
        <v>1076831</v>
      </c>
      <c r="P788" s="175">
        <f>1272390+21838+75-1862-179815-5272-6523-9534-6550+13915+1620+18356</f>
        <v>1118638</v>
      </c>
      <c r="Q788" s="175">
        <f>1398933+51420-4214+50-143921+688-6128-8652-7000+13196+17412</f>
        <v>1311784</v>
      </c>
      <c r="R788" s="175">
        <f>1454026+55507-1469+50-153470-6558-8938-7000+14238+18786</f>
        <v>1365172</v>
      </c>
      <c r="S788" s="175">
        <f>1522784+49332-1742+50-162005-7018-9243-7000+15364+20267</f>
        <v>1420789</v>
      </c>
      <c r="T788" s="175">
        <f>1595743+42380-2043+50-171047-7509-9562-7000+16577+21866</f>
        <v>1479455</v>
      </c>
    </row>
    <row r="789" spans="1:27" ht="15" customHeight="1">
      <c r="A789" s="215"/>
      <c r="B789" s="215"/>
      <c r="C789" s="215"/>
      <c r="D789" s="215"/>
      <c r="E789" s="215"/>
      <c r="F789" s="215"/>
      <c r="G789" s="215"/>
      <c r="H789" s="215"/>
      <c r="I789" s="215"/>
      <c r="J789" s="215"/>
      <c r="K789" s="215"/>
      <c r="L789" s="231"/>
      <c r="M789" s="231"/>
      <c r="N789" s="166"/>
      <c r="O789" s="166"/>
      <c r="P789" s="165"/>
      <c r="Q789" s="165"/>
      <c r="R789" s="165"/>
      <c r="S789" s="165"/>
      <c r="T789" s="165"/>
    </row>
    <row r="790" spans="1:27" s="215" customFormat="1" ht="24" customHeight="1">
      <c r="K790" s="285" t="s">
        <v>545</v>
      </c>
      <c r="L790" s="233">
        <f t="shared" ref="L790" si="257">SUM(L777:L789)</f>
        <v>2289916</v>
      </c>
      <c r="M790" s="233">
        <f t="shared" ref="M790:T790" si="258">SUM(M777:M789)</f>
        <v>1816275</v>
      </c>
      <c r="N790" s="234">
        <f t="shared" si="258"/>
        <v>1583231</v>
      </c>
      <c r="O790" s="234">
        <f t="shared" ref="O790" si="259">SUM(O777:O789)</f>
        <v>1619206</v>
      </c>
      <c r="P790" s="233">
        <f t="shared" ref="P790:S790" si="260">SUM(P777:P789)</f>
        <v>1654988</v>
      </c>
      <c r="Q790" s="233">
        <f t="shared" si="260"/>
        <v>1848134</v>
      </c>
      <c r="R790" s="233">
        <f t="shared" si="260"/>
        <v>1901522</v>
      </c>
      <c r="S790" s="233">
        <f t="shared" si="260"/>
        <v>1957139</v>
      </c>
      <c r="T790" s="233">
        <f t="shared" si="258"/>
        <v>2015805</v>
      </c>
      <c r="U790" s="470"/>
      <c r="V790" s="713"/>
    </row>
    <row r="791" spans="1:27" ht="15" customHeight="1">
      <c r="A791" s="215"/>
      <c r="B791" s="215"/>
      <c r="C791" s="215"/>
      <c r="D791" s="215"/>
      <c r="E791" s="215"/>
      <c r="F791" s="215"/>
      <c r="G791" s="215"/>
      <c r="H791" s="215"/>
      <c r="I791" s="215"/>
      <c r="J791" s="215"/>
      <c r="K791" s="215"/>
      <c r="L791" s="231"/>
      <c r="M791" s="231"/>
      <c r="N791" s="166"/>
      <c r="O791" s="166"/>
      <c r="P791" s="165"/>
      <c r="Q791" s="165"/>
      <c r="R791" s="165"/>
      <c r="S791" s="165"/>
      <c r="T791" s="165"/>
    </row>
    <row r="792" spans="1:27" ht="24" customHeight="1">
      <c r="A792" s="285" t="s">
        <v>611</v>
      </c>
      <c r="B792" s="215"/>
      <c r="C792" s="215"/>
      <c r="D792" s="215"/>
      <c r="E792" s="215"/>
      <c r="F792" s="215"/>
      <c r="G792" s="215"/>
      <c r="H792" s="215"/>
      <c r="I792" s="215"/>
      <c r="J792" s="215"/>
      <c r="K792" s="215"/>
      <c r="L792" s="231"/>
      <c r="M792" s="231"/>
      <c r="N792" s="166"/>
      <c r="O792" s="166"/>
      <c r="P792" s="165"/>
      <c r="Q792" s="165"/>
      <c r="R792" s="165"/>
      <c r="S792" s="165"/>
      <c r="T792" s="165"/>
    </row>
    <row r="793" spans="1:27" ht="24" customHeight="1">
      <c r="A793" s="281" t="s">
        <v>437</v>
      </c>
      <c r="B793" s="282"/>
      <c r="C793" s="282"/>
      <c r="D793" s="281" t="s">
        <v>933</v>
      </c>
      <c r="E793" s="282"/>
      <c r="F793" s="282"/>
      <c r="G793" s="282"/>
      <c r="H793" s="282"/>
      <c r="I793" s="282"/>
      <c r="J793" s="282"/>
      <c r="K793" s="282"/>
      <c r="L793" s="224">
        <v>410777</v>
      </c>
      <c r="M793" s="224">
        <v>448491</v>
      </c>
      <c r="N793" s="159">
        <v>477325</v>
      </c>
      <c r="O793" s="151">
        <v>477325</v>
      </c>
      <c r="P793" s="158">
        <v>405322</v>
      </c>
      <c r="Q793" s="158">
        <v>419245</v>
      </c>
      <c r="R793" s="158">
        <v>431822</v>
      </c>
      <c r="S793" s="158">
        <v>444777</v>
      </c>
      <c r="T793" s="158">
        <v>458120</v>
      </c>
      <c r="V793" s="418"/>
      <c r="W793" s="419"/>
      <c r="X793" s="419"/>
      <c r="Y793" s="419"/>
      <c r="AA793" s="149"/>
    </row>
    <row r="794" spans="1:27" ht="24" customHeight="1">
      <c r="A794" s="281" t="s">
        <v>438</v>
      </c>
      <c r="B794" s="215"/>
      <c r="C794" s="215"/>
      <c r="D794" s="281" t="s">
        <v>72</v>
      </c>
      <c r="E794" s="215"/>
      <c r="F794" s="215"/>
      <c r="G794" s="215"/>
      <c r="H794" s="215"/>
      <c r="I794" s="215"/>
      <c r="J794" s="215"/>
      <c r="K794" s="215"/>
      <c r="L794" s="224">
        <v>17207</v>
      </c>
      <c r="M794" s="224">
        <v>32644</v>
      </c>
      <c r="N794" s="151">
        <v>30000</v>
      </c>
      <c r="O794" s="151">
        <v>30000</v>
      </c>
      <c r="P794" s="158">
        <v>40178</v>
      </c>
      <c r="Q794" s="158">
        <v>39996</v>
      </c>
      <c r="R794" s="158">
        <v>39826</v>
      </c>
      <c r="S794" s="158">
        <v>39650</v>
      </c>
      <c r="T794" s="158">
        <v>39466</v>
      </c>
      <c r="V794" s="418"/>
      <c r="W794" s="419"/>
      <c r="X794" s="419"/>
      <c r="Y794" s="419"/>
    </row>
    <row r="795" spans="1:27" ht="24" customHeight="1">
      <c r="A795" s="281" t="s">
        <v>439</v>
      </c>
      <c r="B795" s="282"/>
      <c r="C795" s="282"/>
      <c r="D795" s="281" t="s">
        <v>14</v>
      </c>
      <c r="E795" s="282"/>
      <c r="F795" s="282"/>
      <c r="G795" s="282"/>
      <c r="H795" s="282"/>
      <c r="I795" s="282"/>
      <c r="J795" s="282"/>
      <c r="K795" s="282"/>
      <c r="L795" s="224">
        <v>514</v>
      </c>
      <c r="M795" s="224">
        <v>932</v>
      </c>
      <c r="N795" s="151">
        <v>3000</v>
      </c>
      <c r="O795" s="151">
        <v>3000</v>
      </c>
      <c r="P795" s="158">
        <v>3000</v>
      </c>
      <c r="Q795" s="150">
        <v>3000</v>
      </c>
      <c r="R795" s="150">
        <v>3000</v>
      </c>
      <c r="S795" s="150">
        <v>3000</v>
      </c>
      <c r="T795" s="150">
        <v>3000</v>
      </c>
      <c r="V795" s="418"/>
      <c r="W795" s="419"/>
      <c r="X795" s="419"/>
      <c r="Y795" s="419"/>
    </row>
    <row r="796" spans="1:27" ht="24" customHeight="1">
      <c r="A796" s="281" t="s">
        <v>440</v>
      </c>
      <c r="B796" s="282"/>
      <c r="C796" s="282"/>
      <c r="D796" s="281" t="s">
        <v>8</v>
      </c>
      <c r="E796" s="282"/>
      <c r="F796" s="282"/>
      <c r="G796" s="282"/>
      <c r="H796" s="282"/>
      <c r="I796" s="282"/>
      <c r="J796" s="282"/>
      <c r="K796" s="282"/>
      <c r="L796" s="224">
        <v>46293</v>
      </c>
      <c r="M796" s="224">
        <v>51195</v>
      </c>
      <c r="N796" s="151">
        <v>53437</v>
      </c>
      <c r="O796" s="151">
        <v>53437</v>
      </c>
      <c r="P796" s="158">
        <v>44098</v>
      </c>
      <c r="Q796" s="150">
        <v>46955</v>
      </c>
      <c r="R796" s="150">
        <v>50307</v>
      </c>
      <c r="S796" s="150">
        <v>53907</v>
      </c>
      <c r="T796" s="150">
        <v>57723</v>
      </c>
      <c r="V796" s="418"/>
      <c r="W796" s="419"/>
      <c r="X796" s="419"/>
      <c r="Y796" s="419"/>
    </row>
    <row r="797" spans="1:27" ht="24" customHeight="1">
      <c r="A797" s="281" t="s">
        <v>441</v>
      </c>
      <c r="B797" s="215"/>
      <c r="C797" s="215"/>
      <c r="D797" s="281" t="s">
        <v>9</v>
      </c>
      <c r="E797" s="215"/>
      <c r="F797" s="215"/>
      <c r="G797" s="215"/>
      <c r="H797" s="215"/>
      <c r="I797" s="215"/>
      <c r="J797" s="215"/>
      <c r="K797" s="215"/>
      <c r="L797" s="224">
        <v>31909</v>
      </c>
      <c r="M797" s="224">
        <v>36172</v>
      </c>
      <c r="N797" s="159">
        <v>38169</v>
      </c>
      <c r="O797" s="151">
        <v>38169</v>
      </c>
      <c r="P797" s="158">
        <v>33797</v>
      </c>
      <c r="Q797" s="158">
        <v>34958</v>
      </c>
      <c r="R797" s="158">
        <v>36007</v>
      </c>
      <c r="S797" s="158">
        <v>37087</v>
      </c>
      <c r="T797" s="158">
        <v>38200</v>
      </c>
      <c r="V797" s="418"/>
      <c r="W797" s="419"/>
      <c r="X797" s="419"/>
      <c r="Y797" s="419"/>
    </row>
    <row r="798" spans="1:27" ht="24" customHeight="1">
      <c r="A798" s="281" t="s">
        <v>597</v>
      </c>
      <c r="B798" s="215"/>
      <c r="C798" s="215"/>
      <c r="D798" s="281" t="s">
        <v>13</v>
      </c>
      <c r="E798" s="215"/>
      <c r="F798" s="215"/>
      <c r="G798" s="215"/>
      <c r="H798" s="215"/>
      <c r="I798" s="215"/>
      <c r="J798" s="215"/>
      <c r="K798" s="215"/>
      <c r="L798" s="224">
        <v>109505</v>
      </c>
      <c r="M798" s="224">
        <v>109775</v>
      </c>
      <c r="N798" s="156">
        <v>131148</v>
      </c>
      <c r="O798" s="156">
        <v>102000</v>
      </c>
      <c r="P798" s="158">
        <v>126121</v>
      </c>
      <c r="Q798" s="155">
        <v>136211</v>
      </c>
      <c r="R798" s="155">
        <v>147108</v>
      </c>
      <c r="S798" s="155">
        <v>158877</v>
      </c>
      <c r="T798" s="155">
        <v>171587</v>
      </c>
      <c r="V798" s="418"/>
      <c r="W798" s="419"/>
      <c r="X798" s="418"/>
      <c r="Y798" s="419"/>
      <c r="AA798" s="149"/>
    </row>
    <row r="799" spans="1:27" ht="24" customHeight="1">
      <c r="A799" s="281" t="s">
        <v>598</v>
      </c>
      <c r="B799" s="215"/>
      <c r="C799" s="215"/>
      <c r="D799" s="281" t="s">
        <v>182</v>
      </c>
      <c r="E799" s="215"/>
      <c r="F799" s="215"/>
      <c r="G799" s="215"/>
      <c r="H799" s="215"/>
      <c r="I799" s="215"/>
      <c r="J799" s="215"/>
      <c r="K799" s="215"/>
      <c r="L799" s="224">
        <v>878</v>
      </c>
      <c r="M799" s="224">
        <v>942</v>
      </c>
      <c r="N799" s="156">
        <v>951</v>
      </c>
      <c r="O799" s="156">
        <v>790</v>
      </c>
      <c r="P799" s="158">
        <v>724</v>
      </c>
      <c r="Q799" s="155">
        <v>724</v>
      </c>
      <c r="R799" s="155">
        <v>731</v>
      </c>
      <c r="S799" s="155">
        <v>738</v>
      </c>
      <c r="T799" s="155">
        <v>745</v>
      </c>
      <c r="V799" s="418"/>
      <c r="W799" s="419"/>
      <c r="X799" s="418"/>
      <c r="Y799" s="419"/>
      <c r="AA799" s="149"/>
    </row>
    <row r="800" spans="1:27" ht="24" customHeight="1">
      <c r="A800" s="281" t="s">
        <v>599</v>
      </c>
      <c r="B800" s="215"/>
      <c r="C800" s="215"/>
      <c r="D800" s="281" t="s">
        <v>600</v>
      </c>
      <c r="E800" s="215"/>
      <c r="F800" s="215"/>
      <c r="G800" s="215"/>
      <c r="H800" s="215"/>
      <c r="I800" s="215"/>
      <c r="J800" s="215"/>
      <c r="K800" s="215"/>
      <c r="L800" s="224">
        <v>6873</v>
      </c>
      <c r="M800" s="224">
        <v>8959</v>
      </c>
      <c r="N800" s="156">
        <v>9706</v>
      </c>
      <c r="O800" s="156">
        <v>7519</v>
      </c>
      <c r="P800" s="158">
        <v>9119</v>
      </c>
      <c r="Q800" s="155">
        <v>9575</v>
      </c>
      <c r="R800" s="155">
        <v>10054</v>
      </c>
      <c r="S800" s="155">
        <v>10557</v>
      </c>
      <c r="T800" s="155">
        <v>11085</v>
      </c>
      <c r="V800" s="418"/>
      <c r="W800" s="419"/>
      <c r="X800" s="418"/>
      <c r="Y800" s="419"/>
      <c r="AA800" s="149"/>
    </row>
    <row r="801" spans="1:27" ht="24" customHeight="1">
      <c r="A801" s="281" t="s">
        <v>609</v>
      </c>
      <c r="B801" s="215"/>
      <c r="C801" s="215"/>
      <c r="D801" s="281" t="s">
        <v>602</v>
      </c>
      <c r="E801" s="215"/>
      <c r="F801" s="215"/>
      <c r="G801" s="215"/>
      <c r="H801" s="215"/>
      <c r="I801" s="215"/>
      <c r="J801" s="215"/>
      <c r="K801" s="215"/>
      <c r="L801" s="224">
        <v>957</v>
      </c>
      <c r="M801" s="224">
        <v>940</v>
      </c>
      <c r="N801" s="156">
        <v>1002</v>
      </c>
      <c r="O801" s="156">
        <v>947</v>
      </c>
      <c r="P801" s="158">
        <v>1023</v>
      </c>
      <c r="Q801" s="155">
        <v>1054</v>
      </c>
      <c r="R801" s="155">
        <v>1086</v>
      </c>
      <c r="S801" s="155">
        <v>1119</v>
      </c>
      <c r="T801" s="155">
        <v>1153</v>
      </c>
      <c r="V801" s="418"/>
      <c r="W801" s="419"/>
      <c r="X801" s="418"/>
      <c r="Y801" s="419"/>
      <c r="AA801" s="149"/>
    </row>
    <row r="802" spans="1:27" ht="24" customHeight="1">
      <c r="A802" s="281" t="s">
        <v>442</v>
      </c>
      <c r="B802" s="282"/>
      <c r="C802" s="282"/>
      <c r="D802" s="281" t="s">
        <v>95</v>
      </c>
      <c r="E802" s="282"/>
      <c r="F802" s="282"/>
      <c r="G802" s="282"/>
      <c r="H802" s="282"/>
      <c r="I802" s="282"/>
      <c r="J802" s="282"/>
      <c r="K802" s="282"/>
      <c r="L802" s="224">
        <v>1663</v>
      </c>
      <c r="M802" s="224">
        <v>3045</v>
      </c>
      <c r="N802" s="151">
        <f>7000+(6*500)</f>
        <v>10000</v>
      </c>
      <c r="O802" s="151">
        <v>10000</v>
      </c>
      <c r="P802" s="150">
        <v>7000</v>
      </c>
      <c r="Q802" s="150">
        <v>7000</v>
      </c>
      <c r="R802" s="150">
        <v>7000</v>
      </c>
      <c r="S802" s="150">
        <v>7000</v>
      </c>
      <c r="T802" s="150">
        <v>7000</v>
      </c>
    </row>
    <row r="803" spans="1:27" ht="24" customHeight="1">
      <c r="A803" s="281" t="s">
        <v>443</v>
      </c>
      <c r="B803" s="282"/>
      <c r="C803" s="282"/>
      <c r="D803" s="281" t="s">
        <v>1075</v>
      </c>
      <c r="E803" s="282"/>
      <c r="F803" s="282"/>
      <c r="G803" s="282"/>
      <c r="H803" s="282"/>
      <c r="I803" s="282"/>
      <c r="J803" s="282"/>
      <c r="K803" s="282"/>
      <c r="L803" s="224">
        <v>114</v>
      </c>
      <c r="M803" s="224">
        <v>453</v>
      </c>
      <c r="N803" s="151">
        <v>3000</v>
      </c>
      <c r="O803" s="151">
        <v>3000</v>
      </c>
      <c r="P803" s="150">
        <v>3000</v>
      </c>
      <c r="Q803" s="150">
        <v>3000</v>
      </c>
      <c r="R803" s="150">
        <v>3000</v>
      </c>
      <c r="S803" s="150">
        <v>3000</v>
      </c>
      <c r="T803" s="150">
        <v>3000</v>
      </c>
      <c r="V803" s="418"/>
      <c r="W803" s="419"/>
      <c r="X803" s="727"/>
    </row>
    <row r="804" spans="1:27" ht="24" customHeight="1">
      <c r="A804" s="281" t="s">
        <v>1133</v>
      </c>
      <c r="B804" s="363"/>
      <c r="C804" s="363"/>
      <c r="D804" s="281" t="s">
        <v>1028</v>
      </c>
      <c r="E804" s="363"/>
      <c r="F804" s="363"/>
      <c r="G804" s="363"/>
      <c r="H804" s="363"/>
      <c r="I804" s="363"/>
      <c r="J804" s="363"/>
      <c r="K804" s="363"/>
      <c r="L804" s="222">
        <v>0</v>
      </c>
      <c r="M804" s="222">
        <v>109650</v>
      </c>
      <c r="N804" s="148">
        <f t="shared" ref="N804:T804" si="261">N460</f>
        <v>0</v>
      </c>
      <c r="O804" s="148">
        <f t="shared" si="261"/>
        <v>0</v>
      </c>
      <c r="P804" s="147">
        <f t="shared" si="261"/>
        <v>0</v>
      </c>
      <c r="Q804" s="147">
        <f t="shared" si="261"/>
        <v>0</v>
      </c>
      <c r="R804" s="147">
        <f t="shared" si="261"/>
        <v>0</v>
      </c>
      <c r="S804" s="147">
        <f t="shared" si="261"/>
        <v>0</v>
      </c>
      <c r="T804" s="147">
        <f t="shared" si="261"/>
        <v>0</v>
      </c>
      <c r="V804" s="149"/>
    </row>
    <row r="805" spans="1:27" ht="24" customHeight="1">
      <c r="A805" s="281" t="s">
        <v>444</v>
      </c>
      <c r="B805" s="215"/>
      <c r="C805" s="215"/>
      <c r="D805" s="637" t="s">
        <v>234</v>
      </c>
      <c r="E805" s="636"/>
      <c r="F805" s="636"/>
      <c r="G805" s="636"/>
      <c r="H805" s="636"/>
      <c r="I805" s="636"/>
      <c r="J805" s="636"/>
      <c r="K805" s="636"/>
      <c r="L805" s="224">
        <v>3913</v>
      </c>
      <c r="M805" s="224">
        <v>3776</v>
      </c>
      <c r="N805" s="151">
        <v>4780</v>
      </c>
      <c r="O805" s="151">
        <v>4780</v>
      </c>
      <c r="P805" s="150">
        <f>ROUND(((6.5*45)*12),0)</f>
        <v>3510</v>
      </c>
      <c r="Q805" s="150">
        <f t="shared" ref="Q805:T805" si="262">ROUND(((6.5*45)*12),0)</f>
        <v>3510</v>
      </c>
      <c r="R805" s="150">
        <f t="shared" si="262"/>
        <v>3510</v>
      </c>
      <c r="S805" s="150">
        <f t="shared" si="262"/>
        <v>3510</v>
      </c>
      <c r="T805" s="150">
        <f t="shared" si="262"/>
        <v>3510</v>
      </c>
      <c r="V805" s="149"/>
      <c r="Y805" s="658"/>
    </row>
    <row r="806" spans="1:27" ht="24" customHeight="1">
      <c r="A806" s="281" t="s">
        <v>445</v>
      </c>
      <c r="B806" s="215"/>
      <c r="C806" s="215"/>
      <c r="D806" s="281" t="s">
        <v>10</v>
      </c>
      <c r="E806" s="595"/>
      <c r="F806" s="595"/>
      <c r="G806" s="595"/>
      <c r="H806" s="595"/>
      <c r="I806" s="595"/>
      <c r="J806" s="595"/>
      <c r="K806" s="595"/>
      <c r="L806" s="224">
        <v>1786</v>
      </c>
      <c r="M806" s="224">
        <v>4229</v>
      </c>
      <c r="N806" s="151">
        <v>3000</v>
      </c>
      <c r="O806" s="151">
        <v>3000</v>
      </c>
      <c r="P806" s="150">
        <v>3000</v>
      </c>
      <c r="Q806" s="150">
        <v>3000</v>
      </c>
      <c r="R806" s="150">
        <v>3000</v>
      </c>
      <c r="S806" s="150">
        <v>3000</v>
      </c>
      <c r="T806" s="150">
        <v>3000</v>
      </c>
    </row>
    <row r="807" spans="1:27" ht="24" customHeight="1">
      <c r="A807" s="281" t="s">
        <v>446</v>
      </c>
      <c r="B807" s="215"/>
      <c r="C807" s="215"/>
      <c r="D807" s="281" t="s">
        <v>134</v>
      </c>
      <c r="E807" s="215"/>
      <c r="F807" s="215"/>
      <c r="G807" s="215"/>
      <c r="H807" s="215"/>
      <c r="I807" s="215"/>
      <c r="J807" s="215"/>
      <c r="K807" s="215"/>
      <c r="L807" s="224">
        <v>5216</v>
      </c>
      <c r="M807" s="224">
        <v>12084</v>
      </c>
      <c r="N807" s="151">
        <v>6000</v>
      </c>
      <c r="O807" s="151">
        <v>6000</v>
      </c>
      <c r="P807" s="150">
        <v>6000</v>
      </c>
      <c r="Q807" s="150">
        <v>6000</v>
      </c>
      <c r="R807" s="150">
        <v>6000</v>
      </c>
      <c r="S807" s="150">
        <v>6000</v>
      </c>
      <c r="T807" s="150">
        <v>6000</v>
      </c>
    </row>
    <row r="808" spans="1:27" ht="24" customHeight="1">
      <c r="A808" s="281" t="s">
        <v>447</v>
      </c>
      <c r="B808" s="282"/>
      <c r="C808" s="282"/>
      <c r="D808" s="281" t="s">
        <v>90</v>
      </c>
      <c r="E808" s="282"/>
      <c r="F808" s="282"/>
      <c r="G808" s="282"/>
      <c r="H808" s="282"/>
      <c r="I808" s="282"/>
      <c r="J808" s="282"/>
      <c r="K808" s="282"/>
      <c r="L808" s="224">
        <v>2600</v>
      </c>
      <c r="M808" s="224">
        <v>1192</v>
      </c>
      <c r="N808" s="151">
        <v>2500</v>
      </c>
      <c r="O808" s="151">
        <v>2500</v>
      </c>
      <c r="P808" s="150">
        <v>2500</v>
      </c>
      <c r="Q808" s="150">
        <v>2500</v>
      </c>
      <c r="R808" s="150">
        <v>2500</v>
      </c>
      <c r="S808" s="150">
        <v>2500</v>
      </c>
      <c r="T808" s="150">
        <v>2500</v>
      </c>
    </row>
    <row r="809" spans="1:27" ht="24" customHeight="1">
      <c r="A809" s="281" t="s">
        <v>683</v>
      </c>
      <c r="B809" s="282"/>
      <c r="C809" s="282"/>
      <c r="D809" s="281" t="s">
        <v>1079</v>
      </c>
      <c r="E809" s="282"/>
      <c r="F809" s="282"/>
      <c r="G809" s="282"/>
      <c r="H809" s="282"/>
      <c r="I809" s="282"/>
      <c r="J809" s="282"/>
      <c r="K809" s="282"/>
      <c r="L809" s="224">
        <v>37059</v>
      </c>
      <c r="M809" s="224">
        <v>41995</v>
      </c>
      <c r="N809" s="151">
        <v>32500</v>
      </c>
      <c r="O809" s="151">
        <v>32500</v>
      </c>
      <c r="P809" s="150">
        <f>32500+15000</f>
        <v>47500</v>
      </c>
      <c r="Q809" s="150">
        <f t="shared" ref="Q809:T809" si="263">32500+15000</f>
        <v>47500</v>
      </c>
      <c r="R809" s="150">
        <f t="shared" si="263"/>
        <v>47500</v>
      </c>
      <c r="S809" s="150">
        <f t="shared" si="263"/>
        <v>47500</v>
      </c>
      <c r="T809" s="150">
        <f t="shared" si="263"/>
        <v>47500</v>
      </c>
      <c r="U809" s="150"/>
    </row>
    <row r="810" spans="1:27" ht="24" customHeight="1">
      <c r="A810" s="281" t="s">
        <v>448</v>
      </c>
      <c r="B810" s="282"/>
      <c r="C810" s="282"/>
      <c r="D810" s="281" t="s">
        <v>100</v>
      </c>
      <c r="E810" s="282"/>
      <c r="F810" s="282"/>
      <c r="G810" s="282"/>
      <c r="H810" s="282"/>
      <c r="I810" s="282"/>
      <c r="J810" s="282"/>
      <c r="K810" s="282"/>
      <c r="L810" s="224">
        <v>4806</v>
      </c>
      <c r="M810" s="224">
        <v>4643</v>
      </c>
      <c r="N810" s="148">
        <v>4935</v>
      </c>
      <c r="O810" s="151">
        <v>4935</v>
      </c>
      <c r="P810" s="147">
        <f>ROUND(O810*1.05,0)</f>
        <v>5182</v>
      </c>
      <c r="Q810" s="147">
        <f t="shared" ref="Q810:T810" si="264">ROUND(P810*1.05,0)</f>
        <v>5441</v>
      </c>
      <c r="R810" s="147">
        <f t="shared" si="264"/>
        <v>5713</v>
      </c>
      <c r="S810" s="147">
        <f t="shared" si="264"/>
        <v>5999</v>
      </c>
      <c r="T810" s="147">
        <f t="shared" si="264"/>
        <v>6299</v>
      </c>
    </row>
    <row r="811" spans="1:27" ht="24" customHeight="1">
      <c r="A811" s="281" t="s">
        <v>449</v>
      </c>
      <c r="B811" s="282"/>
      <c r="C811" s="282"/>
      <c r="D811" s="281" t="s">
        <v>11</v>
      </c>
      <c r="E811" s="282"/>
      <c r="F811" s="282"/>
      <c r="G811" s="282"/>
      <c r="H811" s="282"/>
      <c r="I811" s="282"/>
      <c r="J811" s="282"/>
      <c r="K811" s="282"/>
      <c r="L811" s="224">
        <v>71</v>
      </c>
      <c r="M811" s="224">
        <v>85</v>
      </c>
      <c r="N811" s="151">
        <v>300</v>
      </c>
      <c r="O811" s="151">
        <v>300</v>
      </c>
      <c r="P811" s="150">
        <v>300</v>
      </c>
      <c r="Q811" s="150">
        <v>300</v>
      </c>
      <c r="R811" s="150">
        <v>300</v>
      </c>
      <c r="S811" s="150">
        <v>300</v>
      </c>
      <c r="T811" s="150">
        <v>300</v>
      </c>
    </row>
    <row r="812" spans="1:27" ht="24" customHeight="1">
      <c r="A812" s="281" t="s">
        <v>450</v>
      </c>
      <c r="B812" s="282"/>
      <c r="C812" s="282"/>
      <c r="D812" s="281" t="s">
        <v>12</v>
      </c>
      <c r="E812" s="282"/>
      <c r="F812" s="282"/>
      <c r="G812" s="282"/>
      <c r="H812" s="282"/>
      <c r="I812" s="282"/>
      <c r="J812" s="282"/>
      <c r="K812" s="282"/>
      <c r="L812" s="224">
        <v>32327</v>
      </c>
      <c r="M812" s="224">
        <v>18295</v>
      </c>
      <c r="N812" s="151">
        <f t="shared" ref="N812:T812" si="265">20000+1500+1000</f>
        <v>22500</v>
      </c>
      <c r="O812" s="151">
        <v>22500</v>
      </c>
      <c r="P812" s="150">
        <f t="shared" si="265"/>
        <v>22500</v>
      </c>
      <c r="Q812" s="150">
        <f t="shared" si="265"/>
        <v>22500</v>
      </c>
      <c r="R812" s="150">
        <f t="shared" si="265"/>
        <v>22500</v>
      </c>
      <c r="S812" s="150">
        <f t="shared" si="265"/>
        <v>22500</v>
      </c>
      <c r="T812" s="150">
        <f t="shared" si="265"/>
        <v>22500</v>
      </c>
    </row>
    <row r="813" spans="1:27" ht="24" customHeight="1">
      <c r="A813" s="281" t="s">
        <v>451</v>
      </c>
      <c r="B813" s="282"/>
      <c r="C813" s="282"/>
      <c r="D813" s="281" t="s">
        <v>16</v>
      </c>
      <c r="E813" s="282"/>
      <c r="F813" s="282"/>
      <c r="G813" s="282"/>
      <c r="H813" s="282"/>
      <c r="I813" s="282"/>
      <c r="J813" s="282"/>
      <c r="K813" s="282"/>
      <c r="L813" s="226">
        <v>4288</v>
      </c>
      <c r="M813" s="226">
        <v>9081</v>
      </c>
      <c r="N813" s="156">
        <f t="shared" ref="N813" si="266">1750+500</f>
        <v>2250</v>
      </c>
      <c r="O813" s="156">
        <v>2250</v>
      </c>
      <c r="P813" s="155">
        <v>4500</v>
      </c>
      <c r="Q813" s="155">
        <v>4500</v>
      </c>
      <c r="R813" s="155">
        <v>4500</v>
      </c>
      <c r="S813" s="155">
        <v>4500</v>
      </c>
      <c r="T813" s="155">
        <v>4500</v>
      </c>
    </row>
    <row r="814" spans="1:27" ht="24" customHeight="1">
      <c r="A814" s="281" t="s">
        <v>452</v>
      </c>
      <c r="B814" s="282"/>
      <c r="C814" s="282"/>
      <c r="D814" s="281" t="s">
        <v>243</v>
      </c>
      <c r="E814" s="282"/>
      <c r="F814" s="282"/>
      <c r="G814" s="282"/>
      <c r="H814" s="282"/>
      <c r="I814" s="282"/>
      <c r="J814" s="282"/>
      <c r="K814" s="282"/>
      <c r="L814" s="226">
        <v>0</v>
      </c>
      <c r="M814" s="226">
        <v>2000</v>
      </c>
      <c r="N814" s="156">
        <v>500</v>
      </c>
      <c r="O814" s="156">
        <v>500</v>
      </c>
      <c r="P814" s="155">
        <v>500</v>
      </c>
      <c r="Q814" s="155">
        <v>500</v>
      </c>
      <c r="R814" s="155">
        <v>500</v>
      </c>
      <c r="S814" s="155">
        <v>500</v>
      </c>
      <c r="T814" s="155">
        <v>500</v>
      </c>
    </row>
    <row r="815" spans="1:27" ht="24" customHeight="1">
      <c r="A815" s="281" t="s">
        <v>453</v>
      </c>
      <c r="B815" s="282"/>
      <c r="C815" s="282"/>
      <c r="D815" s="281" t="s">
        <v>1078</v>
      </c>
      <c r="E815" s="282"/>
      <c r="F815" s="282"/>
      <c r="G815" s="282"/>
      <c r="H815" s="282"/>
      <c r="I815" s="282"/>
      <c r="J815" s="282"/>
      <c r="K815" s="282"/>
      <c r="L815" s="226">
        <v>79678</v>
      </c>
      <c r="M815" s="226">
        <v>60514</v>
      </c>
      <c r="N815" s="156">
        <f t="shared" ref="N815" si="267">58000-7500</f>
        <v>50500</v>
      </c>
      <c r="O815" s="156">
        <v>50500</v>
      </c>
      <c r="P815" s="155">
        <v>56000</v>
      </c>
      <c r="Q815" s="155">
        <v>56000</v>
      </c>
      <c r="R815" s="155">
        <v>56000</v>
      </c>
      <c r="S815" s="155">
        <v>56000</v>
      </c>
      <c r="T815" s="155">
        <v>56000</v>
      </c>
    </row>
    <row r="816" spans="1:27" ht="24" customHeight="1">
      <c r="A816" s="281" t="s">
        <v>925</v>
      </c>
      <c r="B816" s="282"/>
      <c r="C816" s="282"/>
      <c r="D816" s="661" t="s">
        <v>143</v>
      </c>
      <c r="E816" s="659"/>
      <c r="F816" s="659"/>
      <c r="G816" s="659"/>
      <c r="H816" s="659"/>
      <c r="I816" s="659"/>
      <c r="J816" s="659"/>
      <c r="K816" s="659"/>
      <c r="L816" s="242">
        <v>20202</v>
      </c>
      <c r="M816" s="242">
        <v>17283</v>
      </c>
      <c r="N816" s="181">
        <v>24501</v>
      </c>
      <c r="O816" s="181">
        <v>24501</v>
      </c>
      <c r="P816" s="180">
        <f>ROUND(20000*1.07,0)</f>
        <v>21400</v>
      </c>
      <c r="Q816" s="180">
        <f t="shared" ref="Q816:T816" si="268">ROUND(P816*1.07,0)</f>
        <v>22898</v>
      </c>
      <c r="R816" s="180">
        <f t="shared" si="268"/>
        <v>24501</v>
      </c>
      <c r="S816" s="180">
        <f t="shared" si="268"/>
        <v>26216</v>
      </c>
      <c r="T816" s="180">
        <f t="shared" si="268"/>
        <v>28051</v>
      </c>
      <c r="V816" s="152"/>
    </row>
    <row r="817" spans="1:27" s="215" customFormat="1" ht="24" customHeight="1">
      <c r="A817" s="281"/>
      <c r="B817" s="282"/>
      <c r="C817" s="282"/>
      <c r="D817" s="281"/>
      <c r="E817" s="282"/>
      <c r="F817" s="282"/>
      <c r="G817" s="282"/>
      <c r="H817" s="282"/>
      <c r="I817" s="282"/>
      <c r="J817" s="282"/>
      <c r="K817" s="282"/>
      <c r="L817" s="247">
        <f t="shared" ref="L817" si="269">SUM(L793:L816)</f>
        <v>818636</v>
      </c>
      <c r="M817" s="247">
        <f t="shared" ref="M817:T817" si="270">SUM(M793:M816)</f>
        <v>978375</v>
      </c>
      <c r="N817" s="238">
        <f t="shared" si="270"/>
        <v>912004</v>
      </c>
      <c r="O817" s="238">
        <f t="shared" ref="O817" si="271">SUM(O793:O816)</f>
        <v>880453</v>
      </c>
      <c r="P817" s="247">
        <f t="shared" ref="P817:S817" si="272">SUM(P793:P816)</f>
        <v>846274</v>
      </c>
      <c r="Q817" s="247">
        <f t="shared" si="272"/>
        <v>876367</v>
      </c>
      <c r="R817" s="247">
        <f t="shared" si="272"/>
        <v>906465</v>
      </c>
      <c r="S817" s="247">
        <f t="shared" si="272"/>
        <v>938237</v>
      </c>
      <c r="T817" s="247">
        <f t="shared" si="270"/>
        <v>971739</v>
      </c>
      <c r="U817" s="341"/>
    </row>
    <row r="818" spans="1:27" ht="15" customHeight="1">
      <c r="A818" s="281"/>
      <c r="B818" s="282"/>
      <c r="C818" s="282"/>
      <c r="D818" s="281"/>
      <c r="E818" s="282"/>
      <c r="F818" s="282"/>
      <c r="G818" s="282"/>
      <c r="H818" s="282"/>
      <c r="I818" s="282"/>
      <c r="J818" s="282"/>
      <c r="K818" s="282"/>
      <c r="L818" s="225"/>
      <c r="M818" s="225"/>
      <c r="N818" s="157"/>
      <c r="O818" s="157"/>
      <c r="P818" s="154"/>
      <c r="Q818" s="154"/>
      <c r="R818" s="154"/>
      <c r="S818" s="154"/>
      <c r="T818" s="154"/>
    </row>
    <row r="819" spans="1:27" ht="24" customHeight="1">
      <c r="A819" s="285" t="s">
        <v>612</v>
      </c>
      <c r="B819" s="215"/>
      <c r="C819" s="215"/>
      <c r="D819" s="215"/>
      <c r="E819" s="215"/>
      <c r="F819" s="215"/>
      <c r="G819" s="215"/>
      <c r="H819" s="215"/>
      <c r="I819" s="215"/>
      <c r="J819" s="215"/>
      <c r="K819" s="215"/>
      <c r="L819" s="231"/>
      <c r="M819" s="231"/>
      <c r="N819" s="166"/>
      <c r="O819" s="166"/>
      <c r="P819" s="165"/>
      <c r="Q819" s="165"/>
      <c r="R819" s="165"/>
      <c r="S819" s="165"/>
      <c r="T819" s="165"/>
    </row>
    <row r="820" spans="1:27" ht="24" customHeight="1">
      <c r="A820" s="281" t="s">
        <v>627</v>
      </c>
      <c r="B820" s="282"/>
      <c r="C820" s="282"/>
      <c r="D820" s="281" t="s">
        <v>933</v>
      </c>
      <c r="E820" s="282"/>
      <c r="F820" s="282"/>
      <c r="G820" s="282"/>
      <c r="H820" s="282"/>
      <c r="I820" s="282"/>
      <c r="J820" s="282"/>
      <c r="K820" s="282"/>
      <c r="L820" s="224">
        <v>225784</v>
      </c>
      <c r="M820" s="224">
        <v>240199</v>
      </c>
      <c r="N820" s="159">
        <v>263137</v>
      </c>
      <c r="O820" s="151">
        <v>263137</v>
      </c>
      <c r="P820" s="158">
        <v>280333</v>
      </c>
      <c r="Q820" s="158">
        <v>289962</v>
      </c>
      <c r="R820" s="158">
        <v>298661</v>
      </c>
      <c r="S820" s="158">
        <v>307621</v>
      </c>
      <c r="T820" s="158">
        <v>316850</v>
      </c>
      <c r="V820" s="418"/>
      <c r="W820" s="419"/>
      <c r="X820" s="419"/>
      <c r="Y820" s="419"/>
      <c r="AA820" s="149"/>
    </row>
    <row r="821" spans="1:27" ht="24" customHeight="1">
      <c r="A821" s="281" t="s">
        <v>628</v>
      </c>
      <c r="B821" s="215"/>
      <c r="C821" s="215"/>
      <c r="D821" s="281" t="s">
        <v>72</v>
      </c>
      <c r="E821" s="215"/>
      <c r="F821" s="215"/>
      <c r="G821" s="215"/>
      <c r="H821" s="215"/>
      <c r="I821" s="215"/>
      <c r="J821" s="215"/>
      <c r="K821" s="215"/>
      <c r="L821" s="224">
        <v>13524</v>
      </c>
      <c r="M821" s="224">
        <v>11439</v>
      </c>
      <c r="N821" s="151">
        <v>25000</v>
      </c>
      <c r="O821" s="151">
        <v>25000</v>
      </c>
      <c r="P821" s="150">
        <v>22711</v>
      </c>
      <c r="Q821" s="150">
        <v>22398</v>
      </c>
      <c r="R821" s="150">
        <v>22107</v>
      </c>
      <c r="S821" s="150">
        <v>21804</v>
      </c>
      <c r="T821" s="150">
        <v>21490</v>
      </c>
      <c r="V821" s="418"/>
      <c r="W821" s="419"/>
      <c r="X821" s="419"/>
      <c r="Y821" s="419"/>
    </row>
    <row r="822" spans="1:27" ht="24" customHeight="1">
      <c r="A822" s="281" t="s">
        <v>629</v>
      </c>
      <c r="B822" s="282"/>
      <c r="C822" s="282"/>
      <c r="D822" s="281" t="s">
        <v>454</v>
      </c>
      <c r="E822" s="282"/>
      <c r="F822" s="282"/>
      <c r="G822" s="282"/>
      <c r="H822" s="282"/>
      <c r="I822" s="282"/>
      <c r="J822" s="282"/>
      <c r="K822" s="282"/>
      <c r="L822" s="226">
        <v>10707</v>
      </c>
      <c r="M822" s="226">
        <v>8625</v>
      </c>
      <c r="N822" s="156">
        <v>15000</v>
      </c>
      <c r="O822" s="156">
        <v>15000</v>
      </c>
      <c r="P822" s="155">
        <v>15000</v>
      </c>
      <c r="Q822" s="155">
        <v>15000</v>
      </c>
      <c r="R822" s="155">
        <v>15000</v>
      </c>
      <c r="S822" s="155">
        <v>15000</v>
      </c>
      <c r="T822" s="155">
        <v>15000</v>
      </c>
      <c r="V822" s="418"/>
      <c r="W822" s="419"/>
      <c r="X822" s="419"/>
      <c r="Y822" s="419"/>
    </row>
    <row r="823" spans="1:27" ht="24" customHeight="1">
      <c r="A823" s="281" t="s">
        <v>630</v>
      </c>
      <c r="B823" s="282"/>
      <c r="C823" s="282"/>
      <c r="D823" s="281" t="s">
        <v>455</v>
      </c>
      <c r="E823" s="282"/>
      <c r="F823" s="282"/>
      <c r="G823" s="282"/>
      <c r="H823" s="282"/>
      <c r="I823" s="282"/>
      <c r="J823" s="282"/>
      <c r="K823" s="282"/>
      <c r="L823" s="226">
        <v>13691</v>
      </c>
      <c r="M823" s="226">
        <v>24223</v>
      </c>
      <c r="N823" s="156">
        <v>25000</v>
      </c>
      <c r="O823" s="156">
        <v>25000</v>
      </c>
      <c r="P823" s="155">
        <v>25000</v>
      </c>
      <c r="Q823" s="155">
        <v>25000</v>
      </c>
      <c r="R823" s="155">
        <v>25000</v>
      </c>
      <c r="S823" s="155">
        <v>25000</v>
      </c>
      <c r="T823" s="155">
        <v>25000</v>
      </c>
      <c r="V823" s="418"/>
      <c r="W823" s="419"/>
      <c r="X823" s="419"/>
      <c r="Y823" s="419"/>
    </row>
    <row r="824" spans="1:27" ht="24" customHeight="1">
      <c r="A824" s="281" t="s">
        <v>631</v>
      </c>
      <c r="B824" s="282"/>
      <c r="C824" s="282"/>
      <c r="D824" s="281" t="s">
        <v>456</v>
      </c>
      <c r="E824" s="282"/>
      <c r="F824" s="282"/>
      <c r="G824" s="282"/>
      <c r="H824" s="282"/>
      <c r="I824" s="282"/>
      <c r="J824" s="282"/>
      <c r="K824" s="282"/>
      <c r="L824" s="222">
        <v>15938</v>
      </c>
      <c r="M824" s="222">
        <v>8585</v>
      </c>
      <c r="N824" s="148">
        <v>25000</v>
      </c>
      <c r="O824" s="148">
        <v>25000</v>
      </c>
      <c r="P824" s="147">
        <v>25000</v>
      </c>
      <c r="Q824" s="147">
        <v>25000</v>
      </c>
      <c r="R824" s="147">
        <v>25000</v>
      </c>
      <c r="S824" s="147">
        <v>25000</v>
      </c>
      <c r="T824" s="147">
        <v>25000</v>
      </c>
      <c r="V824" s="418"/>
      <c r="W824" s="419"/>
      <c r="X824" s="419"/>
      <c r="Y824" s="419"/>
    </row>
    <row r="825" spans="1:27" ht="24" customHeight="1">
      <c r="A825" s="281" t="s">
        <v>632</v>
      </c>
      <c r="B825" s="282"/>
      <c r="C825" s="282"/>
      <c r="D825" s="281" t="s">
        <v>8</v>
      </c>
      <c r="E825" s="282"/>
      <c r="F825" s="282"/>
      <c r="G825" s="282"/>
      <c r="H825" s="282"/>
      <c r="I825" s="282"/>
      <c r="J825" s="282"/>
      <c r="K825" s="282"/>
      <c r="L825" s="224">
        <v>28294</v>
      </c>
      <c r="M825" s="224">
        <v>28192</v>
      </c>
      <c r="N825" s="151">
        <v>32089</v>
      </c>
      <c r="O825" s="151">
        <v>32089</v>
      </c>
      <c r="P825" s="158">
        <v>32976</v>
      </c>
      <c r="Q825" s="150">
        <v>32476</v>
      </c>
      <c r="R825" s="150">
        <v>34794</v>
      </c>
      <c r="S825" s="150">
        <v>37284</v>
      </c>
      <c r="T825" s="150">
        <v>39923</v>
      </c>
      <c r="V825" s="418"/>
      <c r="W825" s="419"/>
      <c r="X825" s="419"/>
      <c r="Y825" s="419"/>
      <c r="AA825" s="149"/>
    </row>
    <row r="826" spans="1:27" ht="24" customHeight="1">
      <c r="A826" s="281" t="s">
        <v>633</v>
      </c>
      <c r="B826" s="215"/>
      <c r="C826" s="215"/>
      <c r="D826" s="281" t="s">
        <v>9</v>
      </c>
      <c r="E826" s="215"/>
      <c r="F826" s="215"/>
      <c r="G826" s="215"/>
      <c r="H826" s="215"/>
      <c r="I826" s="215"/>
      <c r="J826" s="215"/>
      <c r="K826" s="215"/>
      <c r="L826" s="224">
        <v>20639</v>
      </c>
      <c r="M826" s="224">
        <v>21830</v>
      </c>
      <c r="N826" s="159">
        <v>26362</v>
      </c>
      <c r="O826" s="151">
        <v>26362</v>
      </c>
      <c r="P826" s="158">
        <v>28068</v>
      </c>
      <c r="Q826" s="158">
        <v>29032</v>
      </c>
      <c r="R826" s="158">
        <v>29903</v>
      </c>
      <c r="S826" s="158">
        <v>30800</v>
      </c>
      <c r="T826" s="158">
        <v>31724</v>
      </c>
      <c r="V826" s="418"/>
      <c r="W826" s="419"/>
      <c r="X826" s="419"/>
      <c r="Y826" s="419"/>
      <c r="AA826" s="149"/>
    </row>
    <row r="827" spans="1:27" ht="24" customHeight="1">
      <c r="A827" s="281" t="s">
        <v>634</v>
      </c>
      <c r="B827" s="215"/>
      <c r="C827" s="215"/>
      <c r="D827" s="281" t="s">
        <v>13</v>
      </c>
      <c r="E827" s="215"/>
      <c r="F827" s="215"/>
      <c r="G827" s="215"/>
      <c r="H827" s="215"/>
      <c r="I827" s="215"/>
      <c r="J827" s="215"/>
      <c r="K827" s="215"/>
      <c r="L827" s="224">
        <v>62448</v>
      </c>
      <c r="M827" s="224">
        <v>74560</v>
      </c>
      <c r="N827" s="156">
        <v>83769</v>
      </c>
      <c r="O827" s="156">
        <f>ROUND(28133.68+(7*(5522.9-650.44))+14+(10.5*8)+(100*9)+11500,0)</f>
        <v>74739</v>
      </c>
      <c r="P827" s="158">
        <v>101075</v>
      </c>
      <c r="Q827" s="155">
        <v>109161</v>
      </c>
      <c r="R827" s="155">
        <v>117894</v>
      </c>
      <c r="S827" s="155">
        <v>127326</v>
      </c>
      <c r="T827" s="155">
        <v>137512</v>
      </c>
      <c r="V827" s="418"/>
      <c r="W827" s="419"/>
      <c r="X827" s="418"/>
      <c r="Y827" s="419"/>
      <c r="AA827" s="149"/>
    </row>
    <row r="828" spans="1:27" ht="24" customHeight="1">
      <c r="A828" s="281" t="s">
        <v>635</v>
      </c>
      <c r="B828" s="215"/>
      <c r="C828" s="215"/>
      <c r="D828" s="281" t="s">
        <v>182</v>
      </c>
      <c r="E828" s="215"/>
      <c r="F828" s="215"/>
      <c r="G828" s="215"/>
      <c r="H828" s="215"/>
      <c r="I828" s="215"/>
      <c r="J828" s="215"/>
      <c r="K828" s="215"/>
      <c r="L828" s="224">
        <v>524</v>
      </c>
      <c r="M828" s="224">
        <v>551</v>
      </c>
      <c r="N828" s="156">
        <v>588</v>
      </c>
      <c r="O828" s="156">
        <f>ROUND(221.96+(8*(69.89-19.2)),0)</f>
        <v>627</v>
      </c>
      <c r="P828" s="158">
        <v>559</v>
      </c>
      <c r="Q828" s="155">
        <v>559</v>
      </c>
      <c r="R828" s="155">
        <v>565</v>
      </c>
      <c r="S828" s="155">
        <v>571</v>
      </c>
      <c r="T828" s="155">
        <v>577</v>
      </c>
      <c r="V828" s="418"/>
      <c r="W828" s="419"/>
      <c r="X828" s="418"/>
      <c r="Y828" s="419"/>
      <c r="AA828" s="149"/>
    </row>
    <row r="829" spans="1:27" ht="24" customHeight="1">
      <c r="A829" s="281" t="s">
        <v>636</v>
      </c>
      <c r="B829" s="215"/>
      <c r="C829" s="215"/>
      <c r="D829" s="281" t="s">
        <v>600</v>
      </c>
      <c r="E829" s="215"/>
      <c r="F829" s="215"/>
      <c r="G829" s="215"/>
      <c r="H829" s="215"/>
      <c r="I829" s="215"/>
      <c r="J829" s="215"/>
      <c r="K829" s="215"/>
      <c r="L829" s="224">
        <v>3360</v>
      </c>
      <c r="M829" s="224">
        <v>4731</v>
      </c>
      <c r="N829" s="156">
        <v>5139</v>
      </c>
      <c r="O829" s="156">
        <f>ROUND(1794.16+(8*448.54),0)</f>
        <v>5382</v>
      </c>
      <c r="P829" s="158">
        <v>6716</v>
      </c>
      <c r="Q829" s="155">
        <v>7052</v>
      </c>
      <c r="R829" s="155">
        <v>7405</v>
      </c>
      <c r="S829" s="155">
        <v>7775</v>
      </c>
      <c r="T829" s="155">
        <v>8164</v>
      </c>
      <c r="V829" s="418"/>
      <c r="W829" s="419"/>
      <c r="X829" s="418"/>
      <c r="Y829" s="419"/>
      <c r="AA829" s="149"/>
    </row>
    <row r="830" spans="1:27" ht="24" customHeight="1">
      <c r="A830" s="281" t="s">
        <v>637</v>
      </c>
      <c r="B830" s="215"/>
      <c r="C830" s="215"/>
      <c r="D830" s="281" t="s">
        <v>602</v>
      </c>
      <c r="E830" s="215"/>
      <c r="F830" s="215"/>
      <c r="G830" s="215"/>
      <c r="H830" s="215"/>
      <c r="I830" s="215"/>
      <c r="J830" s="215"/>
      <c r="K830" s="215"/>
      <c r="L830" s="224">
        <v>491</v>
      </c>
      <c r="M830" s="224">
        <v>533</v>
      </c>
      <c r="N830" s="156">
        <v>552</v>
      </c>
      <c r="O830" s="156">
        <f>ROUND(230.4+(8*57.6),0)</f>
        <v>691</v>
      </c>
      <c r="P830" s="158">
        <v>799</v>
      </c>
      <c r="Q830" s="155">
        <v>823</v>
      </c>
      <c r="R830" s="155">
        <v>848</v>
      </c>
      <c r="S830" s="155">
        <v>873</v>
      </c>
      <c r="T830" s="155">
        <v>899</v>
      </c>
      <c r="V830" s="418"/>
      <c r="W830" s="419"/>
      <c r="X830" s="418"/>
      <c r="Y830" s="419"/>
      <c r="AA830" s="149"/>
    </row>
    <row r="831" spans="1:27" ht="24" customHeight="1">
      <c r="A831" s="281" t="s">
        <v>638</v>
      </c>
      <c r="B831" s="282"/>
      <c r="C831" s="282"/>
      <c r="D831" s="281" t="s">
        <v>95</v>
      </c>
      <c r="E831" s="282"/>
      <c r="F831" s="282"/>
      <c r="G831" s="282"/>
      <c r="H831" s="282"/>
      <c r="I831" s="282"/>
      <c r="J831" s="282"/>
      <c r="K831" s="282"/>
      <c r="L831" s="224">
        <v>1191</v>
      </c>
      <c r="M831" s="224">
        <v>3543</v>
      </c>
      <c r="N831" s="151">
        <v>5000</v>
      </c>
      <c r="O831" s="151">
        <v>5000</v>
      </c>
      <c r="P831" s="150">
        <v>5000</v>
      </c>
      <c r="Q831" s="150">
        <v>5000</v>
      </c>
      <c r="R831" s="150">
        <v>5000</v>
      </c>
      <c r="S831" s="150">
        <v>5000</v>
      </c>
      <c r="T831" s="150">
        <v>5000</v>
      </c>
    </row>
    <row r="832" spans="1:27" ht="24" customHeight="1">
      <c r="A832" s="281" t="s">
        <v>639</v>
      </c>
      <c r="B832" s="282"/>
      <c r="C832" s="282"/>
      <c r="D832" s="281" t="s">
        <v>1075</v>
      </c>
      <c r="E832" s="282"/>
      <c r="F832" s="282"/>
      <c r="G832" s="282"/>
      <c r="H832" s="282"/>
      <c r="I832" s="282"/>
      <c r="J832" s="282"/>
      <c r="K832" s="282"/>
      <c r="L832" s="224">
        <v>114</v>
      </c>
      <c r="M832" s="224">
        <v>217</v>
      </c>
      <c r="N832" s="151">
        <v>3000</v>
      </c>
      <c r="O832" s="151">
        <v>3000</v>
      </c>
      <c r="P832" s="150">
        <v>3000</v>
      </c>
      <c r="Q832" s="150">
        <v>3000</v>
      </c>
      <c r="R832" s="150">
        <v>3000</v>
      </c>
      <c r="S832" s="150">
        <v>3000</v>
      </c>
      <c r="T832" s="150">
        <v>3000</v>
      </c>
      <c r="V832" s="418"/>
      <c r="W832" s="419"/>
      <c r="X832" s="727"/>
    </row>
    <row r="833" spans="1:22" ht="24" customHeight="1">
      <c r="A833" s="281" t="s">
        <v>640</v>
      </c>
      <c r="B833" s="282"/>
      <c r="C833" s="282"/>
      <c r="D833" s="281" t="s">
        <v>94</v>
      </c>
      <c r="E833" s="282"/>
      <c r="F833" s="282"/>
      <c r="G833" s="282"/>
      <c r="H833" s="282"/>
      <c r="I833" s="282"/>
      <c r="J833" s="282"/>
      <c r="K833" s="282"/>
      <c r="L833" s="222">
        <v>28259</v>
      </c>
      <c r="M833" s="222">
        <v>42314</v>
      </c>
      <c r="N833" s="148">
        <v>40000</v>
      </c>
      <c r="O833" s="148">
        <v>40000</v>
      </c>
      <c r="P833" s="147">
        <v>45000</v>
      </c>
      <c r="Q833" s="147">
        <v>45000</v>
      </c>
      <c r="R833" s="147">
        <v>45000</v>
      </c>
      <c r="S833" s="147">
        <v>45000</v>
      </c>
      <c r="T833" s="147">
        <v>45000</v>
      </c>
    </row>
    <row r="834" spans="1:22" ht="24" customHeight="1">
      <c r="A834" s="281" t="s">
        <v>641</v>
      </c>
      <c r="B834" s="215"/>
      <c r="C834" s="215"/>
      <c r="D834" s="281" t="s">
        <v>234</v>
      </c>
      <c r="E834" s="215"/>
      <c r="F834" s="215"/>
      <c r="G834" s="215"/>
      <c r="H834" s="215"/>
      <c r="I834" s="215"/>
      <c r="J834" s="215"/>
      <c r="K834" s="215"/>
      <c r="L834" s="224">
        <v>6573</v>
      </c>
      <c r="M834" s="224">
        <v>6603</v>
      </c>
      <c r="N834" s="151">
        <v>7000</v>
      </c>
      <c r="O834" s="151">
        <v>7000</v>
      </c>
      <c r="P834" s="150">
        <v>8000</v>
      </c>
      <c r="Q834" s="150">
        <v>8000</v>
      </c>
      <c r="R834" s="150">
        <v>8000</v>
      </c>
      <c r="S834" s="150">
        <v>8000</v>
      </c>
      <c r="T834" s="150">
        <v>8000</v>
      </c>
      <c r="V834" s="149"/>
    </row>
    <row r="835" spans="1:22" ht="24" customHeight="1">
      <c r="A835" s="281" t="s">
        <v>642</v>
      </c>
      <c r="B835" s="215"/>
      <c r="C835" s="215"/>
      <c r="D835" s="281" t="s">
        <v>457</v>
      </c>
      <c r="E835" s="215"/>
      <c r="F835" s="215"/>
      <c r="G835" s="215"/>
      <c r="H835" s="215"/>
      <c r="I835" s="215"/>
      <c r="J835" s="215"/>
      <c r="K835" s="215"/>
      <c r="L835" s="224">
        <v>585</v>
      </c>
      <c r="M835" s="224">
        <v>420</v>
      </c>
      <c r="N835" s="151">
        <v>2500</v>
      </c>
      <c r="O835" s="151">
        <v>2500</v>
      </c>
      <c r="P835" s="150">
        <v>2500</v>
      </c>
      <c r="Q835" s="150">
        <v>2500</v>
      </c>
      <c r="R835" s="150">
        <v>2500</v>
      </c>
      <c r="S835" s="150">
        <v>2500</v>
      </c>
      <c r="T835" s="150">
        <v>2500</v>
      </c>
    </row>
    <row r="836" spans="1:22" ht="24" customHeight="1">
      <c r="A836" s="281" t="s">
        <v>643</v>
      </c>
      <c r="B836" s="282"/>
      <c r="C836" s="282"/>
      <c r="D836" s="281" t="s">
        <v>93</v>
      </c>
      <c r="E836" s="282"/>
      <c r="F836" s="282"/>
      <c r="G836" s="282"/>
      <c r="H836" s="282"/>
      <c r="I836" s="282"/>
      <c r="J836" s="282"/>
      <c r="K836" s="282"/>
      <c r="L836" s="224">
        <v>1694</v>
      </c>
      <c r="M836" s="224">
        <v>2964</v>
      </c>
      <c r="N836" s="151">
        <v>3500</v>
      </c>
      <c r="O836" s="151">
        <v>3500</v>
      </c>
      <c r="P836" s="150">
        <v>3500</v>
      </c>
      <c r="Q836" s="150">
        <v>3500</v>
      </c>
      <c r="R836" s="150">
        <v>3500</v>
      </c>
      <c r="S836" s="150">
        <v>3500</v>
      </c>
      <c r="T836" s="150">
        <v>3500</v>
      </c>
    </row>
    <row r="837" spans="1:22" ht="24" customHeight="1">
      <c r="A837" s="281" t="s">
        <v>1057</v>
      </c>
      <c r="B837" s="215"/>
      <c r="C837" s="215"/>
      <c r="D837" s="281" t="s">
        <v>1077</v>
      </c>
      <c r="E837" s="215"/>
      <c r="F837" s="215"/>
      <c r="G837" s="215"/>
      <c r="H837" s="215"/>
      <c r="I837" s="215"/>
      <c r="J837" s="215"/>
      <c r="K837" s="215"/>
      <c r="L837" s="245">
        <v>1688</v>
      </c>
      <c r="M837" s="245">
        <v>1917</v>
      </c>
      <c r="N837" s="186">
        <v>2500</v>
      </c>
      <c r="O837" s="186">
        <v>2500</v>
      </c>
      <c r="P837" s="185">
        <v>2500</v>
      </c>
      <c r="Q837" s="185">
        <v>2500</v>
      </c>
      <c r="R837" s="185">
        <v>2500</v>
      </c>
      <c r="S837" s="185">
        <v>2500</v>
      </c>
      <c r="T837" s="185">
        <v>2500</v>
      </c>
    </row>
    <row r="838" spans="1:22" ht="24" customHeight="1">
      <c r="A838" s="281" t="s">
        <v>644</v>
      </c>
      <c r="B838" s="215"/>
      <c r="C838" s="215"/>
      <c r="D838" s="281" t="s">
        <v>10</v>
      </c>
      <c r="E838" s="454"/>
      <c r="F838" s="454"/>
      <c r="G838" s="454"/>
      <c r="H838" s="454"/>
      <c r="I838" s="454"/>
      <c r="J838" s="454"/>
      <c r="K838" s="454"/>
      <c r="L838" s="224">
        <v>75999</v>
      </c>
      <c r="M838" s="224">
        <v>81047</v>
      </c>
      <c r="N838" s="151">
        <v>75000</v>
      </c>
      <c r="O838" s="151">
        <v>80000</v>
      </c>
      <c r="P838" s="150">
        <v>80000</v>
      </c>
      <c r="Q838" s="150">
        <v>80000</v>
      </c>
      <c r="R838" s="150">
        <v>80000</v>
      </c>
      <c r="S838" s="150">
        <v>80000</v>
      </c>
      <c r="T838" s="150">
        <v>80000</v>
      </c>
      <c r="U838" s="150"/>
      <c r="V838" s="152"/>
    </row>
    <row r="839" spans="1:22" ht="24" customHeight="1">
      <c r="A839" s="281" t="s">
        <v>645</v>
      </c>
      <c r="B839" s="282"/>
      <c r="C839" s="359"/>
      <c r="D839" s="281" t="s">
        <v>17</v>
      </c>
      <c r="E839" s="359"/>
      <c r="F839" s="359"/>
      <c r="G839" s="359"/>
      <c r="H839" s="359"/>
      <c r="I839" s="359"/>
      <c r="J839" s="359"/>
      <c r="K839" s="359"/>
      <c r="L839" s="222">
        <v>12224</v>
      </c>
      <c r="M839" s="222">
        <v>15413</v>
      </c>
      <c r="N839" s="151">
        <f>18000+2000</f>
        <v>20000</v>
      </c>
      <c r="O839" s="148">
        <v>20000</v>
      </c>
      <c r="P839" s="150">
        <f>ROUND(O839*1.06,0)</f>
        <v>21200</v>
      </c>
      <c r="Q839" s="150">
        <f t="shared" ref="Q839:S839" si="273">ROUND(P839*1.06,0)</f>
        <v>22472</v>
      </c>
      <c r="R839" s="150">
        <f t="shared" si="273"/>
        <v>23820</v>
      </c>
      <c r="S839" s="150">
        <f t="shared" si="273"/>
        <v>25249</v>
      </c>
      <c r="T839" s="150">
        <f>ROUND(S839*1.06,0)</f>
        <v>26764</v>
      </c>
      <c r="V839" s="152"/>
    </row>
    <row r="840" spans="1:22" ht="24" customHeight="1">
      <c r="A840" s="281" t="s">
        <v>646</v>
      </c>
      <c r="B840" s="282"/>
      <c r="C840" s="282"/>
      <c r="D840" s="281" t="s">
        <v>90</v>
      </c>
      <c r="E840" s="282"/>
      <c r="F840" s="282"/>
      <c r="G840" s="282"/>
      <c r="H840" s="282"/>
      <c r="I840" s="282"/>
      <c r="J840" s="282"/>
      <c r="K840" s="282"/>
      <c r="L840" s="224">
        <v>4035</v>
      </c>
      <c r="M840" s="224">
        <v>3602</v>
      </c>
      <c r="N840" s="151">
        <v>4500</v>
      </c>
      <c r="O840" s="151">
        <v>4500</v>
      </c>
      <c r="P840" s="150">
        <v>4500</v>
      </c>
      <c r="Q840" s="150">
        <v>4500</v>
      </c>
      <c r="R840" s="150">
        <v>4500</v>
      </c>
      <c r="S840" s="150">
        <v>4500</v>
      </c>
      <c r="T840" s="150">
        <v>4500</v>
      </c>
    </row>
    <row r="841" spans="1:22" ht="24" customHeight="1">
      <c r="A841" s="281" t="s">
        <v>647</v>
      </c>
      <c r="B841" s="282"/>
      <c r="C841" s="282"/>
      <c r="D841" s="281" t="s">
        <v>1079</v>
      </c>
      <c r="E841" s="282"/>
      <c r="F841" s="282"/>
      <c r="G841" s="282"/>
      <c r="H841" s="282"/>
      <c r="I841" s="282"/>
      <c r="J841" s="282"/>
      <c r="K841" s="282"/>
      <c r="L841" s="241">
        <v>23816</v>
      </c>
      <c r="M841" s="241">
        <v>8580</v>
      </c>
      <c r="N841" s="187">
        <v>3000</v>
      </c>
      <c r="O841" s="187">
        <v>3000</v>
      </c>
      <c r="P841" s="179">
        <v>3000</v>
      </c>
      <c r="Q841" s="179">
        <v>3000</v>
      </c>
      <c r="R841" s="179">
        <v>3000</v>
      </c>
      <c r="S841" s="179">
        <v>3000</v>
      </c>
      <c r="T841" s="179">
        <v>3000</v>
      </c>
      <c r="V841" s="152"/>
    </row>
    <row r="842" spans="1:22" ht="24" customHeight="1">
      <c r="A842" s="281" t="s">
        <v>648</v>
      </c>
      <c r="B842" s="282"/>
      <c r="C842" s="282"/>
      <c r="D842" s="674" t="s">
        <v>458</v>
      </c>
      <c r="E842" s="671"/>
      <c r="F842" s="671"/>
      <c r="G842" s="671"/>
      <c r="H842" s="671"/>
      <c r="I842" s="671"/>
      <c r="J842" s="671"/>
      <c r="K842" s="671"/>
      <c r="L842" s="241">
        <v>8475</v>
      </c>
      <c r="M842" s="241">
        <v>9819</v>
      </c>
      <c r="N842" s="187">
        <v>7000</v>
      </c>
      <c r="O842" s="187">
        <v>7000</v>
      </c>
      <c r="P842" s="179">
        <v>10000</v>
      </c>
      <c r="Q842" s="179">
        <v>10000</v>
      </c>
      <c r="R842" s="179">
        <v>10000</v>
      </c>
      <c r="S842" s="179">
        <v>10000</v>
      </c>
      <c r="T842" s="179">
        <v>10000</v>
      </c>
    </row>
    <row r="843" spans="1:22" ht="24" customHeight="1">
      <c r="A843" s="281" t="s">
        <v>1014</v>
      </c>
      <c r="B843" s="282"/>
      <c r="C843" s="282"/>
      <c r="D843" s="281" t="s">
        <v>487</v>
      </c>
      <c r="E843" s="282"/>
      <c r="F843" s="282"/>
      <c r="G843" s="282"/>
      <c r="H843" s="282"/>
      <c r="I843" s="282"/>
      <c r="J843" s="282"/>
      <c r="K843" s="282"/>
      <c r="L843" s="241">
        <v>0</v>
      </c>
      <c r="M843" s="241">
        <v>21977</v>
      </c>
      <c r="N843" s="187">
        <v>0</v>
      </c>
      <c r="O843" s="187">
        <v>0</v>
      </c>
      <c r="P843" s="179">
        <v>0</v>
      </c>
      <c r="Q843" s="179">
        <v>0</v>
      </c>
      <c r="R843" s="179">
        <v>0</v>
      </c>
      <c r="S843" s="179">
        <v>0</v>
      </c>
      <c r="T843" s="179">
        <v>0</v>
      </c>
      <c r="V843" s="149"/>
    </row>
    <row r="844" spans="1:22" ht="24" customHeight="1">
      <c r="A844" s="281" t="s">
        <v>649</v>
      </c>
      <c r="B844" s="282"/>
      <c r="C844" s="282"/>
      <c r="D844" s="281" t="s">
        <v>459</v>
      </c>
      <c r="E844" s="282"/>
      <c r="F844" s="282"/>
      <c r="G844" s="282"/>
      <c r="H844" s="282"/>
      <c r="I844" s="282"/>
      <c r="J844" s="282"/>
      <c r="K844" s="282"/>
      <c r="L844" s="224">
        <v>91422</v>
      </c>
      <c r="M844" s="224">
        <v>85480</v>
      </c>
      <c r="N844" s="151">
        <v>100000</v>
      </c>
      <c r="O844" s="151">
        <v>100000</v>
      </c>
      <c r="P844" s="150">
        <v>100000</v>
      </c>
      <c r="Q844" s="150">
        <v>100000</v>
      </c>
      <c r="R844" s="150">
        <v>100000</v>
      </c>
      <c r="S844" s="150">
        <v>100000</v>
      </c>
      <c r="T844" s="150">
        <v>100000</v>
      </c>
    </row>
    <row r="845" spans="1:22" ht="24" customHeight="1">
      <c r="A845" s="281" t="s">
        <v>650</v>
      </c>
      <c r="B845" s="282"/>
      <c r="C845" s="282"/>
      <c r="D845" s="281" t="s">
        <v>460</v>
      </c>
      <c r="E845" s="282"/>
      <c r="F845" s="282"/>
      <c r="G845" s="282"/>
      <c r="H845" s="282"/>
      <c r="I845" s="282"/>
      <c r="J845" s="282"/>
      <c r="K845" s="282"/>
      <c r="L845" s="224">
        <v>62594</v>
      </c>
      <c r="M845" s="224">
        <v>89074</v>
      </c>
      <c r="N845" s="151">
        <f>55000+10000+10000</f>
        <v>75000</v>
      </c>
      <c r="O845" s="151">
        <v>80000</v>
      </c>
      <c r="P845" s="150">
        <f>80000+6000</f>
        <v>86000</v>
      </c>
      <c r="Q845" s="150">
        <f t="shared" ref="Q845:T845" si="274">80000+6000</f>
        <v>86000</v>
      </c>
      <c r="R845" s="150">
        <f t="shared" si="274"/>
        <v>86000</v>
      </c>
      <c r="S845" s="150">
        <f t="shared" si="274"/>
        <v>86000</v>
      </c>
      <c r="T845" s="150">
        <f t="shared" si="274"/>
        <v>86000</v>
      </c>
    </row>
    <row r="846" spans="1:22" ht="24" customHeight="1">
      <c r="A846" s="281" t="s">
        <v>651</v>
      </c>
      <c r="B846" s="282"/>
      <c r="C846" s="282"/>
      <c r="D846" s="281" t="s">
        <v>461</v>
      </c>
      <c r="E846" s="282"/>
      <c r="F846" s="282"/>
      <c r="G846" s="282"/>
      <c r="H846" s="282"/>
      <c r="I846" s="282"/>
      <c r="J846" s="282"/>
      <c r="K846" s="282"/>
      <c r="L846" s="224">
        <v>16472</v>
      </c>
      <c r="M846" s="224">
        <v>15812</v>
      </c>
      <c r="N846" s="151">
        <v>18000</v>
      </c>
      <c r="O846" s="151">
        <v>18000</v>
      </c>
      <c r="P846" s="150">
        <v>18000</v>
      </c>
      <c r="Q846" s="150">
        <v>18000</v>
      </c>
      <c r="R846" s="150">
        <v>18000</v>
      </c>
      <c r="S846" s="150">
        <v>18000</v>
      </c>
      <c r="T846" s="150">
        <v>18000</v>
      </c>
    </row>
    <row r="847" spans="1:22" ht="24" customHeight="1">
      <c r="A847" s="281" t="s">
        <v>652</v>
      </c>
      <c r="B847" s="282"/>
      <c r="C847" s="282"/>
      <c r="D847" s="281" t="s">
        <v>11</v>
      </c>
      <c r="E847" s="282"/>
      <c r="F847" s="282"/>
      <c r="G847" s="282"/>
      <c r="H847" s="282"/>
      <c r="I847" s="282"/>
      <c r="J847" s="282"/>
      <c r="K847" s="282"/>
      <c r="L847" s="224">
        <v>1993</v>
      </c>
      <c r="M847" s="224">
        <v>3406</v>
      </c>
      <c r="N847" s="151">
        <v>3000</v>
      </c>
      <c r="O847" s="151">
        <v>3000</v>
      </c>
      <c r="P847" s="150">
        <v>3000</v>
      </c>
      <c r="Q847" s="150">
        <v>3000</v>
      </c>
      <c r="R847" s="150">
        <v>3000</v>
      </c>
      <c r="S847" s="150">
        <v>3000</v>
      </c>
      <c r="T847" s="150">
        <v>3000</v>
      </c>
    </row>
    <row r="848" spans="1:22" ht="24" customHeight="1">
      <c r="A848" s="281" t="s">
        <v>653</v>
      </c>
      <c r="B848" s="282"/>
      <c r="C848" s="282"/>
      <c r="D848" s="281" t="s">
        <v>12</v>
      </c>
      <c r="E848" s="282"/>
      <c r="F848" s="282"/>
      <c r="G848" s="282"/>
      <c r="H848" s="282"/>
      <c r="I848" s="282"/>
      <c r="J848" s="282"/>
      <c r="K848" s="282"/>
      <c r="L848" s="224">
        <v>21325</v>
      </c>
      <c r="M848" s="224">
        <v>8086</v>
      </c>
      <c r="N848" s="151">
        <v>7500</v>
      </c>
      <c r="O848" s="151">
        <v>7500</v>
      </c>
      <c r="P848" s="150">
        <f>7500+5000</f>
        <v>12500</v>
      </c>
      <c r="Q848" s="150">
        <v>7500</v>
      </c>
      <c r="R848" s="150">
        <v>7500</v>
      </c>
      <c r="S848" s="150">
        <v>7500</v>
      </c>
      <c r="T848" s="150">
        <v>7500</v>
      </c>
    </row>
    <row r="849" spans="1:22" ht="24" customHeight="1">
      <c r="A849" s="281" t="s">
        <v>654</v>
      </c>
      <c r="B849" s="282"/>
      <c r="C849" s="282"/>
      <c r="D849" s="281" t="s">
        <v>16</v>
      </c>
      <c r="E849" s="282"/>
      <c r="F849" s="282"/>
      <c r="G849" s="282"/>
      <c r="H849" s="282"/>
      <c r="I849" s="282"/>
      <c r="J849" s="282"/>
      <c r="K849" s="282"/>
      <c r="L849" s="222">
        <v>0</v>
      </c>
      <c r="M849" s="222">
        <v>0</v>
      </c>
      <c r="N849" s="148">
        <v>1000</v>
      </c>
      <c r="O849" s="148">
        <v>1000</v>
      </c>
      <c r="P849" s="147">
        <v>1000</v>
      </c>
      <c r="Q849" s="147">
        <v>1000</v>
      </c>
      <c r="R849" s="147">
        <v>1000</v>
      </c>
      <c r="S849" s="147">
        <v>1000</v>
      </c>
      <c r="T849" s="147">
        <v>1000</v>
      </c>
    </row>
    <row r="850" spans="1:22" ht="24" customHeight="1">
      <c r="A850" s="281" t="s">
        <v>655</v>
      </c>
      <c r="B850" s="282"/>
      <c r="C850" s="282"/>
      <c r="D850" s="281" t="s">
        <v>243</v>
      </c>
      <c r="E850" s="282"/>
      <c r="F850" s="282"/>
      <c r="G850" s="282"/>
      <c r="H850" s="282"/>
      <c r="I850" s="282"/>
      <c r="J850" s="282"/>
      <c r="K850" s="282"/>
      <c r="L850" s="226">
        <v>0</v>
      </c>
      <c r="M850" s="226">
        <v>0</v>
      </c>
      <c r="N850" s="156">
        <v>500</v>
      </c>
      <c r="O850" s="156">
        <v>500</v>
      </c>
      <c r="P850" s="155">
        <v>500</v>
      </c>
      <c r="Q850" s="155">
        <v>500</v>
      </c>
      <c r="R850" s="155">
        <v>500</v>
      </c>
      <c r="S850" s="155">
        <v>500</v>
      </c>
      <c r="T850" s="155">
        <v>500</v>
      </c>
    </row>
    <row r="851" spans="1:22" ht="24" customHeight="1">
      <c r="A851" s="281" t="s">
        <v>656</v>
      </c>
      <c r="B851" s="282"/>
      <c r="C851" s="282"/>
      <c r="D851" s="281" t="s">
        <v>1078</v>
      </c>
      <c r="E851" s="282"/>
      <c r="F851" s="282"/>
      <c r="G851" s="282"/>
      <c r="H851" s="282"/>
      <c r="I851" s="282"/>
      <c r="J851" s="282"/>
      <c r="K851" s="282"/>
      <c r="L851" s="226">
        <v>1527</v>
      </c>
      <c r="M851" s="226">
        <v>2101</v>
      </c>
      <c r="N851" s="156">
        <f>2000</f>
        <v>2000</v>
      </c>
      <c r="O851" s="156">
        <v>2000</v>
      </c>
      <c r="P851" s="155">
        <f>2000</f>
        <v>2000</v>
      </c>
      <c r="Q851" s="155">
        <f>2000</f>
        <v>2000</v>
      </c>
      <c r="R851" s="155">
        <f>2000</f>
        <v>2000</v>
      </c>
      <c r="S851" s="155">
        <f>2000</f>
        <v>2000</v>
      </c>
      <c r="T851" s="155">
        <f>2000</f>
        <v>2000</v>
      </c>
    </row>
    <row r="852" spans="1:22" ht="24" customHeight="1">
      <c r="A852" s="281" t="s">
        <v>657</v>
      </c>
      <c r="B852" s="282"/>
      <c r="C852" s="282"/>
      <c r="D852" s="661" t="s">
        <v>143</v>
      </c>
      <c r="E852" s="659"/>
      <c r="F852" s="659"/>
      <c r="G852" s="659"/>
      <c r="H852" s="659"/>
      <c r="I852" s="659"/>
      <c r="J852" s="659"/>
      <c r="K852" s="659"/>
      <c r="L852" s="225">
        <v>739</v>
      </c>
      <c r="M852" s="225">
        <v>1004</v>
      </c>
      <c r="N852" s="157">
        <v>2000</v>
      </c>
      <c r="O852" s="157">
        <v>2000</v>
      </c>
      <c r="P852" s="154">
        <f>ROUND(1200*1.07,0)</f>
        <v>1284</v>
      </c>
      <c r="Q852" s="154">
        <f t="shared" ref="Q852:T852" si="275">ROUND(P852*1.07,0)</f>
        <v>1374</v>
      </c>
      <c r="R852" s="154">
        <f t="shared" si="275"/>
        <v>1470</v>
      </c>
      <c r="S852" s="154">
        <f t="shared" si="275"/>
        <v>1573</v>
      </c>
      <c r="T852" s="154">
        <f t="shared" si="275"/>
        <v>1683</v>
      </c>
      <c r="V852" s="152"/>
    </row>
    <row r="853" spans="1:22" ht="24" customHeight="1">
      <c r="A853" s="281" t="s">
        <v>1017</v>
      </c>
      <c r="B853" s="282"/>
      <c r="C853" s="282"/>
      <c r="D853" s="281" t="s">
        <v>1018</v>
      </c>
      <c r="E853" s="282"/>
      <c r="F853" s="282"/>
      <c r="G853" s="282"/>
      <c r="H853" s="282"/>
      <c r="I853" s="282"/>
      <c r="J853" s="282"/>
      <c r="K853" s="282"/>
      <c r="L853" s="230">
        <v>489043</v>
      </c>
      <c r="M853" s="230">
        <v>0</v>
      </c>
      <c r="N853" s="164">
        <f t="shared" ref="N853" si="276">N876</f>
        <v>0</v>
      </c>
      <c r="O853" s="164">
        <v>0</v>
      </c>
      <c r="P853" s="163">
        <f t="shared" ref="P853:S853" si="277">P876</f>
        <v>0</v>
      </c>
      <c r="Q853" s="163">
        <f t="shared" si="277"/>
        <v>0</v>
      </c>
      <c r="R853" s="163">
        <f t="shared" si="277"/>
        <v>0</v>
      </c>
      <c r="S853" s="163">
        <f t="shared" si="277"/>
        <v>0</v>
      </c>
      <c r="T853" s="163">
        <f t="shared" ref="T853" si="278">T876</f>
        <v>0</v>
      </c>
      <c r="V853" s="152"/>
    </row>
    <row r="854" spans="1:22" s="215" customFormat="1" ht="24" customHeight="1">
      <c r="A854" s="281"/>
      <c r="B854" s="282"/>
      <c r="C854" s="282"/>
      <c r="D854" s="281"/>
      <c r="E854" s="282"/>
      <c r="F854" s="282"/>
      <c r="G854" s="282"/>
      <c r="H854" s="282"/>
      <c r="I854" s="282"/>
      <c r="J854" s="282"/>
      <c r="K854" s="282"/>
      <c r="L854" s="249">
        <f>SUM(L820:L853)</f>
        <v>1245168</v>
      </c>
      <c r="M854" s="249">
        <f>SUM(M820:M853)</f>
        <v>826847</v>
      </c>
      <c r="N854" s="266">
        <f t="shared" ref="N854" si="279">SUM(N820:N853)</f>
        <v>883636</v>
      </c>
      <c r="O854" s="266">
        <f t="shared" ref="O854" si="280">SUM(O820:O853)</f>
        <v>885027</v>
      </c>
      <c r="P854" s="249">
        <f t="shared" ref="P854:R854" si="281">SUM(P820:P853)</f>
        <v>950721</v>
      </c>
      <c r="Q854" s="249">
        <f t="shared" si="281"/>
        <v>965309</v>
      </c>
      <c r="R854" s="249">
        <f t="shared" si="281"/>
        <v>987467</v>
      </c>
      <c r="S854" s="249">
        <f>SUM(S820:S853)</f>
        <v>1010876</v>
      </c>
      <c r="T854" s="249">
        <f>SUM(T820:T853)</f>
        <v>1035586</v>
      </c>
      <c r="U854" s="470"/>
    </row>
    <row r="855" spans="1:22" s="215" customFormat="1" ht="15" customHeight="1">
      <c r="A855" s="281"/>
      <c r="B855" s="282"/>
      <c r="C855" s="282"/>
      <c r="D855" s="281"/>
      <c r="E855" s="282"/>
      <c r="F855" s="282"/>
      <c r="G855" s="282"/>
      <c r="H855" s="282"/>
      <c r="I855" s="282"/>
      <c r="J855" s="282"/>
      <c r="K855" s="282"/>
      <c r="L855" s="249"/>
      <c r="M855" s="249"/>
      <c r="N855" s="266"/>
      <c r="O855" s="266"/>
      <c r="P855" s="249"/>
      <c r="Q855" s="249"/>
      <c r="R855" s="249"/>
      <c r="S855" s="249"/>
      <c r="T855" s="249"/>
      <c r="U855" s="470"/>
    </row>
    <row r="856" spans="1:22" s="215" customFormat="1" ht="24" customHeight="1">
      <c r="K856" s="285" t="s">
        <v>548</v>
      </c>
      <c r="L856" s="250">
        <f t="shared" ref="L856:T856" si="282">L817+L854</f>
        <v>2063804</v>
      </c>
      <c r="M856" s="250">
        <f t="shared" si="282"/>
        <v>1805222</v>
      </c>
      <c r="N856" s="234">
        <f t="shared" si="282"/>
        <v>1795640</v>
      </c>
      <c r="O856" s="234">
        <f t="shared" si="282"/>
        <v>1765480</v>
      </c>
      <c r="P856" s="233">
        <f t="shared" si="282"/>
        <v>1796995</v>
      </c>
      <c r="Q856" s="233">
        <f t="shared" si="282"/>
        <v>1841676</v>
      </c>
      <c r="R856" s="233">
        <f t="shared" si="282"/>
        <v>1893932</v>
      </c>
      <c r="S856" s="233">
        <f t="shared" si="282"/>
        <v>1949113</v>
      </c>
      <c r="T856" s="233">
        <f t="shared" si="282"/>
        <v>2007325</v>
      </c>
      <c r="U856" s="470"/>
    </row>
    <row r="857" spans="1:22" s="215" customFormat="1" ht="15" customHeight="1">
      <c r="L857" s="250"/>
      <c r="M857" s="250"/>
      <c r="N857" s="251"/>
      <c r="O857" s="251"/>
      <c r="P857" s="250"/>
      <c r="Q857" s="250"/>
      <c r="R857" s="250"/>
      <c r="S857" s="250"/>
      <c r="T857" s="250"/>
      <c r="U857" s="470"/>
    </row>
    <row r="858" spans="1:22" s="215" customFormat="1" ht="24" customHeight="1">
      <c r="K858" s="285" t="s">
        <v>549</v>
      </c>
      <c r="L858" s="250">
        <f t="shared" ref="L858:T858" si="283">L790-L856</f>
        <v>226112</v>
      </c>
      <c r="M858" s="250">
        <f t="shared" si="283"/>
        <v>11053</v>
      </c>
      <c r="N858" s="251">
        <f t="shared" si="283"/>
        <v>-212409</v>
      </c>
      <c r="O858" s="251">
        <f t="shared" si="283"/>
        <v>-146274</v>
      </c>
      <c r="P858" s="250">
        <f t="shared" si="283"/>
        <v>-142007</v>
      </c>
      <c r="Q858" s="250">
        <f t="shared" si="283"/>
        <v>6458</v>
      </c>
      <c r="R858" s="250">
        <f t="shared" si="283"/>
        <v>7590</v>
      </c>
      <c r="S858" s="250">
        <f t="shared" si="283"/>
        <v>8026</v>
      </c>
      <c r="T858" s="250">
        <f t="shared" si="283"/>
        <v>8480</v>
      </c>
      <c r="U858" s="470"/>
    </row>
    <row r="859" spans="1:22" s="215" customFormat="1" ht="15" customHeight="1">
      <c r="L859" s="250"/>
      <c r="M859" s="250"/>
      <c r="N859" s="251"/>
      <c r="O859" s="251"/>
      <c r="P859" s="250"/>
      <c r="Q859" s="250"/>
      <c r="R859" s="250"/>
      <c r="S859" s="250"/>
      <c r="T859" s="250"/>
      <c r="U859" s="470"/>
    </row>
    <row r="860" spans="1:22" s="215" customFormat="1" ht="24" customHeight="1">
      <c r="K860" s="290" t="s">
        <v>551</v>
      </c>
      <c r="L860" s="250">
        <v>546485</v>
      </c>
      <c r="M860" s="250">
        <v>557536</v>
      </c>
      <c r="N860" s="251">
        <v>269391</v>
      </c>
      <c r="O860" s="251">
        <f>M860+O858</f>
        <v>411262</v>
      </c>
      <c r="P860" s="250">
        <f>O860+P858</f>
        <v>269255</v>
      </c>
      <c r="Q860" s="250">
        <f>P860+Q858</f>
        <v>275713</v>
      </c>
      <c r="R860" s="250">
        <f>Q860+R858</f>
        <v>283303</v>
      </c>
      <c r="S860" s="250">
        <f>R860+S858</f>
        <v>291329</v>
      </c>
      <c r="T860" s="250">
        <f>S860+T858</f>
        <v>299809</v>
      </c>
      <c r="U860" s="470"/>
      <c r="V860" s="713"/>
    </row>
    <row r="861" spans="1:22" s="294" customFormat="1" ht="24" customHeight="1">
      <c r="K861" s="291"/>
      <c r="L861" s="252">
        <f t="shared" ref="L861" si="284">L860/L856</f>
        <v>0.26479500960362518</v>
      </c>
      <c r="M861" s="252">
        <f t="shared" ref="M861:T861" si="285">M860/M856</f>
        <v>0.30884622500722902</v>
      </c>
      <c r="N861" s="253">
        <f>N860/N856</f>
        <v>0.15002506070259072</v>
      </c>
      <c r="O861" s="253">
        <f t="shared" ref="O861" si="286">O860/O856</f>
        <v>0.2329462808981127</v>
      </c>
      <c r="P861" s="252">
        <f t="shared" si="285"/>
        <v>0.14983625441361828</v>
      </c>
      <c r="Q861" s="252">
        <f t="shared" si="285"/>
        <v>0.14970765759015159</v>
      </c>
      <c r="R861" s="252">
        <f t="shared" si="285"/>
        <v>0.14958456797815339</v>
      </c>
      <c r="S861" s="252">
        <f t="shared" ref="S861" si="287">S860/S856</f>
        <v>0.14946747571844218</v>
      </c>
      <c r="T861" s="252">
        <f t="shared" si="285"/>
        <v>0.14935747823596079</v>
      </c>
      <c r="U861" s="337"/>
    </row>
    <row r="862" spans="1:22" ht="15" customHeight="1">
      <c r="A862" s="215"/>
      <c r="B862" s="215"/>
      <c r="C862" s="215"/>
      <c r="D862" s="215"/>
      <c r="E862" s="215"/>
      <c r="F862" s="215"/>
      <c r="G862" s="215"/>
      <c r="H862" s="215"/>
      <c r="I862" s="215"/>
      <c r="J862" s="215"/>
      <c r="K862" s="290"/>
      <c r="L862" s="400"/>
      <c r="M862" s="400"/>
      <c r="N862" s="405"/>
      <c r="O862" s="405"/>
      <c r="P862" s="406"/>
      <c r="Q862" s="406"/>
      <c r="R862" s="406"/>
      <c r="S862" s="406"/>
      <c r="T862" s="406"/>
    </row>
    <row r="863" spans="1:22" s="419" customFormat="1" ht="15" customHeight="1">
      <c r="A863" s="322"/>
      <c r="B863" s="322"/>
      <c r="C863" s="322"/>
      <c r="D863" s="322"/>
      <c r="E863" s="322"/>
      <c r="F863" s="322"/>
      <c r="G863" s="322"/>
      <c r="H863" s="322"/>
      <c r="I863" s="322"/>
      <c r="J863" s="322"/>
      <c r="K863" s="322"/>
      <c r="L863" s="522"/>
      <c r="M863" s="522"/>
      <c r="N863" s="542"/>
      <c r="O863" s="542"/>
      <c r="P863" s="523"/>
      <c r="Q863" s="523"/>
      <c r="R863" s="523"/>
      <c r="S863" s="523"/>
      <c r="T863" s="523"/>
      <c r="U863" s="524"/>
      <c r="V863" s="525"/>
    </row>
    <row r="864" spans="1:22" ht="24" customHeight="1">
      <c r="A864" s="292" t="s">
        <v>561</v>
      </c>
      <c r="B864" s="215"/>
      <c r="C864" s="215"/>
      <c r="D864" s="215"/>
      <c r="E864" s="215"/>
      <c r="F864" s="215"/>
      <c r="G864" s="215"/>
      <c r="H864" s="215"/>
      <c r="I864" s="215"/>
      <c r="J864" s="215"/>
      <c r="K864" s="215"/>
      <c r="L864" s="399"/>
      <c r="M864" s="399"/>
      <c r="N864" s="403"/>
      <c r="O864" s="403"/>
      <c r="P864" s="404"/>
      <c r="Q864" s="404"/>
      <c r="R864" s="404"/>
      <c r="S864" s="404"/>
      <c r="T864" s="404"/>
    </row>
    <row r="865" spans="1:22" ht="15" customHeight="1">
      <c r="A865" s="215"/>
      <c r="B865" s="215"/>
      <c r="C865" s="215"/>
      <c r="D865" s="215"/>
      <c r="E865" s="215"/>
      <c r="F865" s="215"/>
      <c r="G865" s="215"/>
      <c r="H865" s="215"/>
      <c r="I865" s="215"/>
      <c r="J865" s="215"/>
      <c r="K865" s="215"/>
      <c r="L865" s="399"/>
      <c r="M865" s="399"/>
      <c r="N865" s="403"/>
      <c r="O865" s="403"/>
      <c r="P865" s="404"/>
      <c r="Q865" s="404"/>
      <c r="R865" s="404"/>
      <c r="S865" s="404"/>
      <c r="T865" s="404"/>
    </row>
    <row r="866" spans="1:22" ht="24" customHeight="1">
      <c r="A866" s="281" t="s">
        <v>1074</v>
      </c>
      <c r="B866" s="282"/>
      <c r="C866" s="282"/>
      <c r="D866" s="281" t="s">
        <v>428</v>
      </c>
      <c r="E866" s="282"/>
      <c r="F866" s="282"/>
      <c r="G866" s="282"/>
      <c r="H866" s="282"/>
      <c r="I866" s="282"/>
      <c r="J866" s="282"/>
      <c r="K866" s="282"/>
      <c r="L866" s="224">
        <v>3409</v>
      </c>
      <c r="M866" s="224">
        <v>0</v>
      </c>
      <c r="N866" s="151">
        <v>0</v>
      </c>
      <c r="O866" s="151">
        <v>0</v>
      </c>
      <c r="P866" s="150">
        <v>0</v>
      </c>
      <c r="Q866" s="150">
        <v>0</v>
      </c>
      <c r="R866" s="150">
        <v>0</v>
      </c>
      <c r="S866" s="150">
        <v>0</v>
      </c>
      <c r="T866" s="150">
        <v>0</v>
      </c>
    </row>
    <row r="867" spans="1:22" ht="24" customHeight="1">
      <c r="A867" s="281" t="s">
        <v>462</v>
      </c>
      <c r="B867" s="215"/>
      <c r="C867" s="215"/>
      <c r="D867" s="281" t="s">
        <v>430</v>
      </c>
      <c r="E867" s="215"/>
      <c r="F867" s="215"/>
      <c r="G867" s="215"/>
      <c r="H867" s="215"/>
      <c r="I867" s="215"/>
      <c r="J867" s="215"/>
      <c r="K867" s="215"/>
      <c r="L867" s="224">
        <v>492</v>
      </c>
      <c r="M867" s="224">
        <v>0</v>
      </c>
      <c r="N867" s="151">
        <v>0</v>
      </c>
      <c r="O867" s="151">
        <v>0</v>
      </c>
      <c r="P867" s="150">
        <v>0</v>
      </c>
      <c r="Q867" s="150">
        <v>0</v>
      </c>
      <c r="R867" s="150">
        <v>0</v>
      </c>
      <c r="S867" s="150">
        <v>0</v>
      </c>
      <c r="T867" s="150">
        <v>0</v>
      </c>
    </row>
    <row r="868" spans="1:22" ht="24" customHeight="1">
      <c r="A868" s="281" t="s">
        <v>463</v>
      </c>
      <c r="B868" s="282"/>
      <c r="C868" s="282"/>
      <c r="D868" s="281" t="s">
        <v>464</v>
      </c>
      <c r="E868" s="282"/>
      <c r="F868" s="282"/>
      <c r="G868" s="282"/>
      <c r="H868" s="282"/>
      <c r="I868" s="282"/>
      <c r="J868" s="282"/>
      <c r="K868" s="282"/>
      <c r="L868" s="224">
        <v>37189</v>
      </c>
      <c r="M868" s="224">
        <v>0</v>
      </c>
      <c r="N868" s="151">
        <v>0</v>
      </c>
      <c r="O868" s="151">
        <v>0</v>
      </c>
      <c r="P868" s="150">
        <v>0</v>
      </c>
      <c r="Q868" s="150">
        <v>0</v>
      </c>
      <c r="R868" s="150">
        <v>0</v>
      </c>
      <c r="S868" s="150">
        <v>0</v>
      </c>
      <c r="T868" s="150">
        <v>0</v>
      </c>
    </row>
    <row r="869" spans="1:22" ht="24" customHeight="1">
      <c r="A869" s="281" t="s">
        <v>465</v>
      </c>
      <c r="B869" s="215"/>
      <c r="C869" s="215"/>
      <c r="D869" s="281" t="s">
        <v>466</v>
      </c>
      <c r="E869" s="215"/>
      <c r="F869" s="215"/>
      <c r="G869" s="215"/>
      <c r="H869" s="215"/>
      <c r="I869" s="215"/>
      <c r="J869" s="215"/>
      <c r="K869" s="215"/>
      <c r="L869" s="224">
        <v>1136</v>
      </c>
      <c r="M869" s="224">
        <v>0</v>
      </c>
      <c r="N869" s="151">
        <v>0</v>
      </c>
      <c r="O869" s="151">
        <v>0</v>
      </c>
      <c r="P869" s="150">
        <v>0</v>
      </c>
      <c r="Q869" s="150">
        <v>0</v>
      </c>
      <c r="R869" s="150">
        <v>0</v>
      </c>
      <c r="S869" s="150">
        <v>0</v>
      </c>
      <c r="T869" s="150">
        <v>0</v>
      </c>
    </row>
    <row r="870" spans="1:22" ht="24" customHeight="1">
      <c r="A870" s="281" t="s">
        <v>467</v>
      </c>
      <c r="B870" s="215"/>
      <c r="C870" s="215"/>
      <c r="D870" s="281" t="s">
        <v>468</v>
      </c>
      <c r="E870" s="215"/>
      <c r="F870" s="215"/>
      <c r="G870" s="215"/>
      <c r="H870" s="215"/>
      <c r="I870" s="215"/>
      <c r="J870" s="215"/>
      <c r="K870" s="215"/>
      <c r="L870" s="225">
        <v>2275</v>
      </c>
      <c r="M870" s="225">
        <v>0</v>
      </c>
      <c r="N870" s="157">
        <v>0</v>
      </c>
      <c r="O870" s="157">
        <v>0</v>
      </c>
      <c r="P870" s="154">
        <v>0</v>
      </c>
      <c r="Q870" s="154">
        <v>0</v>
      </c>
      <c r="R870" s="154">
        <v>0</v>
      </c>
      <c r="S870" s="154">
        <v>0</v>
      </c>
      <c r="T870" s="154">
        <v>0</v>
      </c>
    </row>
    <row r="871" spans="1:22" ht="24" customHeight="1">
      <c r="A871" s="281" t="s">
        <v>469</v>
      </c>
      <c r="B871" s="215"/>
      <c r="C871" s="215"/>
      <c r="D871" s="281" t="s">
        <v>470</v>
      </c>
      <c r="E871" s="215"/>
      <c r="F871" s="215"/>
      <c r="G871" s="215"/>
      <c r="H871" s="215"/>
      <c r="I871" s="215"/>
      <c r="J871" s="215"/>
      <c r="K871" s="215"/>
      <c r="L871" s="225">
        <v>360</v>
      </c>
      <c r="M871" s="225">
        <v>0</v>
      </c>
      <c r="N871" s="157">
        <v>0</v>
      </c>
      <c r="O871" s="157">
        <v>0</v>
      </c>
      <c r="P871" s="154">
        <v>0</v>
      </c>
      <c r="Q871" s="154">
        <v>0</v>
      </c>
      <c r="R871" s="154">
        <v>0</v>
      </c>
      <c r="S871" s="154">
        <v>0</v>
      </c>
      <c r="T871" s="154">
        <v>0</v>
      </c>
    </row>
    <row r="872" spans="1:22" ht="24" customHeight="1">
      <c r="A872" s="281" t="s">
        <v>471</v>
      </c>
      <c r="B872" s="215"/>
      <c r="C872" s="215"/>
      <c r="D872" s="281" t="s">
        <v>472</v>
      </c>
      <c r="E872" s="215"/>
      <c r="F872" s="215"/>
      <c r="G872" s="215"/>
      <c r="H872" s="215"/>
      <c r="I872" s="215"/>
      <c r="J872" s="215"/>
      <c r="K872" s="215"/>
      <c r="L872" s="225">
        <v>30</v>
      </c>
      <c r="M872" s="225">
        <v>0</v>
      </c>
      <c r="N872" s="157">
        <v>0</v>
      </c>
      <c r="O872" s="157">
        <v>0</v>
      </c>
      <c r="P872" s="154">
        <v>0</v>
      </c>
      <c r="Q872" s="154">
        <v>0</v>
      </c>
      <c r="R872" s="154">
        <v>0</v>
      </c>
      <c r="S872" s="154">
        <v>0</v>
      </c>
      <c r="T872" s="154">
        <v>0</v>
      </c>
    </row>
    <row r="873" spans="1:22" ht="24" customHeight="1">
      <c r="A873" s="281" t="s">
        <v>473</v>
      </c>
      <c r="B873" s="215"/>
      <c r="C873" s="215"/>
      <c r="D873" s="281" t="s">
        <v>233</v>
      </c>
      <c r="E873" s="215"/>
      <c r="F873" s="215"/>
      <c r="G873" s="215"/>
      <c r="H873" s="215"/>
      <c r="I873" s="215"/>
      <c r="J873" s="215"/>
      <c r="K873" s="215"/>
      <c r="L873" s="228">
        <v>444</v>
      </c>
      <c r="M873" s="228">
        <v>0</v>
      </c>
      <c r="N873" s="159">
        <v>0</v>
      </c>
      <c r="O873" s="159">
        <v>0</v>
      </c>
      <c r="P873" s="158">
        <v>0</v>
      </c>
      <c r="Q873" s="158">
        <v>0</v>
      </c>
      <c r="R873" s="158">
        <v>0</v>
      </c>
      <c r="S873" s="158">
        <v>0</v>
      </c>
      <c r="T873" s="158">
        <v>0</v>
      </c>
      <c r="V873" s="149"/>
    </row>
    <row r="874" spans="1:22" ht="24" customHeight="1">
      <c r="A874" s="281" t="s">
        <v>474</v>
      </c>
      <c r="B874" s="215"/>
      <c r="C874" s="215"/>
      <c r="D874" s="281" t="s">
        <v>1084</v>
      </c>
      <c r="E874" s="215"/>
      <c r="F874" s="215"/>
      <c r="G874" s="215"/>
      <c r="H874" s="215"/>
      <c r="I874" s="215"/>
      <c r="J874" s="215"/>
      <c r="K874" s="215"/>
      <c r="L874" s="228">
        <v>28</v>
      </c>
      <c r="M874" s="228">
        <v>0</v>
      </c>
      <c r="N874" s="159">
        <v>0</v>
      </c>
      <c r="O874" s="159">
        <v>0</v>
      </c>
      <c r="P874" s="158">
        <v>0</v>
      </c>
      <c r="Q874" s="158">
        <v>0</v>
      </c>
      <c r="R874" s="158">
        <v>0</v>
      </c>
      <c r="S874" s="158">
        <v>0</v>
      </c>
      <c r="T874" s="158">
        <v>0</v>
      </c>
    </row>
    <row r="875" spans="1:22" ht="24" customHeight="1">
      <c r="A875" s="281" t="s">
        <v>475</v>
      </c>
      <c r="B875" s="215"/>
      <c r="C875" s="215"/>
      <c r="D875" s="281" t="s">
        <v>7</v>
      </c>
      <c r="E875" s="215"/>
      <c r="F875" s="215"/>
      <c r="G875" s="215"/>
      <c r="H875" s="215"/>
      <c r="I875" s="215"/>
      <c r="J875" s="215"/>
      <c r="K875" s="215"/>
      <c r="L875" s="224">
        <v>100</v>
      </c>
      <c r="M875" s="224">
        <v>0</v>
      </c>
      <c r="N875" s="151">
        <v>0</v>
      </c>
      <c r="O875" s="151">
        <v>0</v>
      </c>
      <c r="P875" s="150">
        <v>0</v>
      </c>
      <c r="Q875" s="150">
        <v>0</v>
      </c>
      <c r="R875" s="150">
        <v>0</v>
      </c>
      <c r="S875" s="150">
        <v>0</v>
      </c>
      <c r="T875" s="150">
        <v>0</v>
      </c>
    </row>
    <row r="876" spans="1:22" ht="24" customHeight="1">
      <c r="A876" s="281" t="s">
        <v>1015</v>
      </c>
      <c r="B876" s="215"/>
      <c r="C876" s="215"/>
      <c r="D876" s="281" t="s">
        <v>1016</v>
      </c>
      <c r="E876" s="215"/>
      <c r="F876" s="215"/>
      <c r="G876" s="215"/>
      <c r="H876" s="215"/>
      <c r="I876" s="215"/>
      <c r="J876" s="215"/>
      <c r="K876" s="215"/>
      <c r="L876" s="230">
        <v>489043</v>
      </c>
      <c r="M876" s="230">
        <v>0</v>
      </c>
      <c r="N876" s="164">
        <v>0</v>
      </c>
      <c r="O876" s="164">
        <v>0</v>
      </c>
      <c r="P876" s="163">
        <v>0</v>
      </c>
      <c r="Q876" s="163">
        <v>0</v>
      </c>
      <c r="R876" s="163">
        <v>0</v>
      </c>
      <c r="S876" s="163">
        <v>0</v>
      </c>
      <c r="T876" s="163">
        <v>0</v>
      </c>
      <c r="V876" s="152"/>
    </row>
    <row r="877" spans="1:22" ht="15" customHeight="1">
      <c r="A877" s="215"/>
      <c r="B877" s="215"/>
      <c r="C877" s="215"/>
      <c r="D877" s="215"/>
      <c r="E877" s="215"/>
      <c r="F877" s="215"/>
      <c r="G877" s="215"/>
      <c r="H877" s="215"/>
      <c r="I877" s="215"/>
      <c r="J877" s="215"/>
      <c r="K877" s="215"/>
      <c r="L877" s="231"/>
      <c r="M877" s="231"/>
      <c r="N877" s="166"/>
      <c r="O877" s="166"/>
      <c r="P877" s="165"/>
      <c r="Q877" s="165"/>
      <c r="R877" s="165"/>
      <c r="S877" s="165"/>
      <c r="T877" s="165"/>
    </row>
    <row r="878" spans="1:22" s="215" customFormat="1" ht="24" customHeight="1">
      <c r="K878" s="285" t="s">
        <v>545</v>
      </c>
      <c r="L878" s="233">
        <f t="shared" ref="L878" si="288">SUM(L866:L877)</f>
        <v>534506</v>
      </c>
      <c r="M878" s="233">
        <f t="shared" ref="M878" si="289">SUM(M866:M877)</f>
        <v>0</v>
      </c>
      <c r="N878" s="234">
        <f t="shared" ref="N878:O878" si="290">SUM(N866:N877)</f>
        <v>0</v>
      </c>
      <c r="O878" s="234">
        <f t="shared" si="290"/>
        <v>0</v>
      </c>
      <c r="P878" s="233">
        <f t="shared" ref="P878:Q878" si="291">SUM(P866:P877)</f>
        <v>0</v>
      </c>
      <c r="Q878" s="233">
        <f t="shared" si="291"/>
        <v>0</v>
      </c>
      <c r="R878" s="233">
        <f>SUM(R866:R877)</f>
        <v>0</v>
      </c>
      <c r="S878" s="233">
        <f>SUM(S866:S877)</f>
        <v>0</v>
      </c>
      <c r="T878" s="233">
        <f>SUM(T866:T877)</f>
        <v>0</v>
      </c>
      <c r="U878" s="470"/>
    </row>
    <row r="879" spans="1:22" s="330" customFormat="1" ht="24" customHeight="1">
      <c r="K879" s="285"/>
      <c r="L879" s="233"/>
      <c r="M879" s="233"/>
      <c r="N879" s="234"/>
      <c r="O879" s="234"/>
      <c r="P879" s="233"/>
      <c r="Q879" s="233"/>
      <c r="R879" s="233"/>
      <c r="S879" s="233"/>
      <c r="T879" s="233"/>
      <c r="U879" s="470"/>
    </row>
    <row r="880" spans="1:22" ht="15" customHeight="1">
      <c r="A880" s="215"/>
      <c r="B880" s="215"/>
      <c r="C880" s="215"/>
      <c r="D880" s="215"/>
      <c r="E880" s="215"/>
      <c r="F880" s="215"/>
      <c r="G880" s="215"/>
      <c r="H880" s="215"/>
      <c r="I880" s="215"/>
      <c r="J880" s="215"/>
      <c r="K880" s="215"/>
      <c r="L880" s="231"/>
      <c r="M880" s="231"/>
      <c r="N880" s="166"/>
      <c r="O880" s="166"/>
      <c r="P880" s="165"/>
      <c r="Q880" s="165"/>
      <c r="R880" s="165"/>
      <c r="S880" s="165"/>
      <c r="T880" s="165"/>
    </row>
    <row r="881" spans="1:29" ht="24" customHeight="1">
      <c r="A881" s="281" t="s">
        <v>476</v>
      </c>
      <c r="B881" s="215"/>
      <c r="C881" s="215"/>
      <c r="D881" s="281" t="s">
        <v>72</v>
      </c>
      <c r="E881" s="215"/>
      <c r="F881" s="215"/>
      <c r="G881" s="215"/>
      <c r="H881" s="215"/>
      <c r="I881" s="215"/>
      <c r="J881" s="215"/>
      <c r="K881" s="215"/>
      <c r="L881" s="222">
        <v>13006</v>
      </c>
      <c r="M881" s="222">
        <v>0</v>
      </c>
      <c r="N881" s="148">
        <v>0</v>
      </c>
      <c r="O881" s="148">
        <v>0</v>
      </c>
      <c r="P881" s="147">
        <v>0</v>
      </c>
      <c r="Q881" s="147">
        <v>0</v>
      </c>
      <c r="R881" s="147">
        <v>0</v>
      </c>
      <c r="S881" s="147">
        <v>0</v>
      </c>
      <c r="T881" s="147">
        <v>0</v>
      </c>
    </row>
    <row r="882" spans="1:29" ht="24" customHeight="1">
      <c r="A882" s="281" t="s">
        <v>477</v>
      </c>
      <c r="B882" s="282"/>
      <c r="C882" s="282"/>
      <c r="D882" s="281" t="s">
        <v>456</v>
      </c>
      <c r="E882" s="282"/>
      <c r="F882" s="282"/>
      <c r="G882" s="282"/>
      <c r="H882" s="282"/>
      <c r="I882" s="282"/>
      <c r="J882" s="282"/>
      <c r="K882" s="282"/>
      <c r="L882" s="222">
        <v>6789</v>
      </c>
      <c r="M882" s="222">
        <v>0</v>
      </c>
      <c r="N882" s="148">
        <v>0</v>
      </c>
      <c r="O882" s="148">
        <v>0</v>
      </c>
      <c r="P882" s="147">
        <v>0</v>
      </c>
      <c r="Q882" s="147">
        <v>0</v>
      </c>
      <c r="R882" s="147">
        <v>0</v>
      </c>
      <c r="S882" s="147">
        <v>0</v>
      </c>
      <c r="T882" s="147">
        <v>0</v>
      </c>
    </row>
    <row r="883" spans="1:29" ht="24" customHeight="1">
      <c r="A883" s="281" t="s">
        <v>478</v>
      </c>
      <c r="B883" s="282"/>
      <c r="C883" s="282"/>
      <c r="D883" s="281" t="s">
        <v>8</v>
      </c>
      <c r="E883" s="282"/>
      <c r="F883" s="282"/>
      <c r="G883" s="282"/>
      <c r="H883" s="282"/>
      <c r="I883" s="282"/>
      <c r="J883" s="282"/>
      <c r="K883" s="282"/>
      <c r="L883" s="224">
        <v>624</v>
      </c>
      <c r="M883" s="224">
        <v>0</v>
      </c>
      <c r="N883" s="151">
        <v>0</v>
      </c>
      <c r="O883" s="151">
        <v>0</v>
      </c>
      <c r="P883" s="150">
        <v>0</v>
      </c>
      <c r="Q883" s="150">
        <v>0</v>
      </c>
      <c r="R883" s="150">
        <v>0</v>
      </c>
      <c r="S883" s="150">
        <v>0</v>
      </c>
      <c r="T883" s="150">
        <v>0</v>
      </c>
    </row>
    <row r="884" spans="1:29" ht="24" customHeight="1">
      <c r="A884" s="281" t="s">
        <v>479</v>
      </c>
      <c r="B884" s="215"/>
      <c r="C884" s="215"/>
      <c r="D884" s="281" t="s">
        <v>9</v>
      </c>
      <c r="E884" s="215"/>
      <c r="F884" s="215"/>
      <c r="G884" s="215"/>
      <c r="H884" s="215"/>
      <c r="I884" s="215"/>
      <c r="J884" s="215"/>
      <c r="K884" s="215"/>
      <c r="L884" s="224">
        <v>1524</v>
      </c>
      <c r="M884" s="224">
        <v>0</v>
      </c>
      <c r="N884" s="151">
        <v>0</v>
      </c>
      <c r="O884" s="151">
        <v>0</v>
      </c>
      <c r="P884" s="150">
        <v>0</v>
      </c>
      <c r="Q884" s="150">
        <v>0</v>
      </c>
      <c r="R884" s="150">
        <v>0</v>
      </c>
      <c r="S884" s="150">
        <v>0</v>
      </c>
      <c r="T884" s="150">
        <v>0</v>
      </c>
    </row>
    <row r="885" spans="1:29" ht="24" customHeight="1">
      <c r="A885" s="281" t="s">
        <v>480</v>
      </c>
      <c r="B885" s="215"/>
      <c r="C885" s="215"/>
      <c r="D885" s="281" t="s">
        <v>234</v>
      </c>
      <c r="E885" s="215"/>
      <c r="F885" s="215"/>
      <c r="G885" s="215"/>
      <c r="H885" s="215"/>
      <c r="I885" s="215"/>
      <c r="J885" s="215"/>
      <c r="K885" s="215"/>
      <c r="L885" s="224">
        <v>691</v>
      </c>
      <c r="M885" s="224">
        <v>0</v>
      </c>
      <c r="N885" s="151">
        <v>0</v>
      </c>
      <c r="O885" s="151">
        <v>0</v>
      </c>
      <c r="P885" s="150">
        <v>0</v>
      </c>
      <c r="Q885" s="150">
        <v>0</v>
      </c>
      <c r="R885" s="150">
        <v>0</v>
      </c>
      <c r="S885" s="150">
        <v>0</v>
      </c>
      <c r="T885" s="150">
        <v>0</v>
      </c>
      <c r="V885" s="149"/>
    </row>
    <row r="886" spans="1:29" ht="24" customHeight="1">
      <c r="A886" s="281" t="s">
        <v>481</v>
      </c>
      <c r="B886" s="215"/>
      <c r="C886" s="215"/>
      <c r="D886" s="281" t="s">
        <v>10</v>
      </c>
      <c r="E886" s="215"/>
      <c r="F886" s="215"/>
      <c r="G886" s="215"/>
      <c r="H886" s="215"/>
      <c r="I886" s="215"/>
      <c r="J886" s="215"/>
      <c r="K886" s="215"/>
      <c r="L886" s="224">
        <v>1726</v>
      </c>
      <c r="M886" s="224">
        <v>0</v>
      </c>
      <c r="N886" s="151">
        <v>0</v>
      </c>
      <c r="O886" s="151">
        <v>0</v>
      </c>
      <c r="P886" s="150">
        <v>0</v>
      </c>
      <c r="Q886" s="150">
        <v>0</v>
      </c>
      <c r="R886" s="150">
        <v>0</v>
      </c>
      <c r="S886" s="150">
        <v>0</v>
      </c>
      <c r="T886" s="150">
        <v>0</v>
      </c>
    </row>
    <row r="887" spans="1:29" ht="24" customHeight="1">
      <c r="A887" s="281" t="s">
        <v>482</v>
      </c>
      <c r="B887" s="282"/>
      <c r="C887" s="282"/>
      <c r="D887" s="281" t="s">
        <v>17</v>
      </c>
      <c r="E887" s="282"/>
      <c r="F887" s="282"/>
      <c r="G887" s="282"/>
      <c r="H887" s="282"/>
      <c r="I887" s="282"/>
      <c r="J887" s="282"/>
      <c r="K887" s="282"/>
      <c r="L887" s="224">
        <v>3523</v>
      </c>
      <c r="M887" s="224">
        <v>0</v>
      </c>
      <c r="N887" s="151">
        <v>0</v>
      </c>
      <c r="O887" s="151">
        <v>0</v>
      </c>
      <c r="P887" s="150">
        <v>0</v>
      </c>
      <c r="Q887" s="150">
        <v>0</v>
      </c>
      <c r="R887" s="150">
        <v>0</v>
      </c>
      <c r="S887" s="150">
        <v>0</v>
      </c>
      <c r="T887" s="150">
        <v>0</v>
      </c>
    </row>
    <row r="888" spans="1:29" ht="24" customHeight="1">
      <c r="A888" s="281" t="s">
        <v>483</v>
      </c>
      <c r="B888" s="282"/>
      <c r="C888" s="282"/>
      <c r="D888" s="281" t="s">
        <v>90</v>
      </c>
      <c r="E888" s="282"/>
      <c r="F888" s="282"/>
      <c r="G888" s="282"/>
      <c r="H888" s="282"/>
      <c r="I888" s="282"/>
      <c r="J888" s="282"/>
      <c r="K888" s="282"/>
      <c r="L888" s="224">
        <v>138274</v>
      </c>
      <c r="M888" s="224">
        <v>0</v>
      </c>
      <c r="N888" s="151">
        <v>0</v>
      </c>
      <c r="O888" s="151">
        <v>0</v>
      </c>
      <c r="P888" s="150">
        <v>0</v>
      </c>
      <c r="Q888" s="150">
        <v>0</v>
      </c>
      <c r="R888" s="150">
        <v>0</v>
      </c>
      <c r="S888" s="150">
        <v>0</v>
      </c>
      <c r="T888" s="150">
        <v>0</v>
      </c>
      <c r="V888" s="152"/>
      <c r="W888" s="161"/>
      <c r="X888" s="161"/>
      <c r="Y888" s="161"/>
      <c r="Z888" s="161"/>
      <c r="AA888" s="161"/>
      <c r="AB888" s="161"/>
      <c r="AC888" s="161"/>
    </row>
    <row r="889" spans="1:29" ht="24" customHeight="1">
      <c r="A889" s="281" t="s">
        <v>484</v>
      </c>
      <c r="B889" s="282"/>
      <c r="C889" s="282"/>
      <c r="D889" s="281" t="s">
        <v>1079</v>
      </c>
      <c r="E889" s="282"/>
      <c r="F889" s="282"/>
      <c r="G889" s="282"/>
      <c r="H889" s="282"/>
      <c r="I889" s="282"/>
      <c r="J889" s="282"/>
      <c r="K889" s="282"/>
      <c r="L889" s="241">
        <v>4402</v>
      </c>
      <c r="M889" s="241">
        <v>0</v>
      </c>
      <c r="N889" s="151">
        <v>0</v>
      </c>
      <c r="O889" s="151">
        <v>0</v>
      </c>
      <c r="P889" s="179">
        <v>0</v>
      </c>
      <c r="Q889" s="179">
        <v>0</v>
      </c>
      <c r="R889" s="179">
        <v>0</v>
      </c>
      <c r="S889" s="179">
        <v>0</v>
      </c>
      <c r="T889" s="179">
        <v>0</v>
      </c>
    </row>
    <row r="890" spans="1:29" ht="24" customHeight="1">
      <c r="A890" s="281" t="s">
        <v>485</v>
      </c>
      <c r="B890" s="282"/>
      <c r="C890" s="282"/>
      <c r="D890" s="281" t="s">
        <v>458</v>
      </c>
      <c r="E890" s="282"/>
      <c r="F890" s="282"/>
      <c r="G890" s="282"/>
      <c r="H890" s="282"/>
      <c r="I890" s="282"/>
      <c r="J890" s="282"/>
      <c r="K890" s="282"/>
      <c r="L890" s="241">
        <v>4129</v>
      </c>
      <c r="M890" s="241">
        <v>0</v>
      </c>
      <c r="N890" s="151">
        <v>0</v>
      </c>
      <c r="O890" s="151">
        <v>0</v>
      </c>
      <c r="P890" s="179">
        <v>0</v>
      </c>
      <c r="Q890" s="179">
        <v>0</v>
      </c>
      <c r="R890" s="179">
        <v>0</v>
      </c>
      <c r="S890" s="179">
        <v>0</v>
      </c>
      <c r="T890" s="179">
        <v>0</v>
      </c>
    </row>
    <row r="891" spans="1:29" ht="24" customHeight="1">
      <c r="A891" s="281" t="s">
        <v>486</v>
      </c>
      <c r="B891" s="215"/>
      <c r="C891" s="215"/>
      <c r="D891" s="281" t="s">
        <v>487</v>
      </c>
      <c r="E891" s="215"/>
      <c r="F891" s="215"/>
      <c r="G891" s="215"/>
      <c r="H891" s="215"/>
      <c r="I891" s="215"/>
      <c r="J891" s="215"/>
      <c r="K891" s="215"/>
      <c r="L891" s="245">
        <v>55890</v>
      </c>
      <c r="M891" s="245">
        <v>0</v>
      </c>
      <c r="N891" s="186">
        <v>0</v>
      </c>
      <c r="O891" s="186">
        <v>0</v>
      </c>
      <c r="P891" s="185">
        <v>0</v>
      </c>
      <c r="Q891" s="185">
        <v>0</v>
      </c>
      <c r="R891" s="185">
        <v>0</v>
      </c>
      <c r="S891" s="185">
        <v>0</v>
      </c>
      <c r="T891" s="185">
        <v>0</v>
      </c>
      <c r="V891" s="149"/>
    </row>
    <row r="892" spans="1:29" ht="24" customHeight="1">
      <c r="A892" s="281" t="s">
        <v>488</v>
      </c>
      <c r="B892" s="282"/>
      <c r="C892" s="282"/>
      <c r="D892" s="281" t="s">
        <v>460</v>
      </c>
      <c r="E892" s="282"/>
      <c r="F892" s="282"/>
      <c r="G892" s="282"/>
      <c r="H892" s="282"/>
      <c r="I892" s="282"/>
      <c r="J892" s="282"/>
      <c r="K892" s="282"/>
      <c r="L892" s="222">
        <v>520</v>
      </c>
      <c r="M892" s="222">
        <v>0</v>
      </c>
      <c r="N892" s="151">
        <v>0</v>
      </c>
      <c r="O892" s="151">
        <v>0</v>
      </c>
      <c r="P892" s="147">
        <v>0</v>
      </c>
      <c r="Q892" s="147">
        <v>0</v>
      </c>
      <c r="R892" s="147">
        <v>0</v>
      </c>
      <c r="S892" s="147">
        <v>0</v>
      </c>
      <c r="T892" s="147">
        <v>0</v>
      </c>
    </row>
    <row r="893" spans="1:29" ht="24" customHeight="1">
      <c r="A893" s="281" t="s">
        <v>489</v>
      </c>
      <c r="B893" s="282"/>
      <c r="C893" s="282"/>
      <c r="D893" s="281" t="s">
        <v>12</v>
      </c>
      <c r="E893" s="282"/>
      <c r="F893" s="282"/>
      <c r="G893" s="282"/>
      <c r="H893" s="282"/>
      <c r="I893" s="282"/>
      <c r="J893" s="282"/>
      <c r="K893" s="282"/>
      <c r="L893" s="224">
        <v>1123</v>
      </c>
      <c r="M893" s="224">
        <v>0</v>
      </c>
      <c r="N893" s="151">
        <v>0</v>
      </c>
      <c r="O893" s="151">
        <v>0</v>
      </c>
      <c r="P893" s="150">
        <v>0</v>
      </c>
      <c r="Q893" s="150">
        <v>0</v>
      </c>
      <c r="R893" s="150">
        <v>0</v>
      </c>
      <c r="S893" s="150">
        <v>0</v>
      </c>
      <c r="T893" s="150">
        <v>0</v>
      </c>
    </row>
    <row r="894" spans="1:29" ht="24" customHeight="1">
      <c r="A894" s="281" t="s">
        <v>490</v>
      </c>
      <c r="B894" s="282"/>
      <c r="C894" s="282"/>
      <c r="D894" s="281" t="s">
        <v>1078</v>
      </c>
      <c r="E894" s="282"/>
      <c r="F894" s="282"/>
      <c r="G894" s="282"/>
      <c r="H894" s="282"/>
      <c r="I894" s="282"/>
      <c r="J894" s="282"/>
      <c r="K894" s="282"/>
      <c r="L894" s="229">
        <v>1865</v>
      </c>
      <c r="M894" s="229">
        <v>0</v>
      </c>
      <c r="N894" s="176">
        <v>0</v>
      </c>
      <c r="O894" s="176">
        <v>0</v>
      </c>
      <c r="P894" s="162">
        <v>0</v>
      </c>
      <c r="Q894" s="162">
        <v>0</v>
      </c>
      <c r="R894" s="162">
        <v>0</v>
      </c>
      <c r="S894" s="162">
        <v>0</v>
      </c>
      <c r="T894" s="162">
        <v>0</v>
      </c>
      <c r="V894" s="149"/>
    </row>
    <row r="895" spans="1:29" ht="15" customHeight="1">
      <c r="A895" s="215"/>
      <c r="B895" s="215"/>
      <c r="C895" s="215"/>
      <c r="D895" s="215"/>
      <c r="E895" s="215"/>
      <c r="F895" s="215"/>
      <c r="G895" s="215"/>
      <c r="H895" s="215"/>
      <c r="I895" s="215"/>
      <c r="J895" s="215"/>
      <c r="K895" s="215"/>
      <c r="L895" s="231"/>
      <c r="M895" s="231"/>
      <c r="N895" s="166"/>
      <c r="O895" s="166"/>
      <c r="P895" s="165"/>
      <c r="Q895" s="165"/>
      <c r="R895" s="165"/>
      <c r="S895" s="165"/>
      <c r="T895" s="165"/>
    </row>
    <row r="896" spans="1:29" s="215" customFormat="1" ht="24" customHeight="1">
      <c r="K896" s="285" t="s">
        <v>550</v>
      </c>
      <c r="L896" s="233">
        <f t="shared" ref="L896:T896" si="292">SUM(L881:L895)</f>
        <v>234086</v>
      </c>
      <c r="M896" s="233">
        <f t="shared" si="292"/>
        <v>0</v>
      </c>
      <c r="N896" s="234">
        <f t="shared" si="292"/>
        <v>0</v>
      </c>
      <c r="O896" s="234">
        <f t="shared" si="292"/>
        <v>0</v>
      </c>
      <c r="P896" s="233">
        <f t="shared" si="292"/>
        <v>0</v>
      </c>
      <c r="Q896" s="233">
        <f t="shared" si="292"/>
        <v>0</v>
      </c>
      <c r="R896" s="233">
        <f t="shared" si="292"/>
        <v>0</v>
      </c>
      <c r="S896" s="233">
        <f t="shared" si="292"/>
        <v>0</v>
      </c>
      <c r="T896" s="233">
        <f t="shared" si="292"/>
        <v>0</v>
      </c>
      <c r="U896" s="470"/>
    </row>
    <row r="897" spans="1:27" s="215" customFormat="1" ht="15" customHeight="1">
      <c r="L897" s="231"/>
      <c r="M897" s="231"/>
      <c r="N897" s="232"/>
      <c r="O897" s="232"/>
      <c r="P897" s="231"/>
      <c r="Q897" s="231"/>
      <c r="R897" s="231"/>
      <c r="S897" s="231"/>
      <c r="T897" s="231"/>
      <c r="U897" s="470"/>
    </row>
    <row r="898" spans="1:27" s="215" customFormat="1" ht="24" customHeight="1">
      <c r="K898" s="285" t="s">
        <v>549</v>
      </c>
      <c r="L898" s="250">
        <f t="shared" ref="L898:T898" si="293">L878-L896</f>
        <v>300420</v>
      </c>
      <c r="M898" s="250">
        <f t="shared" si="293"/>
        <v>0</v>
      </c>
      <c r="N898" s="251">
        <f t="shared" si="293"/>
        <v>0</v>
      </c>
      <c r="O898" s="251">
        <f t="shared" si="293"/>
        <v>0</v>
      </c>
      <c r="P898" s="250">
        <f t="shared" si="293"/>
        <v>0</v>
      </c>
      <c r="Q898" s="250">
        <f t="shared" si="293"/>
        <v>0</v>
      </c>
      <c r="R898" s="250">
        <f t="shared" si="293"/>
        <v>0</v>
      </c>
      <c r="S898" s="250">
        <f t="shared" si="293"/>
        <v>0</v>
      </c>
      <c r="T898" s="250">
        <f t="shared" si="293"/>
        <v>0</v>
      </c>
      <c r="U898" s="470"/>
    </row>
    <row r="899" spans="1:27" s="215" customFormat="1" ht="15" customHeight="1">
      <c r="L899" s="250"/>
      <c r="M899" s="250"/>
      <c r="N899" s="251"/>
      <c r="O899" s="251"/>
      <c r="P899" s="250"/>
      <c r="Q899" s="250"/>
      <c r="R899" s="250"/>
      <c r="S899" s="250"/>
      <c r="T899" s="250"/>
      <c r="U899" s="470"/>
    </row>
    <row r="900" spans="1:27" s="215" customFormat="1" ht="24" customHeight="1">
      <c r="J900" s="290" t="s">
        <v>560</v>
      </c>
      <c r="L900" s="250">
        <v>0</v>
      </c>
      <c r="M900" s="250">
        <v>0</v>
      </c>
      <c r="N900" s="251">
        <v>0</v>
      </c>
      <c r="O900" s="251">
        <v>0</v>
      </c>
      <c r="P900" s="250">
        <v>0</v>
      </c>
      <c r="Q900" s="250">
        <v>0</v>
      </c>
      <c r="R900" s="250">
        <v>0</v>
      </c>
      <c r="S900" s="250">
        <v>0</v>
      </c>
      <c r="T900" s="250">
        <v>0</v>
      </c>
      <c r="U900" s="470"/>
      <c r="V900" s="713"/>
      <c r="W900" s="713"/>
      <c r="X900" s="713"/>
      <c r="Y900" s="713"/>
      <c r="Z900" s="713"/>
      <c r="AA900" s="713"/>
    </row>
    <row r="901" spans="1:27" s="294" customFormat="1" ht="24" customHeight="1">
      <c r="L901" s="252">
        <f>L900/L896</f>
        <v>0</v>
      </c>
      <c r="M901" s="252"/>
      <c r="N901" s="455"/>
      <c r="O901" s="455"/>
      <c r="P901" s="456"/>
      <c r="Q901" s="456"/>
      <c r="R901" s="456"/>
      <c r="S901" s="456"/>
      <c r="T901" s="456"/>
      <c r="U901" s="337"/>
    </row>
    <row r="902" spans="1:27" ht="15" customHeight="1">
      <c r="A902" s="215"/>
      <c r="B902" s="215"/>
      <c r="C902" s="215"/>
      <c r="D902" s="215"/>
      <c r="E902" s="215"/>
      <c r="F902" s="215"/>
      <c r="G902" s="215"/>
      <c r="H902" s="215"/>
      <c r="I902" s="215"/>
      <c r="J902" s="215"/>
      <c r="K902" s="215"/>
      <c r="L902" s="399"/>
      <c r="M902" s="399"/>
      <c r="N902" s="403"/>
      <c r="O902" s="403"/>
      <c r="P902" s="404"/>
      <c r="Q902" s="404"/>
      <c r="R902" s="404"/>
      <c r="S902" s="404"/>
      <c r="T902" s="404"/>
    </row>
    <row r="903" spans="1:27" ht="24" customHeight="1">
      <c r="A903" s="292" t="s">
        <v>614</v>
      </c>
      <c r="B903" s="215"/>
      <c r="C903" s="215"/>
      <c r="D903" s="215"/>
      <c r="E903" s="215"/>
      <c r="F903" s="215"/>
      <c r="G903" s="215"/>
      <c r="H903" s="215"/>
      <c r="I903" s="215"/>
      <c r="J903" s="215"/>
      <c r="K903" s="215"/>
      <c r="L903" s="399"/>
      <c r="M903" s="399"/>
      <c r="N903" s="403"/>
      <c r="O903" s="403"/>
      <c r="P903" s="404"/>
      <c r="Q903" s="404"/>
      <c r="R903" s="404"/>
      <c r="S903" s="404"/>
      <c r="T903" s="404"/>
      <c r="V903" s="418"/>
      <c r="W903" s="419"/>
      <c r="X903" s="419"/>
      <c r="Y903" s="740"/>
    </row>
    <row r="904" spans="1:27" ht="15" customHeight="1">
      <c r="A904" s="215"/>
      <c r="B904" s="215"/>
      <c r="C904" s="215"/>
      <c r="D904" s="215"/>
      <c r="E904" s="215"/>
      <c r="F904" s="215"/>
      <c r="G904" s="215"/>
      <c r="H904" s="215"/>
      <c r="I904" s="215"/>
      <c r="J904" s="215"/>
      <c r="K904" s="215"/>
      <c r="L904" s="399"/>
      <c r="M904" s="399"/>
      <c r="N904" s="403"/>
      <c r="O904" s="403"/>
      <c r="P904" s="404"/>
      <c r="Q904" s="404"/>
      <c r="R904" s="404"/>
      <c r="S904" s="404"/>
      <c r="T904" s="404"/>
    </row>
    <row r="905" spans="1:27" ht="24" customHeight="1">
      <c r="A905" s="364" t="s">
        <v>1125</v>
      </c>
      <c r="B905" s="215"/>
      <c r="C905" s="215"/>
      <c r="D905" s="364" t="s">
        <v>1126</v>
      </c>
      <c r="E905" s="215"/>
      <c r="F905" s="215"/>
      <c r="G905" s="215"/>
      <c r="H905" s="215"/>
      <c r="I905" s="215"/>
      <c r="J905" s="215"/>
      <c r="K905" s="215"/>
      <c r="L905" s="224">
        <v>642838</v>
      </c>
      <c r="M905" s="224">
        <v>626950</v>
      </c>
      <c r="N905" s="151">
        <v>635000</v>
      </c>
      <c r="O905" s="148">
        <v>622529</v>
      </c>
      <c r="P905" s="147">
        <v>644719</v>
      </c>
      <c r="Q905" s="150">
        <f>ROUND(P905*1.02,0)</f>
        <v>657613</v>
      </c>
      <c r="R905" s="150">
        <f t="shared" ref="R905:T905" si="294">ROUND(Q905*1.02,0)</f>
        <v>670765</v>
      </c>
      <c r="S905" s="150">
        <f t="shared" si="294"/>
        <v>684180</v>
      </c>
      <c r="T905" s="150">
        <f t="shared" si="294"/>
        <v>697864</v>
      </c>
      <c r="V905" s="418"/>
      <c r="W905" s="419"/>
    </row>
    <row r="906" spans="1:27" ht="24" customHeight="1">
      <c r="A906" s="281" t="s">
        <v>491</v>
      </c>
      <c r="B906" s="215"/>
      <c r="C906" s="215"/>
      <c r="D906" s="281" t="s">
        <v>44</v>
      </c>
      <c r="E906" s="615"/>
      <c r="F906" s="615"/>
      <c r="G906" s="615"/>
      <c r="H906" s="615"/>
      <c r="I906" s="615"/>
      <c r="J906" s="615"/>
      <c r="K906" s="615"/>
      <c r="L906" s="224">
        <v>5525</v>
      </c>
      <c r="M906" s="224">
        <v>5783</v>
      </c>
      <c r="N906" s="151">
        <v>5250</v>
      </c>
      <c r="O906" s="151">
        <v>5250</v>
      </c>
      <c r="P906" s="150">
        <v>5250</v>
      </c>
      <c r="Q906" s="150">
        <v>5250</v>
      </c>
      <c r="R906" s="150">
        <v>5250</v>
      </c>
      <c r="S906" s="150">
        <v>5250</v>
      </c>
      <c r="T906" s="150">
        <v>5250</v>
      </c>
    </row>
    <row r="907" spans="1:27" ht="24" customHeight="1">
      <c r="A907" s="281" t="s">
        <v>492</v>
      </c>
      <c r="B907" s="215"/>
      <c r="C907" s="215"/>
      <c r="D907" s="129" t="s">
        <v>43</v>
      </c>
      <c r="E907" s="215"/>
      <c r="F907" s="215"/>
      <c r="G907" s="215"/>
      <c r="H907" s="215"/>
      <c r="I907" s="215"/>
      <c r="J907" s="215"/>
      <c r="K907" s="215"/>
      <c r="L907" s="150">
        <v>17389</v>
      </c>
      <c r="M907" s="150">
        <v>21151</v>
      </c>
      <c r="N907" s="151">
        <v>17200</v>
      </c>
      <c r="O907" s="151">
        <v>17200</v>
      </c>
      <c r="P907" s="150">
        <v>17200</v>
      </c>
      <c r="Q907" s="150">
        <v>17200</v>
      </c>
      <c r="R907" s="150">
        <v>17200</v>
      </c>
      <c r="S907" s="150">
        <v>17200</v>
      </c>
      <c r="T907" s="150">
        <v>17200</v>
      </c>
      <c r="V907" s="153"/>
    </row>
    <row r="908" spans="1:27" ht="24" customHeight="1">
      <c r="A908" s="281" t="s">
        <v>493</v>
      </c>
      <c r="B908" s="282"/>
      <c r="C908" s="282"/>
      <c r="D908" s="281" t="s">
        <v>494</v>
      </c>
      <c r="E908" s="282"/>
      <c r="F908" s="282"/>
      <c r="G908" s="282"/>
      <c r="H908" s="282"/>
      <c r="I908" s="282"/>
      <c r="J908" s="282"/>
      <c r="K908" s="282"/>
      <c r="L908" s="224">
        <v>9680</v>
      </c>
      <c r="M908" s="224">
        <v>8356</v>
      </c>
      <c r="N908" s="151">
        <v>9300</v>
      </c>
      <c r="O908" s="151">
        <v>9300</v>
      </c>
      <c r="P908" s="150">
        <v>9300</v>
      </c>
      <c r="Q908" s="150">
        <v>9300</v>
      </c>
      <c r="R908" s="150">
        <v>9300</v>
      </c>
      <c r="S908" s="150">
        <v>9300</v>
      </c>
      <c r="T908" s="150">
        <v>9300</v>
      </c>
    </row>
    <row r="909" spans="1:27" ht="24" customHeight="1">
      <c r="A909" s="281" t="s">
        <v>495</v>
      </c>
      <c r="B909" s="282"/>
      <c r="C909" s="282"/>
      <c r="D909" s="281" t="s">
        <v>496</v>
      </c>
      <c r="E909" s="282"/>
      <c r="F909" s="282"/>
      <c r="G909" s="282"/>
      <c r="H909" s="282"/>
      <c r="I909" s="282"/>
      <c r="J909" s="282"/>
      <c r="K909" s="282"/>
      <c r="L909" s="224">
        <v>7194</v>
      </c>
      <c r="M909" s="224">
        <v>6647</v>
      </c>
      <c r="N909" s="151">
        <v>7500</v>
      </c>
      <c r="O909" s="151">
        <v>7500</v>
      </c>
      <c r="P909" s="150">
        <v>7500</v>
      </c>
      <c r="Q909" s="150">
        <v>7500</v>
      </c>
      <c r="R909" s="150">
        <v>7500</v>
      </c>
      <c r="S909" s="150">
        <v>7500</v>
      </c>
      <c r="T909" s="150">
        <v>7500</v>
      </c>
    </row>
    <row r="910" spans="1:27" ht="24" customHeight="1">
      <c r="A910" s="281" t="s">
        <v>497</v>
      </c>
      <c r="B910" s="215"/>
      <c r="C910" s="215"/>
      <c r="D910" s="281" t="s">
        <v>498</v>
      </c>
      <c r="E910" s="215"/>
      <c r="F910" s="215"/>
      <c r="G910" s="215"/>
      <c r="H910" s="215"/>
      <c r="I910" s="215"/>
      <c r="J910" s="215"/>
      <c r="K910" s="215"/>
      <c r="L910" s="224">
        <v>2628</v>
      </c>
      <c r="M910" s="224">
        <v>3095</v>
      </c>
      <c r="N910" s="151">
        <v>3000</v>
      </c>
      <c r="O910" s="151">
        <v>3000</v>
      </c>
      <c r="P910" s="150">
        <v>3000</v>
      </c>
      <c r="Q910" s="150">
        <v>3000</v>
      </c>
      <c r="R910" s="150">
        <v>3000</v>
      </c>
      <c r="S910" s="150">
        <v>3000</v>
      </c>
      <c r="T910" s="150">
        <v>3000</v>
      </c>
    </row>
    <row r="911" spans="1:27" ht="24" customHeight="1">
      <c r="A911" s="281" t="s">
        <v>1235</v>
      </c>
      <c r="B911" s="215"/>
      <c r="C911" s="215"/>
      <c r="D911" s="281" t="s">
        <v>428</v>
      </c>
      <c r="E911" s="215"/>
      <c r="F911" s="215"/>
      <c r="G911" s="215"/>
      <c r="H911" s="215"/>
      <c r="I911" s="215"/>
      <c r="J911" s="215"/>
      <c r="K911" s="215"/>
      <c r="L911" s="225">
        <v>885</v>
      </c>
      <c r="M911" s="225">
        <v>1099</v>
      </c>
      <c r="N911" s="157">
        <v>1000</v>
      </c>
      <c r="O911" s="157">
        <f>O948</f>
        <v>1000</v>
      </c>
      <c r="P911" s="154">
        <f t="shared" ref="P911:T911" si="295">P948</f>
        <v>1000</v>
      </c>
      <c r="Q911" s="154">
        <f t="shared" si="295"/>
        <v>1000</v>
      </c>
      <c r="R911" s="154">
        <f t="shared" si="295"/>
        <v>1000</v>
      </c>
      <c r="S911" s="154">
        <f t="shared" si="295"/>
        <v>1000</v>
      </c>
      <c r="T911" s="154">
        <f t="shared" si="295"/>
        <v>1000</v>
      </c>
    </row>
    <row r="912" spans="1:27" ht="24" customHeight="1">
      <c r="A912" s="281" t="s">
        <v>499</v>
      </c>
      <c r="B912" s="282"/>
      <c r="C912" s="282"/>
      <c r="D912" s="770" t="s">
        <v>6</v>
      </c>
      <c r="E912" s="770"/>
      <c r="F912" s="770"/>
      <c r="G912" s="770"/>
      <c r="H912" s="770"/>
      <c r="I912" s="770"/>
      <c r="J912" s="770"/>
      <c r="K912" s="770"/>
      <c r="L912" s="224">
        <v>1313</v>
      </c>
      <c r="M912" s="224">
        <v>816</v>
      </c>
      <c r="N912" s="151">
        <v>1500</v>
      </c>
      <c r="O912" s="151">
        <v>350</v>
      </c>
      <c r="P912" s="150">
        <v>350</v>
      </c>
      <c r="Q912" s="150">
        <v>350</v>
      </c>
      <c r="R912" s="150">
        <v>350</v>
      </c>
      <c r="S912" s="150">
        <v>350</v>
      </c>
      <c r="T912" s="150">
        <v>350</v>
      </c>
    </row>
    <row r="913" spans="1:29" ht="24" customHeight="1">
      <c r="A913" s="281" t="s">
        <v>1384</v>
      </c>
      <c r="B913" s="586"/>
      <c r="C913" s="586"/>
      <c r="D913" s="770" t="s">
        <v>1385</v>
      </c>
      <c r="E913" s="770"/>
      <c r="F913" s="770"/>
      <c r="G913" s="770"/>
      <c r="H913" s="770"/>
      <c r="I913" s="770"/>
      <c r="J913" s="770"/>
      <c r="K913" s="770"/>
      <c r="L913" s="225">
        <v>0</v>
      </c>
      <c r="M913" s="225">
        <v>463</v>
      </c>
      <c r="N913" s="157">
        <v>0</v>
      </c>
      <c r="O913" s="157">
        <v>0</v>
      </c>
      <c r="P913" s="154">
        <v>0</v>
      </c>
      <c r="Q913" s="154">
        <v>0</v>
      </c>
      <c r="R913" s="154">
        <v>0</v>
      </c>
      <c r="S913" s="154">
        <v>0</v>
      </c>
      <c r="T913" s="154">
        <v>0</v>
      </c>
    </row>
    <row r="914" spans="1:29" ht="24" customHeight="1">
      <c r="A914" s="281" t="s">
        <v>1386</v>
      </c>
      <c r="B914" s="586"/>
      <c r="C914" s="586"/>
      <c r="D914" s="586" t="s">
        <v>63</v>
      </c>
      <c r="E914" s="586"/>
      <c r="F914" s="586"/>
      <c r="G914" s="586"/>
      <c r="H914" s="586"/>
      <c r="I914" s="586"/>
      <c r="J914" s="586"/>
      <c r="K914" s="586"/>
      <c r="L914" s="225">
        <v>0</v>
      </c>
      <c r="M914" s="225">
        <v>13174</v>
      </c>
      <c r="N914" s="157">
        <v>0</v>
      </c>
      <c r="O914" s="157">
        <v>0</v>
      </c>
      <c r="P914" s="154">
        <v>0</v>
      </c>
      <c r="Q914" s="154">
        <v>0</v>
      </c>
      <c r="R914" s="154">
        <v>0</v>
      </c>
      <c r="S914" s="154">
        <v>0</v>
      </c>
      <c r="T914" s="154">
        <v>0</v>
      </c>
    </row>
    <row r="915" spans="1:29" ht="24" customHeight="1">
      <c r="A915" s="281" t="s">
        <v>500</v>
      </c>
      <c r="B915" s="215"/>
      <c r="C915" s="215"/>
      <c r="D915" s="281" t="s">
        <v>233</v>
      </c>
      <c r="E915" s="215"/>
      <c r="F915" s="215"/>
      <c r="G915" s="215"/>
      <c r="H915" s="215"/>
      <c r="I915" s="215"/>
      <c r="J915" s="215"/>
      <c r="K915" s="215"/>
      <c r="L915" s="228">
        <v>2098</v>
      </c>
      <c r="M915" s="228">
        <v>1851</v>
      </c>
      <c r="N915" s="159">
        <v>2000</v>
      </c>
      <c r="O915" s="159">
        <v>2000</v>
      </c>
      <c r="P915" s="158">
        <v>2000</v>
      </c>
      <c r="Q915" s="158">
        <v>2000</v>
      </c>
      <c r="R915" s="158">
        <v>2000</v>
      </c>
      <c r="S915" s="158">
        <v>2000</v>
      </c>
      <c r="T915" s="158">
        <v>2000</v>
      </c>
    </row>
    <row r="916" spans="1:29" ht="24" customHeight="1">
      <c r="A916" s="281" t="s">
        <v>501</v>
      </c>
      <c r="B916" s="215"/>
      <c r="C916" s="215"/>
      <c r="D916" s="281" t="s">
        <v>502</v>
      </c>
      <c r="E916" s="302"/>
      <c r="F916" s="302"/>
      <c r="G916" s="302"/>
      <c r="H916" s="302"/>
      <c r="I916" s="302"/>
      <c r="J916" s="302"/>
      <c r="K916" s="302"/>
      <c r="L916" s="228">
        <v>4550</v>
      </c>
      <c r="M916" s="228">
        <v>3923</v>
      </c>
      <c r="N916" s="159">
        <v>5000</v>
      </c>
      <c r="O916" s="159">
        <v>5000</v>
      </c>
      <c r="P916" s="158">
        <v>5000</v>
      </c>
      <c r="Q916" s="158">
        <v>5000</v>
      </c>
      <c r="R916" s="158">
        <v>5000</v>
      </c>
      <c r="S916" s="158">
        <v>5000</v>
      </c>
      <c r="T916" s="158">
        <v>5000</v>
      </c>
    </row>
    <row r="917" spans="1:29" ht="24" customHeight="1">
      <c r="A917" s="281" t="s">
        <v>503</v>
      </c>
      <c r="B917" s="215"/>
      <c r="C917" s="215"/>
      <c r="D917" s="281" t="s">
        <v>7</v>
      </c>
      <c r="E917" s="215"/>
      <c r="F917" s="215"/>
      <c r="G917" s="215"/>
      <c r="H917" s="215"/>
      <c r="I917" s="215"/>
      <c r="J917" s="215"/>
      <c r="K917" s="215"/>
      <c r="L917" s="225">
        <v>1344</v>
      </c>
      <c r="M917" s="225">
        <v>988</v>
      </c>
      <c r="N917" s="157">
        <v>500</v>
      </c>
      <c r="O917" s="157">
        <v>500</v>
      </c>
      <c r="P917" s="154">
        <v>500</v>
      </c>
      <c r="Q917" s="154">
        <v>500</v>
      </c>
      <c r="R917" s="154">
        <v>500</v>
      </c>
      <c r="S917" s="154">
        <v>500</v>
      </c>
      <c r="T917" s="154">
        <v>500</v>
      </c>
    </row>
    <row r="918" spans="1:29" ht="24" customHeight="1">
      <c r="A918" s="281" t="s">
        <v>554</v>
      </c>
      <c r="B918" s="215"/>
      <c r="C918" s="215"/>
      <c r="D918" s="460" t="s">
        <v>271</v>
      </c>
      <c r="E918" s="460"/>
      <c r="F918" s="460"/>
      <c r="G918" s="460"/>
      <c r="H918" s="460"/>
      <c r="I918" s="460"/>
      <c r="J918" s="460"/>
      <c r="K918" s="460"/>
      <c r="L918" s="264">
        <v>45948</v>
      </c>
      <c r="M918" s="264">
        <v>25189</v>
      </c>
      <c r="N918" s="164">
        <v>34168</v>
      </c>
      <c r="O918" s="164">
        <f t="shared" ref="O918:R918" si="296">O931+O930</f>
        <v>31668</v>
      </c>
      <c r="P918" s="163">
        <f t="shared" si="296"/>
        <v>36068</v>
      </c>
      <c r="Q918" s="163">
        <f t="shared" si="296"/>
        <v>37582</v>
      </c>
      <c r="R918" s="163">
        <f t="shared" si="296"/>
        <v>39717</v>
      </c>
      <c r="S918" s="163">
        <f t="shared" ref="S918:T918" si="297">S931+S930</f>
        <v>41980</v>
      </c>
      <c r="T918" s="163">
        <f t="shared" si="297"/>
        <v>44379</v>
      </c>
      <c r="V918" s="149"/>
      <c r="Z918" s="206"/>
      <c r="AA918" s="206"/>
      <c r="AB918" s="206"/>
      <c r="AC918" s="206"/>
    </row>
    <row r="919" spans="1:29" ht="15" customHeight="1">
      <c r="A919" s="215"/>
      <c r="B919" s="215"/>
      <c r="C919" s="215"/>
      <c r="D919" s="215"/>
      <c r="E919" s="215"/>
      <c r="F919" s="215"/>
      <c r="G919" s="215"/>
      <c r="H919" s="215"/>
      <c r="I919" s="215"/>
      <c r="J919" s="215"/>
      <c r="K919" s="215"/>
      <c r="L919" s="231"/>
      <c r="M919" s="231"/>
      <c r="N919" s="166"/>
      <c r="O919" s="166"/>
      <c r="P919" s="165"/>
      <c r="Q919" s="165"/>
      <c r="R919" s="165"/>
      <c r="S919" s="165"/>
      <c r="T919" s="165"/>
    </row>
    <row r="920" spans="1:29" s="215" customFormat="1" ht="24" customHeight="1">
      <c r="K920" s="285" t="s">
        <v>545</v>
      </c>
      <c r="L920" s="233">
        <f t="shared" ref="L920" si="298">SUM(L905:L919)</f>
        <v>741392</v>
      </c>
      <c r="M920" s="233">
        <f t="shared" ref="M920:R920" si="299">SUM(M905:M919)</f>
        <v>719485</v>
      </c>
      <c r="N920" s="234">
        <f t="shared" si="299"/>
        <v>721418</v>
      </c>
      <c r="O920" s="234">
        <f t="shared" si="299"/>
        <v>705297</v>
      </c>
      <c r="P920" s="233">
        <f t="shared" si="299"/>
        <v>731887</v>
      </c>
      <c r="Q920" s="233">
        <f t="shared" si="299"/>
        <v>746295</v>
      </c>
      <c r="R920" s="233">
        <f t="shared" si="299"/>
        <v>761582</v>
      </c>
      <c r="S920" s="233">
        <f t="shared" ref="S920" si="300">SUM(S905:S919)</f>
        <v>777260</v>
      </c>
      <c r="T920" s="233">
        <f>SUM(T905:T919)</f>
        <v>793343</v>
      </c>
      <c r="U920" s="470"/>
    </row>
    <row r="921" spans="1:29" ht="15" customHeight="1">
      <c r="A921" s="215"/>
      <c r="B921" s="215"/>
      <c r="C921" s="215"/>
      <c r="D921" s="215"/>
      <c r="E921" s="215"/>
      <c r="F921" s="215"/>
      <c r="G921" s="215"/>
      <c r="H921" s="215"/>
      <c r="I921" s="215"/>
      <c r="J921" s="215"/>
      <c r="K921" s="215"/>
      <c r="L921" s="231"/>
      <c r="M921" s="231"/>
      <c r="N921" s="166"/>
      <c r="O921" s="166"/>
      <c r="P921" s="165"/>
      <c r="Q921" s="165"/>
      <c r="R921" s="165"/>
      <c r="S921" s="165"/>
      <c r="T921" s="165"/>
    </row>
    <row r="922" spans="1:29" ht="24" customHeight="1">
      <c r="A922" s="281" t="s">
        <v>504</v>
      </c>
      <c r="B922" s="282"/>
      <c r="C922" s="282"/>
      <c r="D922" s="281" t="s">
        <v>933</v>
      </c>
      <c r="E922" s="282"/>
      <c r="F922" s="282"/>
      <c r="G922" s="282"/>
      <c r="H922" s="282"/>
      <c r="I922" s="282"/>
      <c r="J922" s="282"/>
      <c r="K922" s="282"/>
      <c r="L922" s="224">
        <v>245323</v>
      </c>
      <c r="M922" s="224">
        <v>210198</v>
      </c>
      <c r="N922" s="151">
        <v>202860</v>
      </c>
      <c r="O922" s="151">
        <v>202860</v>
      </c>
      <c r="P922" s="150">
        <v>217309</v>
      </c>
      <c r="Q922" s="158">
        <v>224774</v>
      </c>
      <c r="R922" s="158">
        <v>231517</v>
      </c>
      <c r="S922" s="158">
        <v>238463</v>
      </c>
      <c r="T922" s="158">
        <v>245617</v>
      </c>
      <c r="V922" s="418"/>
      <c r="W922" s="419"/>
      <c r="X922" s="419"/>
      <c r="Y922" s="419"/>
    </row>
    <row r="923" spans="1:29" ht="24" customHeight="1">
      <c r="A923" s="281" t="s">
        <v>505</v>
      </c>
      <c r="B923" s="282"/>
      <c r="C923" s="282"/>
      <c r="D923" s="281" t="s">
        <v>72</v>
      </c>
      <c r="E923" s="282"/>
      <c r="F923" s="282"/>
      <c r="G923" s="282"/>
      <c r="H923" s="282"/>
      <c r="I923" s="282"/>
      <c r="J923" s="282"/>
      <c r="K923" s="282"/>
      <c r="L923" s="226">
        <v>169202</v>
      </c>
      <c r="M923" s="226">
        <v>189871</v>
      </c>
      <c r="N923" s="156">
        <v>195000</v>
      </c>
      <c r="O923" s="156">
        <v>195000</v>
      </c>
      <c r="P923" s="150">
        <v>201825</v>
      </c>
      <c r="Q923" s="158">
        <v>208758</v>
      </c>
      <c r="R923" s="158">
        <v>215021</v>
      </c>
      <c r="S923" s="158">
        <v>221472</v>
      </c>
      <c r="T923" s="158">
        <v>228116</v>
      </c>
      <c r="V923" s="418"/>
      <c r="W923" s="419"/>
      <c r="X923" s="419"/>
      <c r="Y923" s="419"/>
    </row>
    <row r="924" spans="1:29" ht="24" customHeight="1">
      <c r="A924" s="281" t="s">
        <v>506</v>
      </c>
      <c r="B924" s="282"/>
      <c r="C924" s="282"/>
      <c r="D924" s="281" t="s">
        <v>8</v>
      </c>
      <c r="E924" s="282"/>
      <c r="F924" s="282"/>
      <c r="G924" s="282"/>
      <c r="H924" s="282"/>
      <c r="I924" s="282"/>
      <c r="J924" s="282"/>
      <c r="K924" s="282"/>
      <c r="L924" s="225">
        <v>27138</v>
      </c>
      <c r="M924" s="225">
        <v>23897</v>
      </c>
      <c r="N924" s="151">
        <v>22569</v>
      </c>
      <c r="O924" s="148">
        <v>22569</v>
      </c>
      <c r="P924" s="150">
        <v>23470</v>
      </c>
      <c r="Q924" s="150">
        <v>25175</v>
      </c>
      <c r="R924" s="150">
        <v>25930</v>
      </c>
      <c r="S924" s="150">
        <v>26708</v>
      </c>
      <c r="T924" s="150">
        <v>27509</v>
      </c>
      <c r="V924" s="418"/>
      <c r="W924" s="419"/>
      <c r="X924" s="419"/>
      <c r="Y924" s="419"/>
    </row>
    <row r="925" spans="1:29" ht="24" customHeight="1">
      <c r="A925" s="281" t="s">
        <v>507</v>
      </c>
      <c r="B925" s="215"/>
      <c r="C925" s="215"/>
      <c r="D925" s="281" t="s">
        <v>9</v>
      </c>
      <c r="E925" s="215"/>
      <c r="F925" s="215"/>
      <c r="G925" s="215"/>
      <c r="H925" s="215"/>
      <c r="I925" s="215"/>
      <c r="J925" s="215"/>
      <c r="K925" s="215"/>
      <c r="L925" s="224">
        <v>30993</v>
      </c>
      <c r="M925" s="224">
        <v>29991</v>
      </c>
      <c r="N925" s="151">
        <v>29849</v>
      </c>
      <c r="O925" s="151">
        <v>29849</v>
      </c>
      <c r="P925" s="150">
        <v>31448</v>
      </c>
      <c r="Q925" s="150">
        <v>32528</v>
      </c>
      <c r="R925" s="150">
        <v>33504</v>
      </c>
      <c r="S925" s="150">
        <v>34509</v>
      </c>
      <c r="T925" s="150">
        <v>35544</v>
      </c>
      <c r="U925" s="331"/>
      <c r="V925" s="418"/>
      <c r="W925" s="419"/>
      <c r="X925" s="419"/>
      <c r="Y925" s="419"/>
    </row>
    <row r="926" spans="1:29" ht="24" customHeight="1">
      <c r="A926" s="281" t="s">
        <v>508</v>
      </c>
      <c r="B926" s="282"/>
      <c r="C926" s="282"/>
      <c r="D926" s="281" t="s">
        <v>13</v>
      </c>
      <c r="E926" s="282"/>
      <c r="F926" s="282"/>
      <c r="G926" s="282"/>
      <c r="H926" s="282"/>
      <c r="I926" s="282"/>
      <c r="J926" s="282"/>
      <c r="K926" s="282"/>
      <c r="L926" s="224">
        <v>81269</v>
      </c>
      <c r="M926" s="224">
        <v>72838</v>
      </c>
      <c r="N926" s="156">
        <v>78823</v>
      </c>
      <c r="O926" s="156">
        <f>ROUND(26530.23+(7*(5174.15-670.32))+14500,0)</f>
        <v>72557</v>
      </c>
      <c r="P926" s="155">
        <v>83960</v>
      </c>
      <c r="Q926" s="155">
        <v>90677</v>
      </c>
      <c r="R926" s="155">
        <v>97931</v>
      </c>
      <c r="S926" s="155">
        <v>105765</v>
      </c>
      <c r="T926" s="155">
        <v>114226</v>
      </c>
      <c r="V926" s="418"/>
      <c r="W926" s="419"/>
      <c r="X926" s="418"/>
      <c r="Y926" s="419"/>
      <c r="AA926" s="149"/>
    </row>
    <row r="927" spans="1:29" ht="24" customHeight="1">
      <c r="A927" s="281" t="s">
        <v>509</v>
      </c>
      <c r="B927" s="215"/>
      <c r="C927" s="215"/>
      <c r="D927" s="281" t="s">
        <v>182</v>
      </c>
      <c r="E927" s="215"/>
      <c r="F927" s="215"/>
      <c r="G927" s="215"/>
      <c r="H927" s="215"/>
      <c r="I927" s="215"/>
      <c r="J927" s="215"/>
      <c r="K927" s="215"/>
      <c r="L927" s="224">
        <v>525</v>
      </c>
      <c r="M927" s="224">
        <v>427</v>
      </c>
      <c r="N927" s="156">
        <v>418</v>
      </c>
      <c r="O927" s="156">
        <f>ROUND(147.68+(8*(36.92)),0)</f>
        <v>443</v>
      </c>
      <c r="P927" s="155">
        <v>403</v>
      </c>
      <c r="Q927" s="155">
        <v>403</v>
      </c>
      <c r="R927" s="155">
        <v>407</v>
      </c>
      <c r="S927" s="155">
        <v>411</v>
      </c>
      <c r="T927" s="155">
        <v>415</v>
      </c>
      <c r="V927" s="418"/>
      <c r="W927" s="419"/>
      <c r="X927" s="418"/>
      <c r="Y927" s="419"/>
      <c r="AA927" s="149"/>
    </row>
    <row r="928" spans="1:29" ht="24" customHeight="1">
      <c r="A928" s="281" t="s">
        <v>510</v>
      </c>
      <c r="B928" s="215"/>
      <c r="C928" s="215"/>
      <c r="D928" s="281" t="s">
        <v>600</v>
      </c>
      <c r="E928" s="215"/>
      <c r="F928" s="215"/>
      <c r="G928" s="215"/>
      <c r="H928" s="215"/>
      <c r="I928" s="215"/>
      <c r="J928" s="215"/>
      <c r="K928" s="215"/>
      <c r="L928" s="225">
        <v>5092</v>
      </c>
      <c r="M928" s="225">
        <v>4728</v>
      </c>
      <c r="N928" s="156">
        <v>4690</v>
      </c>
      <c r="O928" s="156">
        <f>ROUND(1712.28+(8*428.07),0)</f>
        <v>5137</v>
      </c>
      <c r="P928" s="155">
        <v>5638</v>
      </c>
      <c r="Q928" s="155">
        <v>5920</v>
      </c>
      <c r="R928" s="155">
        <v>6216</v>
      </c>
      <c r="S928" s="155">
        <v>6527</v>
      </c>
      <c r="T928" s="155">
        <v>6853</v>
      </c>
      <c r="V928" s="418"/>
      <c r="W928" s="419"/>
      <c r="X928" s="418"/>
      <c r="Y928" s="419"/>
      <c r="AA928" s="149"/>
    </row>
    <row r="929" spans="1:27" ht="24" customHeight="1">
      <c r="A929" s="281" t="s">
        <v>610</v>
      </c>
      <c r="B929" s="215"/>
      <c r="C929" s="215"/>
      <c r="D929" s="281" t="s">
        <v>602</v>
      </c>
      <c r="E929" s="215"/>
      <c r="F929" s="215"/>
      <c r="G929" s="215"/>
      <c r="H929" s="215"/>
      <c r="I929" s="215"/>
      <c r="J929" s="215"/>
      <c r="K929" s="215"/>
      <c r="L929" s="225">
        <v>643</v>
      </c>
      <c r="M929" s="225">
        <v>455</v>
      </c>
      <c r="N929" s="156">
        <v>496</v>
      </c>
      <c r="O929" s="156">
        <f>ROUND(216.96+(8*54.24),0)</f>
        <v>651</v>
      </c>
      <c r="P929" s="155">
        <v>651</v>
      </c>
      <c r="Q929" s="155">
        <v>671</v>
      </c>
      <c r="R929" s="155">
        <v>691</v>
      </c>
      <c r="S929" s="155">
        <v>712</v>
      </c>
      <c r="T929" s="155">
        <v>733</v>
      </c>
      <c r="V929" s="418"/>
      <c r="W929" s="419"/>
      <c r="X929" s="418"/>
      <c r="Y929" s="419"/>
      <c r="AA929" s="149"/>
    </row>
    <row r="930" spans="1:27" ht="24" customHeight="1">
      <c r="A930" s="281" t="s">
        <v>704</v>
      </c>
      <c r="B930" s="215"/>
      <c r="C930" s="215"/>
      <c r="D930" s="281" t="s">
        <v>181</v>
      </c>
      <c r="E930" s="215"/>
      <c r="F930" s="215"/>
      <c r="G930" s="215"/>
      <c r="H930" s="215"/>
      <c r="I930" s="215"/>
      <c r="J930" s="215"/>
      <c r="K930" s="215"/>
      <c r="L930" s="225">
        <v>681</v>
      </c>
      <c r="M930" s="225">
        <v>0</v>
      </c>
      <c r="N930" s="148">
        <v>2500</v>
      </c>
      <c r="O930" s="148">
        <v>0</v>
      </c>
      <c r="P930" s="147">
        <v>2500</v>
      </c>
      <c r="Q930" s="147">
        <v>2000</v>
      </c>
      <c r="R930" s="147">
        <v>2000</v>
      </c>
      <c r="S930" s="147">
        <v>2000</v>
      </c>
      <c r="T930" s="147">
        <v>2000</v>
      </c>
      <c r="V930" s="149"/>
    </row>
    <row r="931" spans="1:27" ht="24" customHeight="1">
      <c r="A931" s="281" t="s">
        <v>688</v>
      </c>
      <c r="B931" s="215"/>
      <c r="C931" s="215"/>
      <c r="D931" s="281" t="s">
        <v>239</v>
      </c>
      <c r="E931" s="215"/>
      <c r="F931" s="215"/>
      <c r="G931" s="215"/>
      <c r="H931" s="215"/>
      <c r="I931" s="215"/>
      <c r="J931" s="215"/>
      <c r="K931" s="215"/>
      <c r="L931" s="225">
        <v>23777</v>
      </c>
      <c r="M931" s="225">
        <v>25189</v>
      </c>
      <c r="N931" s="151">
        <v>31668</v>
      </c>
      <c r="O931" s="148">
        <v>31668</v>
      </c>
      <c r="P931" s="150">
        <f>ROUND(O931*1.06,0)</f>
        <v>33568</v>
      </c>
      <c r="Q931" s="150">
        <f>ROUND(P931*1.06,0)</f>
        <v>35582</v>
      </c>
      <c r="R931" s="150">
        <f t="shared" ref="R931:T931" si="301">ROUND(Q931*1.06,0)</f>
        <v>37717</v>
      </c>
      <c r="S931" s="150">
        <f t="shared" si="301"/>
        <v>39980</v>
      </c>
      <c r="T931" s="150">
        <f t="shared" si="301"/>
        <v>42379</v>
      </c>
      <c r="V931" s="418"/>
      <c r="W931" s="419"/>
      <c r="X931" s="727"/>
    </row>
    <row r="932" spans="1:27" ht="24" customHeight="1">
      <c r="A932" s="281" t="s">
        <v>511</v>
      </c>
      <c r="B932" s="282"/>
      <c r="C932" s="282"/>
      <c r="D932" s="281" t="s">
        <v>95</v>
      </c>
      <c r="E932" s="282"/>
      <c r="F932" s="282"/>
      <c r="G932" s="282"/>
      <c r="H932" s="282"/>
      <c r="I932" s="282"/>
      <c r="J932" s="282"/>
      <c r="K932" s="282"/>
      <c r="L932" s="224">
        <v>232</v>
      </c>
      <c r="M932" s="224">
        <v>133</v>
      </c>
      <c r="N932" s="151">
        <v>500</v>
      </c>
      <c r="O932" s="151">
        <v>500</v>
      </c>
      <c r="P932" s="150">
        <v>500</v>
      </c>
      <c r="Q932" s="150">
        <v>500</v>
      </c>
      <c r="R932" s="150">
        <v>500</v>
      </c>
      <c r="S932" s="150">
        <v>500</v>
      </c>
      <c r="T932" s="150">
        <v>500</v>
      </c>
    </row>
    <row r="933" spans="1:27" ht="24" customHeight="1">
      <c r="A933" s="281" t="s">
        <v>512</v>
      </c>
      <c r="B933" s="282"/>
      <c r="C933" s="282"/>
      <c r="D933" s="281" t="s">
        <v>1075</v>
      </c>
      <c r="E933" s="282"/>
      <c r="F933" s="282"/>
      <c r="G933" s="282"/>
      <c r="H933" s="282"/>
      <c r="I933" s="282"/>
      <c r="J933" s="282"/>
      <c r="K933" s="282"/>
      <c r="L933" s="225">
        <v>541</v>
      </c>
      <c r="M933" s="225">
        <v>514</v>
      </c>
      <c r="N933" s="148">
        <v>600</v>
      </c>
      <c r="O933" s="148">
        <v>600</v>
      </c>
      <c r="P933" s="147">
        <v>600</v>
      </c>
      <c r="Q933" s="147">
        <v>600</v>
      </c>
      <c r="R933" s="147">
        <v>600</v>
      </c>
      <c r="S933" s="147">
        <v>600</v>
      </c>
      <c r="T933" s="147">
        <v>600</v>
      </c>
    </row>
    <row r="934" spans="1:27" ht="24" customHeight="1">
      <c r="A934" s="281" t="s">
        <v>513</v>
      </c>
      <c r="B934" s="282"/>
      <c r="C934" s="282"/>
      <c r="D934" s="281" t="s">
        <v>94</v>
      </c>
      <c r="E934" s="282"/>
      <c r="F934" s="282"/>
      <c r="G934" s="282"/>
      <c r="H934" s="282"/>
      <c r="I934" s="282"/>
      <c r="J934" s="282"/>
      <c r="K934" s="282"/>
      <c r="L934" s="224">
        <v>46</v>
      </c>
      <c r="M934" s="224">
        <v>47</v>
      </c>
      <c r="N934" s="151">
        <v>100</v>
      </c>
      <c r="O934" s="151">
        <v>100</v>
      </c>
      <c r="P934" s="150">
        <v>100</v>
      </c>
      <c r="Q934" s="150">
        <v>100</v>
      </c>
      <c r="R934" s="150">
        <v>100</v>
      </c>
      <c r="S934" s="150">
        <v>100</v>
      </c>
      <c r="T934" s="150">
        <v>100</v>
      </c>
    </row>
    <row r="935" spans="1:27" ht="24" customHeight="1">
      <c r="A935" s="281" t="s">
        <v>514</v>
      </c>
      <c r="B935" s="215"/>
      <c r="C935" s="215"/>
      <c r="D935" s="281" t="s">
        <v>234</v>
      </c>
      <c r="E935" s="215"/>
      <c r="F935" s="215"/>
      <c r="G935" s="215"/>
      <c r="H935" s="215"/>
      <c r="I935" s="215"/>
      <c r="J935" s="215"/>
      <c r="K935" s="215"/>
      <c r="L935" s="224">
        <v>11941</v>
      </c>
      <c r="M935" s="224">
        <v>11468</v>
      </c>
      <c r="N935" s="151">
        <v>11000</v>
      </c>
      <c r="O935" s="151">
        <v>11000</v>
      </c>
      <c r="P935" s="150">
        <v>6000</v>
      </c>
      <c r="Q935" s="150">
        <v>6000</v>
      </c>
      <c r="R935" s="150">
        <v>6000</v>
      </c>
      <c r="S935" s="150">
        <v>6000</v>
      </c>
      <c r="T935" s="150">
        <v>6000</v>
      </c>
    </row>
    <row r="936" spans="1:27" ht="24" customHeight="1">
      <c r="A936" s="281" t="s">
        <v>515</v>
      </c>
      <c r="B936" s="282"/>
      <c r="C936" s="282"/>
      <c r="D936" s="281" t="s">
        <v>93</v>
      </c>
      <c r="E936" s="282"/>
      <c r="F936" s="282"/>
      <c r="G936" s="282"/>
      <c r="H936" s="282"/>
      <c r="I936" s="282"/>
      <c r="J936" s="282"/>
      <c r="K936" s="282"/>
      <c r="L936" s="224">
        <v>509</v>
      </c>
      <c r="M936" s="224">
        <v>455</v>
      </c>
      <c r="N936" s="151">
        <v>500</v>
      </c>
      <c r="O936" s="151">
        <v>500</v>
      </c>
      <c r="P936" s="150">
        <v>500</v>
      </c>
      <c r="Q936" s="150">
        <v>500</v>
      </c>
      <c r="R936" s="150">
        <v>500</v>
      </c>
      <c r="S936" s="150">
        <v>500</v>
      </c>
      <c r="T936" s="150">
        <v>500</v>
      </c>
    </row>
    <row r="937" spans="1:27" ht="24" customHeight="1">
      <c r="A937" s="281" t="s">
        <v>516</v>
      </c>
      <c r="B937" s="215"/>
      <c r="C937" s="215"/>
      <c r="D937" s="281" t="s">
        <v>1077</v>
      </c>
      <c r="E937" s="215"/>
      <c r="F937" s="215"/>
      <c r="G937" s="215"/>
      <c r="H937" s="215"/>
      <c r="I937" s="215"/>
      <c r="J937" s="215"/>
      <c r="K937" s="215"/>
      <c r="L937" s="224">
        <v>8515</v>
      </c>
      <c r="M937" s="224">
        <v>9934</v>
      </c>
      <c r="N937" s="151">
        <v>12000</v>
      </c>
      <c r="O937" s="151">
        <v>12000</v>
      </c>
      <c r="P937" s="150">
        <v>12000</v>
      </c>
      <c r="Q937" s="150">
        <v>12000</v>
      </c>
      <c r="R937" s="150">
        <v>12000</v>
      </c>
      <c r="S937" s="150">
        <v>12000</v>
      </c>
      <c r="T937" s="150">
        <v>12000</v>
      </c>
    </row>
    <row r="938" spans="1:27" ht="24" customHeight="1">
      <c r="A938" s="281" t="s">
        <v>517</v>
      </c>
      <c r="B938" s="215"/>
      <c r="C938" s="215"/>
      <c r="D938" s="281" t="s">
        <v>10</v>
      </c>
      <c r="E938" s="215"/>
      <c r="F938" s="215"/>
      <c r="G938" s="215"/>
      <c r="H938" s="215"/>
      <c r="I938" s="215"/>
      <c r="J938" s="215"/>
      <c r="K938" s="215"/>
      <c r="L938" s="224">
        <v>35891</v>
      </c>
      <c r="M938" s="224">
        <v>28610</v>
      </c>
      <c r="N938" s="151">
        <v>29000</v>
      </c>
      <c r="O938" s="151">
        <v>29000</v>
      </c>
      <c r="P938" s="150">
        <v>29000</v>
      </c>
      <c r="Q938" s="150">
        <v>29000</v>
      </c>
      <c r="R938" s="150">
        <v>29000</v>
      </c>
      <c r="S938" s="150">
        <v>29000</v>
      </c>
      <c r="T938" s="150">
        <v>29000</v>
      </c>
    </row>
    <row r="939" spans="1:27" ht="24" customHeight="1">
      <c r="A939" s="281" t="s">
        <v>518</v>
      </c>
      <c r="B939" s="215"/>
      <c r="C939" s="215"/>
      <c r="D939" s="281" t="s">
        <v>134</v>
      </c>
      <c r="E939" s="215"/>
      <c r="F939" s="215"/>
      <c r="G939" s="282"/>
      <c r="H939" s="282"/>
      <c r="I939" s="282"/>
      <c r="J939" s="282"/>
      <c r="K939" s="282"/>
      <c r="L939" s="224">
        <v>0</v>
      </c>
      <c r="M939" s="224">
        <v>975</v>
      </c>
      <c r="N939" s="151">
        <v>2000</v>
      </c>
      <c r="O939" s="151">
        <v>2000</v>
      </c>
      <c r="P939" s="150">
        <v>2000</v>
      </c>
      <c r="Q939" s="150">
        <v>2000</v>
      </c>
      <c r="R939" s="150">
        <v>2000</v>
      </c>
      <c r="S939" s="150">
        <v>2000</v>
      </c>
      <c r="T939" s="150">
        <v>2000</v>
      </c>
    </row>
    <row r="940" spans="1:27" ht="24" customHeight="1">
      <c r="A940" s="281" t="s">
        <v>519</v>
      </c>
      <c r="B940" s="215"/>
      <c r="C940" s="215"/>
      <c r="D940" s="281" t="s">
        <v>520</v>
      </c>
      <c r="E940" s="215"/>
      <c r="F940" s="215"/>
      <c r="G940" s="302"/>
      <c r="H940" s="302"/>
      <c r="I940" s="302"/>
      <c r="J940" s="302"/>
      <c r="K940" s="302"/>
      <c r="L940" s="224">
        <v>14283</v>
      </c>
      <c r="M940" s="224">
        <v>24923</v>
      </c>
      <c r="N940" s="151">
        <v>35000</v>
      </c>
      <c r="O940" s="151">
        <v>35000</v>
      </c>
      <c r="P940" s="150">
        <v>35000</v>
      </c>
      <c r="Q940" s="150">
        <v>35000</v>
      </c>
      <c r="R940" s="150">
        <v>35000</v>
      </c>
      <c r="S940" s="150">
        <v>35000</v>
      </c>
      <c r="T940" s="150">
        <v>35000</v>
      </c>
    </row>
    <row r="941" spans="1:27" ht="24" customHeight="1">
      <c r="A941" s="281" t="s">
        <v>521</v>
      </c>
      <c r="B941" s="282"/>
      <c r="C941" s="282"/>
      <c r="D941" s="281" t="s">
        <v>17</v>
      </c>
      <c r="E941" s="282"/>
      <c r="F941" s="282"/>
      <c r="G941" s="282"/>
      <c r="H941" s="282"/>
      <c r="I941" s="282"/>
      <c r="J941" s="282"/>
      <c r="K941" s="282"/>
      <c r="L941" s="225">
        <v>17260</v>
      </c>
      <c r="M941" s="225">
        <v>11518</v>
      </c>
      <c r="N941" s="151">
        <v>15359</v>
      </c>
      <c r="O941" s="148">
        <v>15359</v>
      </c>
      <c r="P941" s="150">
        <f>ROUND(O941*1.06,0)</f>
        <v>16281</v>
      </c>
      <c r="Q941" s="150">
        <f t="shared" ref="Q941:T941" si="302">ROUND(P941*1.06,0)</f>
        <v>17258</v>
      </c>
      <c r="R941" s="150">
        <f t="shared" si="302"/>
        <v>18293</v>
      </c>
      <c r="S941" s="150">
        <f t="shared" si="302"/>
        <v>19391</v>
      </c>
      <c r="T941" s="150">
        <f t="shared" si="302"/>
        <v>20554</v>
      </c>
      <c r="V941" s="152"/>
    </row>
    <row r="942" spans="1:27" ht="24" customHeight="1">
      <c r="A942" s="281" t="s">
        <v>1360</v>
      </c>
      <c r="B942" s="284"/>
      <c r="C942" s="284"/>
      <c r="D942" s="281" t="s">
        <v>1354</v>
      </c>
      <c r="E942" s="284"/>
      <c r="F942" s="284"/>
      <c r="G942" s="284"/>
      <c r="H942" s="284"/>
      <c r="I942" s="284"/>
      <c r="J942" s="284"/>
      <c r="K942" s="284"/>
      <c r="L942" s="225">
        <v>0</v>
      </c>
      <c r="M942" s="225">
        <v>9300</v>
      </c>
      <c r="N942" s="157">
        <v>0</v>
      </c>
      <c r="O942" s="157">
        <v>0</v>
      </c>
      <c r="P942" s="154">
        <v>0</v>
      </c>
      <c r="Q942" s="154">
        <v>0</v>
      </c>
      <c r="R942" s="154">
        <v>0</v>
      </c>
      <c r="S942" s="154">
        <v>0</v>
      </c>
      <c r="T942" s="154">
        <v>0</v>
      </c>
      <c r="V942" s="152"/>
    </row>
    <row r="943" spans="1:27" ht="24" customHeight="1">
      <c r="A943" s="281" t="s">
        <v>522</v>
      </c>
      <c r="B943" s="282"/>
      <c r="C943" s="282"/>
      <c r="D943" s="281" t="s">
        <v>1079</v>
      </c>
      <c r="E943" s="282"/>
      <c r="F943" s="282"/>
      <c r="G943" s="282"/>
      <c r="H943" s="282"/>
      <c r="I943" s="282"/>
      <c r="J943" s="282"/>
      <c r="K943" s="282"/>
      <c r="L943" s="241">
        <v>4959</v>
      </c>
      <c r="M943" s="241">
        <v>46085</v>
      </c>
      <c r="N943" s="187">
        <v>20000</v>
      </c>
      <c r="O943" s="187">
        <v>20000</v>
      </c>
      <c r="P943" s="179">
        <v>25000</v>
      </c>
      <c r="Q943" s="179">
        <v>25000</v>
      </c>
      <c r="R943" s="179">
        <v>25000</v>
      </c>
      <c r="S943" s="179">
        <v>25000</v>
      </c>
      <c r="T943" s="179">
        <v>25000</v>
      </c>
    </row>
    <row r="944" spans="1:27" ht="24" customHeight="1">
      <c r="A944" s="281" t="s">
        <v>714</v>
      </c>
      <c r="B944" s="282"/>
      <c r="C944" s="282"/>
      <c r="D944" s="281" t="s">
        <v>312</v>
      </c>
      <c r="E944" s="282"/>
      <c r="F944" s="282"/>
      <c r="G944" s="282"/>
      <c r="H944" s="282"/>
      <c r="I944" s="282"/>
      <c r="J944" s="282"/>
      <c r="K944" s="282"/>
      <c r="L944" s="241">
        <v>562</v>
      </c>
      <c r="M944" s="241">
        <v>1689</v>
      </c>
      <c r="N944" s="187">
        <v>2190</v>
      </c>
      <c r="O944" s="187">
        <v>2190</v>
      </c>
      <c r="P944" s="179">
        <v>2190</v>
      </c>
      <c r="Q944" s="179">
        <v>2190</v>
      </c>
      <c r="R944" s="179">
        <v>2190</v>
      </c>
      <c r="S944" s="179">
        <v>2190</v>
      </c>
      <c r="T944" s="179">
        <v>2190</v>
      </c>
    </row>
    <row r="945" spans="1:22" ht="24" customHeight="1">
      <c r="A945" s="281" t="s">
        <v>523</v>
      </c>
      <c r="B945" s="282"/>
      <c r="C945" s="282"/>
      <c r="D945" s="281" t="s">
        <v>11</v>
      </c>
      <c r="E945" s="282"/>
      <c r="F945" s="282"/>
      <c r="G945" s="282"/>
      <c r="H945" s="282"/>
      <c r="I945" s="282"/>
      <c r="J945" s="282"/>
      <c r="K945" s="282"/>
      <c r="L945" s="225">
        <v>5807</v>
      </c>
      <c r="M945" s="225">
        <v>5257</v>
      </c>
      <c r="N945" s="148">
        <v>8000</v>
      </c>
      <c r="O945" s="148">
        <v>8000</v>
      </c>
      <c r="P945" s="147">
        <v>8000</v>
      </c>
      <c r="Q945" s="147">
        <v>8000</v>
      </c>
      <c r="R945" s="147">
        <v>8000</v>
      </c>
      <c r="S945" s="147">
        <v>8000</v>
      </c>
      <c r="T945" s="147">
        <v>8000</v>
      </c>
    </row>
    <row r="946" spans="1:22" ht="24" customHeight="1">
      <c r="A946" s="281" t="s">
        <v>524</v>
      </c>
      <c r="B946" s="282"/>
      <c r="C946" s="282"/>
      <c r="D946" s="281" t="s">
        <v>12</v>
      </c>
      <c r="E946" s="282"/>
      <c r="F946" s="282"/>
      <c r="G946" s="282"/>
      <c r="H946" s="282"/>
      <c r="I946" s="282"/>
      <c r="J946" s="282"/>
      <c r="K946" s="282"/>
      <c r="L946" s="224">
        <v>6772</v>
      </c>
      <c r="M946" s="224">
        <v>9338</v>
      </c>
      <c r="N946" s="151">
        <v>8000</v>
      </c>
      <c r="O946" s="151">
        <v>8000</v>
      </c>
      <c r="P946" s="150">
        <v>8000</v>
      </c>
      <c r="Q946" s="150">
        <v>8000</v>
      </c>
      <c r="R946" s="150">
        <v>8000</v>
      </c>
      <c r="S946" s="150">
        <v>8000</v>
      </c>
      <c r="T946" s="150">
        <v>8000</v>
      </c>
      <c r="V946" s="152"/>
    </row>
    <row r="947" spans="1:22" ht="24" customHeight="1">
      <c r="A947" s="281" t="s">
        <v>525</v>
      </c>
      <c r="B947" s="282"/>
      <c r="C947" s="282"/>
      <c r="D947" s="281" t="s">
        <v>243</v>
      </c>
      <c r="E947" s="282"/>
      <c r="F947" s="282"/>
      <c r="G947" s="282"/>
      <c r="H947" s="282"/>
      <c r="I947" s="282"/>
      <c r="J947" s="282"/>
      <c r="K947" s="282"/>
      <c r="L947" s="225">
        <v>0</v>
      </c>
      <c r="M947" s="225">
        <v>0</v>
      </c>
      <c r="N947" s="148">
        <v>0</v>
      </c>
      <c r="O947" s="148">
        <v>0</v>
      </c>
      <c r="P947" s="147">
        <v>0</v>
      </c>
      <c r="Q947" s="147">
        <v>0</v>
      </c>
      <c r="R947" s="147">
        <v>0</v>
      </c>
      <c r="S947" s="147">
        <v>0</v>
      </c>
      <c r="T947" s="147">
        <v>0</v>
      </c>
      <c r="V947" s="149"/>
    </row>
    <row r="948" spans="1:22" ht="24" customHeight="1">
      <c r="A948" s="281" t="s">
        <v>526</v>
      </c>
      <c r="B948" s="282"/>
      <c r="C948" s="282"/>
      <c r="D948" s="281" t="s">
        <v>527</v>
      </c>
      <c r="E948" s="282"/>
      <c r="F948" s="282"/>
      <c r="G948" s="282"/>
      <c r="H948" s="282"/>
      <c r="I948" s="282"/>
      <c r="J948" s="282"/>
      <c r="K948" s="282"/>
      <c r="L948" s="226">
        <v>731</v>
      </c>
      <c r="M948" s="226">
        <v>1209</v>
      </c>
      <c r="N948" s="156">
        <v>1000</v>
      </c>
      <c r="O948" s="156">
        <v>1000</v>
      </c>
      <c r="P948" s="155">
        <v>1000</v>
      </c>
      <c r="Q948" s="155">
        <v>1000</v>
      </c>
      <c r="R948" s="155">
        <v>1000</v>
      </c>
      <c r="S948" s="155">
        <v>1000</v>
      </c>
      <c r="T948" s="155">
        <v>1000</v>
      </c>
      <c r="V948" s="149"/>
    </row>
    <row r="949" spans="1:22" ht="24" customHeight="1">
      <c r="A949" s="281" t="s">
        <v>528</v>
      </c>
      <c r="B949" s="215"/>
      <c r="C949" s="215"/>
      <c r="D949" s="281" t="s">
        <v>529</v>
      </c>
      <c r="E949" s="540"/>
      <c r="F949" s="540"/>
      <c r="G949" s="540"/>
      <c r="H949" s="540"/>
      <c r="I949" s="540"/>
      <c r="J949" s="540"/>
      <c r="K949" s="540"/>
      <c r="L949" s="225">
        <v>0</v>
      </c>
      <c r="M949" s="225">
        <v>0</v>
      </c>
      <c r="N949" s="148">
        <v>0</v>
      </c>
      <c r="O949" s="148">
        <v>0</v>
      </c>
      <c r="P949" s="147">
        <v>0</v>
      </c>
      <c r="Q949" s="147">
        <v>0</v>
      </c>
      <c r="R949" s="147">
        <v>0</v>
      </c>
      <c r="S949" s="147">
        <v>0</v>
      </c>
      <c r="T949" s="147">
        <v>0</v>
      </c>
    </row>
    <row r="950" spans="1:22" ht="24" customHeight="1">
      <c r="A950" s="687" t="s">
        <v>1415</v>
      </c>
      <c r="B950" s="215"/>
      <c r="C950" s="215"/>
      <c r="D950" s="687" t="s">
        <v>914</v>
      </c>
      <c r="E950" s="215"/>
      <c r="F950" s="215"/>
      <c r="G950" s="215"/>
      <c r="H950" s="215"/>
      <c r="I950" s="215"/>
      <c r="J950" s="215"/>
      <c r="K950" s="215"/>
      <c r="L950" s="226">
        <v>0</v>
      </c>
      <c r="M950" s="226">
        <v>0</v>
      </c>
      <c r="N950" s="156">
        <v>0</v>
      </c>
      <c r="O950" s="156">
        <v>0</v>
      </c>
      <c r="P950" s="155">
        <v>5000</v>
      </c>
      <c r="Q950" s="155">
        <v>5000</v>
      </c>
      <c r="R950" s="155">
        <v>5000</v>
      </c>
      <c r="S950" s="155">
        <v>5000</v>
      </c>
      <c r="T950" s="155">
        <v>5000</v>
      </c>
    </row>
    <row r="951" spans="1:22" ht="24" customHeight="1">
      <c r="A951" s="281" t="s">
        <v>531</v>
      </c>
      <c r="B951" s="215"/>
      <c r="C951" s="215"/>
      <c r="D951" s="281" t="s">
        <v>1085</v>
      </c>
      <c r="E951" s="215"/>
      <c r="F951" s="215"/>
      <c r="G951" s="215"/>
      <c r="H951" s="215"/>
      <c r="I951" s="215"/>
      <c r="J951" s="215"/>
      <c r="K951" s="215"/>
      <c r="L951" s="226">
        <v>0</v>
      </c>
      <c r="M951" s="226">
        <v>0</v>
      </c>
      <c r="N951" s="156">
        <v>0</v>
      </c>
      <c r="O951" s="156">
        <v>0</v>
      </c>
      <c r="P951" s="155">
        <v>0</v>
      </c>
      <c r="Q951" s="155">
        <v>0</v>
      </c>
      <c r="R951" s="155">
        <v>0</v>
      </c>
      <c r="S951" s="155">
        <v>0</v>
      </c>
      <c r="T951" s="155">
        <v>0</v>
      </c>
    </row>
    <row r="952" spans="1:22" ht="24" customHeight="1">
      <c r="A952" s="281" t="s">
        <v>532</v>
      </c>
      <c r="B952" s="215"/>
      <c r="C952" s="215"/>
      <c r="D952" s="281" t="s">
        <v>533</v>
      </c>
      <c r="E952" s="215"/>
      <c r="F952" s="215"/>
      <c r="G952" s="215"/>
      <c r="H952" s="215"/>
      <c r="I952" s="215"/>
      <c r="J952" s="215"/>
      <c r="K952" s="215"/>
      <c r="L952" s="226">
        <v>2575</v>
      </c>
      <c r="M952" s="226">
        <v>1340</v>
      </c>
      <c r="N952" s="156">
        <v>2000</v>
      </c>
      <c r="O952" s="156">
        <v>2000</v>
      </c>
      <c r="P952" s="155">
        <v>2000</v>
      </c>
      <c r="Q952" s="155">
        <v>2000</v>
      </c>
      <c r="R952" s="155">
        <v>2000</v>
      </c>
      <c r="S952" s="155">
        <v>2000</v>
      </c>
      <c r="T952" s="155">
        <v>2000</v>
      </c>
    </row>
    <row r="953" spans="1:22" ht="24" customHeight="1">
      <c r="A953" s="281" t="s">
        <v>715</v>
      </c>
      <c r="B953" s="282"/>
      <c r="C953" s="282"/>
      <c r="D953" s="281" t="s">
        <v>716</v>
      </c>
      <c r="E953" s="413"/>
      <c r="F953" s="413"/>
      <c r="G953" s="413"/>
      <c r="H953" s="413"/>
      <c r="I953" s="413"/>
      <c r="J953" s="413"/>
      <c r="K953" s="413"/>
      <c r="L953" s="264">
        <v>21185</v>
      </c>
      <c r="M953" s="264">
        <v>3487</v>
      </c>
      <c r="N953" s="205">
        <f t="shared" ref="N953" si="303">N966</f>
        <v>0</v>
      </c>
      <c r="O953" s="205">
        <f t="shared" ref="O953:S953" si="304">O966</f>
        <v>3215</v>
      </c>
      <c r="P953" s="204">
        <f t="shared" si="304"/>
        <v>3000</v>
      </c>
      <c r="Q953" s="204">
        <f t="shared" si="304"/>
        <v>3000</v>
      </c>
      <c r="R953" s="204">
        <f t="shared" si="304"/>
        <v>3000</v>
      </c>
      <c r="S953" s="204">
        <f t="shared" si="304"/>
        <v>3000</v>
      </c>
      <c r="T953" s="204">
        <f t="shared" ref="T953" si="305">T966</f>
        <v>3000</v>
      </c>
      <c r="V953" s="149"/>
    </row>
    <row r="954" spans="1:22" ht="15" customHeight="1">
      <c r="A954" s="215"/>
      <c r="B954" s="215"/>
      <c r="C954" s="215"/>
      <c r="D954" s="215"/>
      <c r="E954" s="215"/>
      <c r="F954" s="215"/>
      <c r="G954" s="215"/>
      <c r="H954" s="215"/>
      <c r="I954" s="215"/>
      <c r="J954" s="215"/>
      <c r="K954" s="215"/>
      <c r="L954" s="231"/>
      <c r="M954" s="231"/>
      <c r="N954" s="166"/>
      <c r="O954" s="166"/>
      <c r="P954" s="165"/>
      <c r="Q954" s="165"/>
      <c r="R954" s="165"/>
      <c r="S954" s="165"/>
      <c r="T954" s="165"/>
    </row>
    <row r="955" spans="1:22" s="215" customFormat="1" ht="24" customHeight="1">
      <c r="K955" s="285" t="s">
        <v>548</v>
      </c>
      <c r="L955" s="233">
        <f t="shared" ref="L955" si="306">SUM(L922:L954)</f>
        <v>716452</v>
      </c>
      <c r="M955" s="233">
        <f t="shared" ref="M955:T955" si="307">SUM(M922:M954)</f>
        <v>723876</v>
      </c>
      <c r="N955" s="234">
        <f t="shared" ref="N955" si="308">SUM(N922:N954)</f>
        <v>716122</v>
      </c>
      <c r="O955" s="234">
        <f t="shared" si="307"/>
        <v>711198</v>
      </c>
      <c r="P955" s="233">
        <f t="shared" si="307"/>
        <v>756943</v>
      </c>
      <c r="Q955" s="233">
        <f t="shared" si="307"/>
        <v>783636</v>
      </c>
      <c r="R955" s="233">
        <f t="shared" si="307"/>
        <v>809117</v>
      </c>
      <c r="S955" s="233">
        <f t="shared" si="307"/>
        <v>835828</v>
      </c>
      <c r="T955" s="233">
        <f t="shared" si="307"/>
        <v>863836</v>
      </c>
      <c r="U955" s="470"/>
    </row>
    <row r="956" spans="1:22" s="215" customFormat="1" ht="15" customHeight="1">
      <c r="L956" s="231"/>
      <c r="M956" s="231"/>
      <c r="N956" s="232"/>
      <c r="O956" s="232"/>
      <c r="P956" s="231"/>
      <c r="Q956" s="231"/>
      <c r="R956" s="231"/>
      <c r="S956" s="231"/>
      <c r="T956" s="231"/>
      <c r="U956" s="470"/>
    </row>
    <row r="957" spans="1:22" s="215" customFormat="1" ht="24" customHeight="1">
      <c r="K957" s="285" t="s">
        <v>549</v>
      </c>
      <c r="L957" s="233">
        <f t="shared" ref="L957:T957" si="309">L920-L955</f>
        <v>24940</v>
      </c>
      <c r="M957" s="233">
        <f t="shared" si="309"/>
        <v>-4391</v>
      </c>
      <c r="N957" s="234">
        <f t="shared" si="309"/>
        <v>5296</v>
      </c>
      <c r="O957" s="234">
        <f t="shared" si="309"/>
        <v>-5901</v>
      </c>
      <c r="P957" s="233">
        <f t="shared" si="309"/>
        <v>-25056</v>
      </c>
      <c r="Q957" s="233">
        <f t="shared" si="309"/>
        <v>-37341</v>
      </c>
      <c r="R957" s="233">
        <f t="shared" si="309"/>
        <v>-47535</v>
      </c>
      <c r="S957" s="233">
        <f t="shared" si="309"/>
        <v>-58568</v>
      </c>
      <c r="T957" s="233">
        <f t="shared" si="309"/>
        <v>-70493</v>
      </c>
      <c r="U957" s="470"/>
    </row>
    <row r="958" spans="1:22" s="215" customFormat="1" ht="15" customHeight="1">
      <c r="L958" s="231"/>
      <c r="M958" s="231"/>
      <c r="N958" s="232"/>
      <c r="O958" s="232"/>
      <c r="P958" s="231"/>
      <c r="Q958" s="231"/>
      <c r="R958" s="231"/>
      <c r="S958" s="231"/>
      <c r="T958" s="231"/>
      <c r="U958" s="470"/>
    </row>
    <row r="959" spans="1:22" s="215" customFormat="1" ht="24" customHeight="1">
      <c r="K959" s="290" t="s">
        <v>551</v>
      </c>
      <c r="L959" s="250">
        <v>471076</v>
      </c>
      <c r="M959" s="250">
        <v>466683</v>
      </c>
      <c r="N959" s="251">
        <v>392989</v>
      </c>
      <c r="O959" s="251">
        <f>M959+O957</f>
        <v>460782</v>
      </c>
      <c r="P959" s="250">
        <f>O959+P957</f>
        <v>435726</v>
      </c>
      <c r="Q959" s="250">
        <f>P959+Q957</f>
        <v>398385</v>
      </c>
      <c r="R959" s="250">
        <f>Q959+R957</f>
        <v>350850</v>
      </c>
      <c r="S959" s="250">
        <f>R959+S957</f>
        <v>292282</v>
      </c>
      <c r="T959" s="250">
        <f>S959+T957</f>
        <v>221789</v>
      </c>
      <c r="U959" s="470"/>
    </row>
    <row r="960" spans="1:22" s="294" customFormat="1" ht="24" customHeight="1">
      <c r="L960" s="252">
        <f t="shared" ref="L960" si="310">L959/L955</f>
        <v>0.65751229670654843</v>
      </c>
      <c r="M960" s="252">
        <f t="shared" ref="M960:T960" si="311">M959/M955</f>
        <v>0.64470019727135586</v>
      </c>
      <c r="N960" s="253">
        <f t="shared" ref="N960:O960" si="312">N959/N955</f>
        <v>0.54877381228338185</v>
      </c>
      <c r="O960" s="253">
        <f t="shared" si="312"/>
        <v>0.64789552276581208</v>
      </c>
      <c r="P960" s="252">
        <f t="shared" si="311"/>
        <v>0.57563911681592939</v>
      </c>
      <c r="Q960" s="252">
        <f t="shared" si="311"/>
        <v>0.50838016630170135</v>
      </c>
      <c r="R960" s="252">
        <f t="shared" si="311"/>
        <v>0.43362084840634912</v>
      </c>
      <c r="S960" s="252">
        <f t="shared" ref="S960" si="313">S959/S955</f>
        <v>0.34969156333599738</v>
      </c>
      <c r="T960" s="252">
        <f t="shared" si="311"/>
        <v>0.25674896623896204</v>
      </c>
      <c r="U960" s="337"/>
    </row>
    <row r="961" spans="1:29" ht="15" customHeight="1">
      <c r="A961" s="215"/>
      <c r="B961" s="215"/>
      <c r="C961" s="215"/>
      <c r="D961" s="215"/>
      <c r="E961" s="215"/>
      <c r="F961" s="215"/>
      <c r="G961" s="215"/>
      <c r="H961" s="215"/>
      <c r="I961" s="215"/>
      <c r="J961" s="215"/>
      <c r="K961" s="215"/>
      <c r="L961" s="399"/>
      <c r="M961" s="399"/>
      <c r="N961" s="403"/>
      <c r="O961" s="403"/>
      <c r="P961" s="404"/>
      <c r="Q961" s="404"/>
      <c r="R961" s="404"/>
      <c r="S961" s="404"/>
      <c r="T961" s="404"/>
    </row>
    <row r="962" spans="1:29" ht="24" customHeight="1">
      <c r="A962" s="292" t="s">
        <v>536</v>
      </c>
      <c r="B962" s="215"/>
      <c r="C962" s="215"/>
      <c r="D962" s="215"/>
      <c r="E962" s="215"/>
      <c r="F962" s="215"/>
      <c r="G962" s="215"/>
      <c r="H962" s="215"/>
      <c r="I962" s="215"/>
      <c r="J962" s="215"/>
      <c r="K962" s="215"/>
      <c r="L962" s="399"/>
      <c r="M962" s="399"/>
      <c r="N962" s="403"/>
      <c r="O962" s="403"/>
      <c r="P962" s="404"/>
      <c r="Q962" s="404"/>
      <c r="R962" s="404"/>
      <c r="S962" s="404"/>
      <c r="T962" s="404"/>
      <c r="V962" s="418"/>
      <c r="W962" s="419"/>
      <c r="X962" s="419"/>
      <c r="Y962" s="740"/>
    </row>
    <row r="963" spans="1:29" ht="24" customHeight="1">
      <c r="A963" s="215"/>
      <c r="B963" s="215"/>
      <c r="C963" s="215"/>
      <c r="D963" s="215"/>
      <c r="E963" s="215"/>
      <c r="F963" s="215"/>
      <c r="G963" s="215"/>
      <c r="H963" s="215"/>
      <c r="I963" s="215"/>
      <c r="J963" s="215"/>
      <c r="K963" s="215"/>
      <c r="L963" s="399"/>
      <c r="M963" s="399"/>
      <c r="N963" s="403"/>
      <c r="O963" s="403"/>
      <c r="P963" s="404"/>
      <c r="Q963" s="404"/>
      <c r="R963" s="404"/>
      <c r="S963" s="404"/>
      <c r="T963" s="404"/>
    </row>
    <row r="964" spans="1:29" ht="24" customHeight="1">
      <c r="A964" s="364" t="s">
        <v>1127</v>
      </c>
      <c r="B964" s="215"/>
      <c r="C964" s="215"/>
      <c r="D964" s="364" t="s">
        <v>1128</v>
      </c>
      <c r="E964" s="329"/>
      <c r="F964" s="329"/>
      <c r="G964" s="329"/>
      <c r="H964" s="329"/>
      <c r="I964" s="329"/>
      <c r="J964" s="329"/>
      <c r="K964" s="329"/>
      <c r="L964" s="225">
        <v>746464</v>
      </c>
      <c r="M964" s="225">
        <v>727762</v>
      </c>
      <c r="N964" s="157">
        <f>N971+N972+N974+N975+N977+N978</f>
        <v>749846</v>
      </c>
      <c r="O964" s="148">
        <v>746621</v>
      </c>
      <c r="P964" s="154">
        <f>P971+P972+P974+P975+P977+P978-3000</f>
        <v>749771</v>
      </c>
      <c r="Q964" s="154">
        <f t="shared" ref="Q964:T964" si="314">Q971+Q972+Q974+Q975+Q977+Q978-3000</f>
        <v>757396</v>
      </c>
      <c r="R964" s="154">
        <f t="shared" si="314"/>
        <v>789101</v>
      </c>
      <c r="S964" s="154">
        <f t="shared" si="314"/>
        <v>794013</v>
      </c>
      <c r="T964" s="154">
        <f t="shared" si="314"/>
        <v>824088</v>
      </c>
      <c r="U964" s="339"/>
      <c r="V964" s="154"/>
      <c r="W964" s="154"/>
      <c r="X964" s="154"/>
      <c r="Y964" s="154"/>
      <c r="Z964" s="154"/>
      <c r="AA964" s="154"/>
    </row>
    <row r="965" spans="1:29" ht="24" customHeight="1">
      <c r="A965" s="215" t="s">
        <v>686</v>
      </c>
      <c r="B965" s="215"/>
      <c r="C965" s="215"/>
      <c r="D965" s="215" t="s">
        <v>6</v>
      </c>
      <c r="E965" s="215"/>
      <c r="F965" s="215"/>
      <c r="G965" s="215"/>
      <c r="H965" s="215"/>
      <c r="I965" s="215"/>
      <c r="J965" s="215"/>
      <c r="K965" s="215"/>
      <c r="L965" s="225">
        <v>71</v>
      </c>
      <c r="M965" s="225">
        <v>72</v>
      </c>
      <c r="N965" s="157">
        <v>30</v>
      </c>
      <c r="O965" s="157">
        <v>10</v>
      </c>
      <c r="P965" s="154">
        <v>0</v>
      </c>
      <c r="Q965" s="154">
        <v>0</v>
      </c>
      <c r="R965" s="154">
        <v>0</v>
      </c>
      <c r="S965" s="154">
        <v>0</v>
      </c>
      <c r="T965" s="154">
        <v>0</v>
      </c>
      <c r="U965" s="339"/>
    </row>
    <row r="966" spans="1:29" ht="24" customHeight="1">
      <c r="A966" s="215" t="s">
        <v>717</v>
      </c>
      <c r="B966" s="215"/>
      <c r="C966" s="215"/>
      <c r="D966" s="414" t="s">
        <v>616</v>
      </c>
      <c r="E966" s="414"/>
      <c r="F966" s="414"/>
      <c r="G966" s="414"/>
      <c r="H966" s="414"/>
      <c r="I966" s="414"/>
      <c r="J966" s="414"/>
      <c r="K966" s="414"/>
      <c r="L966" s="230">
        <v>21185</v>
      </c>
      <c r="M966" s="230">
        <v>3487</v>
      </c>
      <c r="N966" s="164">
        <v>0</v>
      </c>
      <c r="O966" s="164">
        <f>2973+222+20</f>
        <v>3215</v>
      </c>
      <c r="P966" s="163">
        <f>2970+30</f>
        <v>3000</v>
      </c>
      <c r="Q966" s="163">
        <v>3000</v>
      </c>
      <c r="R966" s="163">
        <v>3000</v>
      </c>
      <c r="S966" s="163">
        <v>3000</v>
      </c>
      <c r="T966" s="163">
        <v>3000</v>
      </c>
      <c r="U966" s="339"/>
      <c r="V966" s="149"/>
    </row>
    <row r="967" spans="1:29" ht="15" customHeight="1">
      <c r="A967" s="215"/>
      <c r="B967" s="215"/>
      <c r="C967" s="215"/>
      <c r="D967" s="215"/>
      <c r="E967" s="215"/>
      <c r="F967" s="215"/>
      <c r="G967" s="215"/>
      <c r="H967" s="215"/>
      <c r="I967" s="215"/>
      <c r="J967" s="215"/>
      <c r="K967" s="215"/>
      <c r="L967" s="230"/>
      <c r="M967" s="230"/>
      <c r="N967" s="164"/>
      <c r="O967" s="164"/>
      <c r="P967" s="163"/>
      <c r="Q967" s="163"/>
      <c r="R967" s="163"/>
      <c r="S967" s="163"/>
      <c r="T967" s="163"/>
      <c r="U967" s="339"/>
    </row>
    <row r="968" spans="1:29" s="215" customFormat="1" ht="24" customHeight="1">
      <c r="K968" s="285" t="s">
        <v>545</v>
      </c>
      <c r="L968" s="233">
        <f t="shared" ref="L968" si="315">SUM(L964:L967)</f>
        <v>767720</v>
      </c>
      <c r="M968" s="233">
        <f t="shared" ref="M968:T968" si="316">SUM(M964:M967)</f>
        <v>731321</v>
      </c>
      <c r="N968" s="234">
        <f t="shared" ref="N968" si="317">SUM(N964:N967)</f>
        <v>749876</v>
      </c>
      <c r="O968" s="234">
        <f t="shared" ref="O968" si="318">SUM(O964:O967)</f>
        <v>749846</v>
      </c>
      <c r="P968" s="233">
        <f t="shared" si="316"/>
        <v>752771</v>
      </c>
      <c r="Q968" s="233">
        <f t="shared" si="316"/>
        <v>760396</v>
      </c>
      <c r="R968" s="233">
        <f t="shared" si="316"/>
        <v>792101</v>
      </c>
      <c r="S968" s="233">
        <f t="shared" ref="S968" si="319">SUM(S964:S967)</f>
        <v>797013</v>
      </c>
      <c r="T968" s="233">
        <f t="shared" si="316"/>
        <v>827088</v>
      </c>
      <c r="U968" s="342"/>
      <c r="V968" s="713"/>
      <c r="W968" s="713"/>
      <c r="X968" s="713"/>
      <c r="Y968" s="713"/>
      <c r="Z968" s="713"/>
      <c r="AA968" s="713"/>
    </row>
    <row r="969" spans="1:29" ht="15" customHeight="1">
      <c r="A969" s="215"/>
      <c r="B969" s="215"/>
      <c r="C969" s="215"/>
      <c r="D969" s="215"/>
      <c r="E969" s="215"/>
      <c r="F969" s="215"/>
      <c r="G969" s="215"/>
      <c r="H969" s="215"/>
      <c r="I969" s="215"/>
      <c r="J969" s="215"/>
      <c r="K969" s="215"/>
      <c r="L969" s="231"/>
      <c r="M969" s="231"/>
      <c r="N969" s="166"/>
      <c r="O969" s="166"/>
      <c r="P969" s="165"/>
      <c r="Q969" s="165"/>
      <c r="R969" s="165"/>
      <c r="S969" s="165"/>
      <c r="T969" s="165"/>
      <c r="V969" s="457"/>
      <c r="W969" s="457"/>
      <c r="X969" s="457"/>
      <c r="Y969" s="457"/>
      <c r="Z969" s="457"/>
      <c r="AA969" s="457"/>
    </row>
    <row r="970" spans="1:29" ht="24" customHeight="1">
      <c r="A970" s="285" t="s">
        <v>534</v>
      </c>
      <c r="B970" s="285"/>
      <c r="C970" s="285"/>
      <c r="D970" s="285"/>
      <c r="E970" s="285"/>
      <c r="F970" s="285"/>
      <c r="G970" s="285"/>
      <c r="H970" s="285"/>
      <c r="I970" s="285"/>
      <c r="J970" s="285"/>
      <c r="K970" s="285"/>
      <c r="L970" s="231"/>
      <c r="M970" s="231"/>
      <c r="N970" s="166"/>
      <c r="O970" s="166"/>
      <c r="P970" s="165"/>
      <c r="Q970" s="165"/>
      <c r="R970" s="165"/>
      <c r="S970" s="165"/>
      <c r="T970" s="165"/>
      <c r="V970" s="458"/>
      <c r="W970" s="458"/>
      <c r="X970" s="458"/>
      <c r="Y970" s="458"/>
      <c r="Z970" s="458"/>
      <c r="AC970" s="209"/>
    </row>
    <row r="971" spans="1:29" ht="24" customHeight="1">
      <c r="A971" s="281" t="s">
        <v>555</v>
      </c>
      <c r="B971" s="282"/>
      <c r="C971" s="282"/>
      <c r="D971" s="281" t="s">
        <v>1042</v>
      </c>
      <c r="E971" s="282"/>
      <c r="F971" s="282"/>
      <c r="G971" s="282"/>
      <c r="H971" s="282"/>
      <c r="I971" s="282"/>
      <c r="J971" s="282"/>
      <c r="K971" s="282"/>
      <c r="L971" s="225">
        <v>335000</v>
      </c>
      <c r="M971" s="225">
        <v>0</v>
      </c>
      <c r="N971" s="148">
        <v>0</v>
      </c>
      <c r="O971" s="148">
        <v>0</v>
      </c>
      <c r="P971" s="147">
        <v>0</v>
      </c>
      <c r="Q971" s="147">
        <v>0</v>
      </c>
      <c r="R971" s="147">
        <v>0</v>
      </c>
      <c r="S971" s="147">
        <v>0</v>
      </c>
      <c r="T971" s="147">
        <v>0</v>
      </c>
      <c r="V971" s="500"/>
      <c r="W971" s="500"/>
      <c r="X971" s="500"/>
      <c r="Y971" s="500"/>
      <c r="Z971" s="500"/>
      <c r="AC971" s="200"/>
    </row>
    <row r="972" spans="1:29" ht="24" customHeight="1">
      <c r="A972" s="281" t="s">
        <v>556</v>
      </c>
      <c r="B972" s="282"/>
      <c r="C972" s="282"/>
      <c r="D972" s="281" t="s">
        <v>292</v>
      </c>
      <c r="E972" s="282"/>
      <c r="F972" s="282"/>
      <c r="G972" s="282"/>
      <c r="H972" s="282"/>
      <c r="I972" s="282"/>
      <c r="J972" s="282"/>
      <c r="K972" s="282"/>
      <c r="L972" s="225">
        <v>13400</v>
      </c>
      <c r="M972" s="225">
        <v>0</v>
      </c>
      <c r="N972" s="148">
        <v>0</v>
      </c>
      <c r="O972" s="148">
        <v>0</v>
      </c>
      <c r="P972" s="147">
        <v>0</v>
      </c>
      <c r="Q972" s="147">
        <v>0</v>
      </c>
      <c r="R972" s="147">
        <v>0</v>
      </c>
      <c r="S972" s="147">
        <v>0</v>
      </c>
      <c r="T972" s="147">
        <v>0</v>
      </c>
      <c r="V972" s="500"/>
      <c r="W972" s="500"/>
      <c r="X972" s="500"/>
      <c r="Y972" s="500"/>
      <c r="Z972" s="500"/>
      <c r="AC972" s="200"/>
    </row>
    <row r="973" spans="1:29" ht="24" customHeight="1">
      <c r="A973" s="285" t="s">
        <v>535</v>
      </c>
      <c r="B973" s="285"/>
      <c r="C973" s="285"/>
      <c r="D973" s="285"/>
      <c r="E973" s="285"/>
      <c r="F973" s="285"/>
      <c r="G973" s="285"/>
      <c r="H973" s="285"/>
      <c r="I973" s="285"/>
      <c r="J973" s="285"/>
      <c r="K973" s="285"/>
      <c r="L973" s="231"/>
      <c r="M973" s="231"/>
      <c r="N973" s="166"/>
      <c r="O973" s="166"/>
      <c r="P973" s="165"/>
      <c r="Q973" s="165"/>
      <c r="R973" s="165"/>
      <c r="S973" s="165"/>
      <c r="T973" s="165"/>
      <c r="V973" s="459"/>
      <c r="W973" s="459"/>
      <c r="X973" s="459"/>
      <c r="Y973" s="459"/>
      <c r="Z973" s="459"/>
      <c r="AC973" s="200"/>
    </row>
    <row r="974" spans="1:29" ht="24" customHeight="1">
      <c r="A974" s="281" t="s">
        <v>557</v>
      </c>
      <c r="B974" s="282"/>
      <c r="C974" s="282"/>
      <c r="D974" s="281" t="s">
        <v>1042</v>
      </c>
      <c r="E974" s="282"/>
      <c r="F974" s="282"/>
      <c r="G974" s="282"/>
      <c r="H974" s="282"/>
      <c r="I974" s="282"/>
      <c r="J974" s="282"/>
      <c r="K974" s="282"/>
      <c r="L974" s="225">
        <v>100000</v>
      </c>
      <c r="M974" s="225">
        <v>50000</v>
      </c>
      <c r="N974" s="148">
        <v>50000</v>
      </c>
      <c r="O974" s="148">
        <v>50000</v>
      </c>
      <c r="P974" s="147">
        <v>50000</v>
      </c>
      <c r="Q974" s="147">
        <v>50000</v>
      </c>
      <c r="R974" s="147">
        <v>50000</v>
      </c>
      <c r="S974" s="147">
        <v>50000</v>
      </c>
      <c r="T974" s="147">
        <v>75000</v>
      </c>
      <c r="V974" s="459"/>
      <c r="W974" s="459"/>
      <c r="X974" s="459"/>
      <c r="Y974" s="459"/>
      <c r="Z974" s="459"/>
      <c r="AC974" s="200"/>
    </row>
    <row r="975" spans="1:29" ht="24" customHeight="1">
      <c r="A975" s="281" t="s">
        <v>558</v>
      </c>
      <c r="B975" s="282"/>
      <c r="C975" s="282"/>
      <c r="D975" s="281" t="s">
        <v>292</v>
      </c>
      <c r="E975" s="282"/>
      <c r="F975" s="282"/>
      <c r="G975" s="282"/>
      <c r="H975" s="282"/>
      <c r="I975" s="282"/>
      <c r="J975" s="282"/>
      <c r="K975" s="282"/>
      <c r="L975" s="225">
        <v>39238</v>
      </c>
      <c r="M975" s="225">
        <v>34488</v>
      </c>
      <c r="N975" s="148">
        <v>32113</v>
      </c>
      <c r="O975" s="148">
        <v>32113</v>
      </c>
      <c r="P975" s="147">
        <v>29738</v>
      </c>
      <c r="Q975" s="147">
        <v>27363</v>
      </c>
      <c r="R975" s="147">
        <v>24988</v>
      </c>
      <c r="S975" s="147">
        <v>22613</v>
      </c>
      <c r="T975" s="147">
        <v>20238</v>
      </c>
      <c r="V975" s="459"/>
      <c r="W975" s="459"/>
      <c r="X975" s="459"/>
      <c r="Y975" s="459"/>
      <c r="Z975" s="459"/>
      <c r="AC975" s="200"/>
    </row>
    <row r="976" spans="1:29" ht="24" customHeight="1">
      <c r="A976" s="285" t="s">
        <v>1047</v>
      </c>
      <c r="B976" s="285"/>
      <c r="C976" s="285"/>
      <c r="D976" s="285"/>
      <c r="E976" s="285"/>
      <c r="F976" s="285"/>
      <c r="G976" s="285"/>
      <c r="H976" s="285"/>
      <c r="I976" s="285"/>
      <c r="J976" s="282"/>
      <c r="K976" s="282"/>
      <c r="L976" s="230"/>
      <c r="M976" s="230"/>
      <c r="N976" s="174"/>
      <c r="O976" s="174"/>
      <c r="P976" s="162"/>
      <c r="Q976" s="162"/>
      <c r="R976" s="162"/>
      <c r="S976" s="162"/>
      <c r="T976" s="162"/>
      <c r="V976" s="459"/>
      <c r="W976" s="459"/>
      <c r="X976" s="459"/>
      <c r="Y976" s="459"/>
      <c r="Z976" s="459"/>
      <c r="AC976" s="200"/>
    </row>
    <row r="977" spans="1:29" ht="24" customHeight="1">
      <c r="A977" s="281" t="s">
        <v>1062</v>
      </c>
      <c r="B977" s="282"/>
      <c r="C977" s="282"/>
      <c r="D977" s="281" t="s">
        <v>1042</v>
      </c>
      <c r="E977" s="282"/>
      <c r="F977" s="282"/>
      <c r="G977" s="282"/>
      <c r="H977" s="282"/>
      <c r="I977" s="282"/>
      <c r="J977" s="282"/>
      <c r="K977" s="282"/>
      <c r="L977" s="225">
        <v>155000</v>
      </c>
      <c r="M977" s="225">
        <v>455000</v>
      </c>
      <c r="N977" s="157">
        <v>485000</v>
      </c>
      <c r="O977" s="157">
        <v>485000</v>
      </c>
      <c r="P977" s="154">
        <v>500000</v>
      </c>
      <c r="Q977" s="154">
        <v>520000</v>
      </c>
      <c r="R977" s="154">
        <v>565000</v>
      </c>
      <c r="S977" s="154">
        <v>585000</v>
      </c>
      <c r="T977" s="154">
        <v>610000</v>
      </c>
      <c r="V977" s="459"/>
      <c r="W977" s="459"/>
      <c r="X977" s="459"/>
      <c r="Y977" s="459"/>
      <c r="Z977" s="459"/>
      <c r="AC977" s="200"/>
    </row>
    <row r="978" spans="1:29" ht="24" customHeight="1">
      <c r="A978" s="281" t="s">
        <v>1063</v>
      </c>
      <c r="B978" s="282"/>
      <c r="C978" s="282"/>
      <c r="D978" s="281" t="s">
        <v>292</v>
      </c>
      <c r="E978" s="282"/>
      <c r="F978" s="282"/>
      <c r="G978" s="282"/>
      <c r="H978" s="282"/>
      <c r="I978" s="282"/>
      <c r="J978" s="282"/>
      <c r="K978" s="282"/>
      <c r="L978" s="230">
        <v>125082</v>
      </c>
      <c r="M978" s="230">
        <v>191833</v>
      </c>
      <c r="N978" s="164">
        <v>182733</v>
      </c>
      <c r="O978" s="164">
        <v>182733</v>
      </c>
      <c r="P978" s="163">
        <v>173033</v>
      </c>
      <c r="Q978" s="163">
        <v>163033</v>
      </c>
      <c r="R978" s="163">
        <v>152113</v>
      </c>
      <c r="S978" s="163">
        <v>139400</v>
      </c>
      <c r="T978" s="163">
        <v>121850</v>
      </c>
      <c r="V978" s="459"/>
      <c r="W978" s="459"/>
      <c r="X978" s="459"/>
      <c r="Y978" s="459"/>
      <c r="Z978" s="459"/>
      <c r="AC978" s="200"/>
    </row>
    <row r="979" spans="1:29" ht="15" customHeight="1">
      <c r="A979" s="281"/>
      <c r="B979" s="282"/>
      <c r="C979" s="282"/>
      <c r="D979" s="281"/>
      <c r="E979" s="282"/>
      <c r="F979" s="282"/>
      <c r="G979" s="282"/>
      <c r="H979" s="282"/>
      <c r="I979" s="282"/>
      <c r="J979" s="282"/>
      <c r="K979" s="282"/>
      <c r="L979" s="225"/>
      <c r="M979" s="225"/>
      <c r="N979" s="148"/>
      <c r="O979" s="148"/>
      <c r="P979" s="147"/>
      <c r="Q979" s="147"/>
      <c r="R979" s="147"/>
      <c r="S979" s="147"/>
      <c r="T979" s="147"/>
      <c r="V979" s="200"/>
      <c r="W979" s="200"/>
      <c r="X979" s="200"/>
      <c r="Y979" s="200"/>
      <c r="Z979" s="200"/>
      <c r="AA979" s="200"/>
      <c r="AB979" s="200"/>
      <c r="AC979" s="200"/>
    </row>
    <row r="980" spans="1:29" s="215" customFormat="1" ht="24" customHeight="1">
      <c r="A980" s="281"/>
      <c r="B980" s="282"/>
      <c r="C980" s="282"/>
      <c r="D980" s="281"/>
      <c r="E980" s="282"/>
      <c r="F980" s="282"/>
      <c r="G980" s="282"/>
      <c r="H980" s="282"/>
      <c r="I980" s="282"/>
      <c r="J980" s="282"/>
      <c r="K980" s="285" t="s">
        <v>548</v>
      </c>
      <c r="L980" s="233">
        <f t="shared" ref="L980" si="320">SUM(L971:L978)</f>
        <v>767720</v>
      </c>
      <c r="M980" s="233">
        <f t="shared" ref="M980:T980" si="321">SUM(M971:M978)</f>
        <v>731321</v>
      </c>
      <c r="N980" s="234">
        <f t="shared" ref="N980" si="322">SUM(N971:N978)</f>
        <v>749846</v>
      </c>
      <c r="O980" s="234">
        <f t="shared" ref="O980" si="323">SUM(O971:O978)</f>
        <v>749846</v>
      </c>
      <c r="P980" s="233">
        <f t="shared" si="321"/>
        <v>752771</v>
      </c>
      <c r="Q980" s="233">
        <f t="shared" si="321"/>
        <v>760396</v>
      </c>
      <c r="R980" s="233">
        <f t="shared" si="321"/>
        <v>792101</v>
      </c>
      <c r="S980" s="233">
        <f t="shared" ref="S980" si="324">SUM(S971:S978)</f>
        <v>797013</v>
      </c>
      <c r="T980" s="233">
        <f t="shared" si="321"/>
        <v>827088</v>
      </c>
      <c r="U980" s="470"/>
      <c r="V980" s="713"/>
      <c r="W980" s="713"/>
      <c r="X980" s="713"/>
      <c r="Y980" s="713"/>
      <c r="Z980" s="713"/>
      <c r="AA980" s="713"/>
    </row>
    <row r="981" spans="1:29" s="215" customFormat="1" ht="15" customHeight="1">
      <c r="A981" s="281"/>
      <c r="B981" s="282"/>
      <c r="C981" s="282"/>
      <c r="D981" s="281"/>
      <c r="E981" s="282"/>
      <c r="F981" s="282"/>
      <c r="G981" s="282"/>
      <c r="H981" s="282"/>
      <c r="I981" s="282"/>
      <c r="J981" s="282"/>
      <c r="K981" s="285"/>
      <c r="L981" s="225"/>
      <c r="M981" s="225"/>
      <c r="N981" s="223"/>
      <c r="O981" s="223"/>
      <c r="P981" s="222"/>
      <c r="Q981" s="222"/>
      <c r="R981" s="222"/>
      <c r="S981" s="222"/>
      <c r="T981" s="222"/>
      <c r="U981" s="470"/>
      <c r="V981" s="713"/>
      <c r="W981" s="713"/>
      <c r="X981" s="713"/>
      <c r="Y981" s="713"/>
      <c r="Z981" s="713"/>
      <c r="AA981" s="713"/>
    </row>
    <row r="982" spans="1:29" s="215" customFormat="1" ht="24" customHeight="1">
      <c r="K982" s="285" t="s">
        <v>549</v>
      </c>
      <c r="L982" s="233">
        <f t="shared" ref="L982" si="325">L968-L980</f>
        <v>0</v>
      </c>
      <c r="M982" s="233">
        <f t="shared" ref="M982:T982" si="326">M968-M980</f>
        <v>0</v>
      </c>
      <c r="N982" s="234">
        <f t="shared" ref="N982:O982" si="327">N968-N980</f>
        <v>30</v>
      </c>
      <c r="O982" s="234">
        <f t="shared" si="327"/>
        <v>0</v>
      </c>
      <c r="P982" s="233">
        <f t="shared" si="326"/>
        <v>0</v>
      </c>
      <c r="Q982" s="233">
        <f t="shared" si="326"/>
        <v>0</v>
      </c>
      <c r="R982" s="233">
        <f t="shared" si="326"/>
        <v>0</v>
      </c>
      <c r="S982" s="233">
        <f t="shared" ref="S982" si="328">S968-S980</f>
        <v>0</v>
      </c>
      <c r="T982" s="233">
        <f t="shared" si="326"/>
        <v>0</v>
      </c>
      <c r="U982" s="343"/>
      <c r="V982" s="713"/>
      <c r="W982" s="713"/>
      <c r="X982" s="713"/>
      <c r="Y982" s="713"/>
      <c r="Z982" s="713"/>
      <c r="AA982" s="713"/>
    </row>
    <row r="983" spans="1:29" s="215" customFormat="1" ht="15" customHeight="1">
      <c r="L983" s="233"/>
      <c r="M983" s="233"/>
      <c r="N983" s="234"/>
      <c r="O983" s="234"/>
      <c r="P983" s="233"/>
      <c r="Q983" s="233"/>
      <c r="R983" s="233"/>
      <c r="S983" s="233"/>
      <c r="T983" s="233"/>
      <c r="U983" s="470"/>
      <c r="V983" s="713"/>
      <c r="W983" s="713"/>
      <c r="X983" s="713"/>
      <c r="Y983" s="713"/>
      <c r="Z983" s="713"/>
      <c r="AA983" s="713"/>
    </row>
    <row r="984" spans="1:29" s="215" customFormat="1" ht="24" customHeight="1">
      <c r="K984" s="290" t="s">
        <v>551</v>
      </c>
      <c r="L984" s="233">
        <v>0</v>
      </c>
      <c r="M984" s="233">
        <v>0</v>
      </c>
      <c r="N984" s="234">
        <v>30</v>
      </c>
      <c r="O984" s="234">
        <f>M984+O982</f>
        <v>0</v>
      </c>
      <c r="P984" s="233">
        <f>O984+P982</f>
        <v>0</v>
      </c>
      <c r="Q984" s="233">
        <f>P984+Q982</f>
        <v>0</v>
      </c>
      <c r="R984" s="233">
        <f>Q984+R982</f>
        <v>0</v>
      </c>
      <c r="S984" s="233">
        <f>R984+S982</f>
        <v>0</v>
      </c>
      <c r="T984" s="233">
        <f>S984+T982</f>
        <v>0</v>
      </c>
      <c r="U984" s="470"/>
      <c r="V984" s="713"/>
      <c r="W984" s="713"/>
      <c r="X984" s="713"/>
      <c r="Y984" s="713"/>
      <c r="Z984" s="713"/>
      <c r="AA984" s="713"/>
    </row>
    <row r="985" spans="1:29" ht="15" customHeight="1">
      <c r="A985" s="215"/>
      <c r="B985" s="215"/>
      <c r="C985" s="215"/>
      <c r="D985" s="215"/>
      <c r="E985" s="215"/>
      <c r="F985" s="215"/>
      <c r="G985" s="215"/>
      <c r="H985" s="215"/>
      <c r="I985" s="215"/>
      <c r="J985" s="215"/>
      <c r="K985" s="215"/>
      <c r="L985" s="279"/>
      <c r="M985" s="279"/>
      <c r="N985" s="397"/>
      <c r="O985" s="397"/>
      <c r="P985" s="398"/>
      <c r="Q985" s="398"/>
      <c r="R985" s="398"/>
      <c r="S985" s="398"/>
      <c r="T985" s="398"/>
    </row>
    <row r="986" spans="1:29" ht="24" customHeight="1">
      <c r="A986" s="292" t="s">
        <v>932</v>
      </c>
      <c r="B986" s="215"/>
      <c r="C986" s="215"/>
      <c r="D986" s="215"/>
      <c r="E986" s="215"/>
      <c r="F986" s="215"/>
      <c r="G986" s="215"/>
      <c r="H986" s="215"/>
      <c r="I986" s="215"/>
      <c r="J986" s="215"/>
      <c r="K986" s="215"/>
      <c r="L986" s="279"/>
      <c r="M986" s="279"/>
      <c r="N986" s="397"/>
      <c r="O986" s="397"/>
      <c r="P986" s="398"/>
      <c r="Q986" s="398"/>
      <c r="R986" s="398"/>
      <c r="S986" s="398"/>
      <c r="T986" s="398"/>
      <c r="V986" s="418"/>
      <c r="W986" s="419"/>
      <c r="X986" s="419"/>
      <c r="Y986" s="740"/>
    </row>
    <row r="987" spans="1:29" ht="15" customHeight="1">
      <c r="A987" s="215"/>
      <c r="B987" s="215"/>
      <c r="C987" s="215"/>
      <c r="D987" s="215"/>
      <c r="E987" s="215"/>
      <c r="F987" s="215"/>
      <c r="G987" s="215"/>
      <c r="H987" s="215"/>
      <c r="I987" s="215"/>
      <c r="J987" s="215"/>
      <c r="K987" s="215"/>
      <c r="L987" s="279"/>
      <c r="M987" s="279"/>
      <c r="N987" s="397"/>
      <c r="O987" s="397"/>
      <c r="P987" s="398"/>
      <c r="Q987" s="398"/>
      <c r="R987" s="398"/>
      <c r="S987" s="398"/>
      <c r="T987" s="398"/>
    </row>
    <row r="988" spans="1:29" ht="24" customHeight="1">
      <c r="A988" s="281" t="s">
        <v>722</v>
      </c>
      <c r="B988" s="282"/>
      <c r="C988" s="282"/>
      <c r="D988" s="281" t="s">
        <v>721</v>
      </c>
      <c r="E988" s="615"/>
      <c r="F988" s="615"/>
      <c r="G988" s="615"/>
      <c r="H988" s="615"/>
      <c r="I988" s="615"/>
      <c r="J988" s="615"/>
      <c r="K988" s="615"/>
      <c r="L988" s="224">
        <v>53650</v>
      </c>
      <c r="M988" s="224">
        <v>25325</v>
      </c>
      <c r="N988" s="151">
        <v>20000</v>
      </c>
      <c r="O988" s="151">
        <v>20000</v>
      </c>
      <c r="P988" s="150">
        <v>20000</v>
      </c>
      <c r="Q988" s="150">
        <v>20000</v>
      </c>
      <c r="R988" s="150">
        <v>20000</v>
      </c>
      <c r="S988" s="150">
        <v>20000</v>
      </c>
      <c r="T988" s="150">
        <v>20000</v>
      </c>
    </row>
    <row r="989" spans="1:29" ht="24" customHeight="1">
      <c r="A989" s="281" t="s">
        <v>687</v>
      </c>
      <c r="B989" s="282"/>
      <c r="C989" s="282"/>
      <c r="D989" s="775" t="s">
        <v>6</v>
      </c>
      <c r="E989" s="775"/>
      <c r="F989" s="775"/>
      <c r="G989" s="775"/>
      <c r="H989" s="775"/>
      <c r="I989" s="775"/>
      <c r="J989" s="775"/>
      <c r="K989" s="775"/>
      <c r="L989" s="224">
        <v>16</v>
      </c>
      <c r="M989" s="224">
        <v>11</v>
      </c>
      <c r="N989" s="151">
        <v>20</v>
      </c>
      <c r="O989" s="151">
        <v>10</v>
      </c>
      <c r="P989" s="150">
        <v>10</v>
      </c>
      <c r="Q989" s="150">
        <v>10</v>
      </c>
      <c r="R989" s="150">
        <v>10</v>
      </c>
      <c r="S989" s="150">
        <v>10</v>
      </c>
      <c r="T989" s="150">
        <v>10</v>
      </c>
    </row>
    <row r="990" spans="1:29" ht="24" customHeight="1">
      <c r="A990" s="281" t="s">
        <v>1387</v>
      </c>
      <c r="B990" s="586"/>
      <c r="C990" s="586"/>
      <c r="D990" s="281" t="s">
        <v>7</v>
      </c>
      <c r="E990" s="587"/>
      <c r="F990" s="587"/>
      <c r="G990" s="587"/>
      <c r="H990" s="587"/>
      <c r="I990" s="587"/>
      <c r="J990" s="587"/>
      <c r="K990" s="587"/>
      <c r="L990" s="230">
        <v>0</v>
      </c>
      <c r="M990" s="230">
        <v>13</v>
      </c>
      <c r="N990" s="164">
        <v>0</v>
      </c>
      <c r="O990" s="164">
        <v>0</v>
      </c>
      <c r="P990" s="163">
        <v>0</v>
      </c>
      <c r="Q990" s="163">
        <v>0</v>
      </c>
      <c r="R990" s="163">
        <v>0</v>
      </c>
      <c r="S990" s="163">
        <v>0</v>
      </c>
      <c r="T990" s="163">
        <v>0</v>
      </c>
    </row>
    <row r="991" spans="1:29" ht="15" customHeight="1">
      <c r="A991" s="215"/>
      <c r="B991" s="215"/>
      <c r="C991" s="215"/>
      <c r="D991" s="215"/>
      <c r="E991" s="215"/>
      <c r="F991" s="215"/>
      <c r="G991" s="215"/>
      <c r="H991" s="215"/>
      <c r="I991" s="215"/>
      <c r="J991" s="215"/>
      <c r="K991" s="215"/>
      <c r="L991" s="231"/>
      <c r="M991" s="231"/>
      <c r="N991" s="166"/>
      <c r="O991" s="166"/>
      <c r="P991" s="165"/>
      <c r="Q991" s="165"/>
      <c r="R991" s="165"/>
      <c r="S991" s="165"/>
      <c r="T991" s="165"/>
    </row>
    <row r="992" spans="1:29" s="215" customFormat="1" ht="24" customHeight="1">
      <c r="K992" s="285" t="s">
        <v>545</v>
      </c>
      <c r="L992" s="233">
        <f>SUM(L988:L990)</f>
        <v>53666</v>
      </c>
      <c r="M992" s="233">
        <f t="shared" ref="M992:T992" si="329">SUM(M988:M990)</f>
        <v>25349</v>
      </c>
      <c r="N992" s="234">
        <f t="shared" ref="N992" si="330">SUM(N988:N990)</f>
        <v>20020</v>
      </c>
      <c r="O992" s="234">
        <f t="shared" si="329"/>
        <v>20010</v>
      </c>
      <c r="P992" s="233">
        <f t="shared" si="329"/>
        <v>20010</v>
      </c>
      <c r="Q992" s="233">
        <f t="shared" si="329"/>
        <v>20010</v>
      </c>
      <c r="R992" s="233">
        <f t="shared" si="329"/>
        <v>20010</v>
      </c>
      <c r="S992" s="233">
        <f t="shared" si="329"/>
        <v>20010</v>
      </c>
      <c r="T992" s="233">
        <f t="shared" si="329"/>
        <v>20010</v>
      </c>
      <c r="U992" s="470"/>
    </row>
    <row r="993" spans="1:26" ht="15" customHeight="1">
      <c r="A993" s="215"/>
      <c r="B993" s="215"/>
      <c r="C993" s="215"/>
      <c r="D993" s="215"/>
      <c r="E993" s="215"/>
      <c r="F993" s="215"/>
      <c r="G993" s="215"/>
      <c r="H993" s="215"/>
      <c r="I993" s="215"/>
      <c r="J993" s="215"/>
      <c r="K993" s="285"/>
      <c r="L993" s="233"/>
      <c r="M993" s="233"/>
      <c r="N993" s="169"/>
      <c r="O993" s="169"/>
      <c r="P993" s="168"/>
      <c r="Q993" s="168"/>
      <c r="R993" s="168"/>
      <c r="S993" s="168"/>
      <c r="T993" s="168"/>
    </row>
    <row r="994" spans="1:26" ht="24" customHeight="1">
      <c r="A994" s="281" t="s">
        <v>987</v>
      </c>
      <c r="B994" s="215"/>
      <c r="C994" s="215"/>
      <c r="D994" s="281" t="s">
        <v>1113</v>
      </c>
      <c r="E994" s="355"/>
      <c r="F994" s="355"/>
      <c r="G994" s="355"/>
      <c r="H994" s="355"/>
      <c r="I994" s="355"/>
      <c r="J994" s="355"/>
      <c r="K994" s="285"/>
      <c r="L994" s="245">
        <v>3000</v>
      </c>
      <c r="M994" s="245">
        <v>3093</v>
      </c>
      <c r="N994" s="186">
        <v>3500</v>
      </c>
      <c r="O994" s="186">
        <v>3500</v>
      </c>
      <c r="P994" s="185">
        <v>3500</v>
      </c>
      <c r="Q994" s="185">
        <v>3500</v>
      </c>
      <c r="R994" s="185">
        <v>3500</v>
      </c>
      <c r="S994" s="185">
        <v>3500</v>
      </c>
      <c r="T994" s="185">
        <v>3500</v>
      </c>
      <c r="V994" s="149"/>
    </row>
    <row r="995" spans="1:26" ht="24" customHeight="1">
      <c r="A995" s="281" t="s">
        <v>913</v>
      </c>
      <c r="B995" s="282"/>
      <c r="C995" s="282"/>
      <c r="D995" s="281" t="s">
        <v>243</v>
      </c>
      <c r="E995" s="282"/>
      <c r="F995" s="282"/>
      <c r="G995" s="282"/>
      <c r="H995" s="282"/>
      <c r="I995" s="282"/>
      <c r="J995" s="215"/>
      <c r="K995" s="285"/>
      <c r="L995" s="245">
        <v>7074</v>
      </c>
      <c r="M995" s="245">
        <v>16428</v>
      </c>
      <c r="N995" s="186">
        <v>0</v>
      </c>
      <c r="O995" s="186">
        <v>0</v>
      </c>
      <c r="P995" s="185">
        <v>0</v>
      </c>
      <c r="Q995" s="185">
        <v>0</v>
      </c>
      <c r="R995" s="185">
        <v>0</v>
      </c>
      <c r="S995" s="185">
        <v>0</v>
      </c>
      <c r="T995" s="185">
        <v>0</v>
      </c>
    </row>
    <row r="996" spans="1:26" ht="24" customHeight="1">
      <c r="A996" s="281" t="s">
        <v>910</v>
      </c>
      <c r="B996" s="215"/>
      <c r="C996" s="215"/>
      <c r="D996" s="281" t="s">
        <v>530</v>
      </c>
      <c r="E996" s="215"/>
      <c r="F996" s="215"/>
      <c r="G996" s="215"/>
      <c r="H996" s="215"/>
      <c r="I996" s="215"/>
      <c r="J996" s="215"/>
      <c r="K996" s="215"/>
      <c r="L996" s="245">
        <v>1482</v>
      </c>
      <c r="M996" s="245">
        <v>2467</v>
      </c>
      <c r="N996" s="186">
        <v>0</v>
      </c>
      <c r="O996" s="186">
        <v>0</v>
      </c>
      <c r="P996" s="185">
        <v>0</v>
      </c>
      <c r="Q996" s="185">
        <v>0</v>
      </c>
      <c r="R996" s="185">
        <v>0</v>
      </c>
      <c r="S996" s="185">
        <v>0</v>
      </c>
      <c r="T996" s="185">
        <v>0</v>
      </c>
    </row>
    <row r="997" spans="1:26" ht="24" customHeight="1">
      <c r="A997" s="281" t="s">
        <v>911</v>
      </c>
      <c r="B997" s="215"/>
      <c r="C997" s="215"/>
      <c r="D997" s="281" t="s">
        <v>1085</v>
      </c>
      <c r="E997" s="215"/>
      <c r="F997" s="215"/>
      <c r="G997" s="215"/>
      <c r="H997" s="215"/>
      <c r="I997" s="215"/>
      <c r="J997" s="215"/>
      <c r="K997" s="215"/>
      <c r="L997" s="245">
        <v>666</v>
      </c>
      <c r="M997" s="245">
        <v>0</v>
      </c>
      <c r="N997" s="186">
        <v>0</v>
      </c>
      <c r="O997" s="186">
        <v>0</v>
      </c>
      <c r="P997" s="185">
        <v>0</v>
      </c>
      <c r="Q997" s="185">
        <v>0</v>
      </c>
      <c r="R997" s="185">
        <v>0</v>
      </c>
      <c r="S997" s="185">
        <v>0</v>
      </c>
      <c r="T997" s="185">
        <v>0</v>
      </c>
    </row>
    <row r="998" spans="1:26" ht="24" customHeight="1">
      <c r="A998" s="281" t="s">
        <v>912</v>
      </c>
      <c r="B998" s="215"/>
      <c r="C998" s="215"/>
      <c r="D998" s="281" t="s">
        <v>533</v>
      </c>
      <c r="E998" s="215"/>
      <c r="F998" s="215"/>
      <c r="G998" s="215"/>
      <c r="H998" s="215"/>
      <c r="I998" s="215"/>
      <c r="J998" s="215"/>
      <c r="K998" s="215"/>
      <c r="L998" s="245">
        <v>2062</v>
      </c>
      <c r="M998" s="245">
        <v>1250</v>
      </c>
      <c r="N998" s="186">
        <v>0</v>
      </c>
      <c r="O998" s="186">
        <v>0</v>
      </c>
      <c r="P998" s="185">
        <v>0</v>
      </c>
      <c r="Q998" s="185">
        <v>0</v>
      </c>
      <c r="R998" s="185">
        <v>0</v>
      </c>
      <c r="S998" s="185">
        <v>0</v>
      </c>
      <c r="T998" s="185">
        <v>0</v>
      </c>
    </row>
    <row r="999" spans="1:26" ht="24" customHeight="1">
      <c r="A999" s="281" t="s">
        <v>915</v>
      </c>
      <c r="B999" s="215"/>
      <c r="C999" s="215"/>
      <c r="D999" s="281" t="s">
        <v>914</v>
      </c>
      <c r="E999" s="215"/>
      <c r="F999" s="215"/>
      <c r="G999" s="215"/>
      <c r="H999" s="215"/>
      <c r="I999" s="215"/>
      <c r="J999" s="215"/>
      <c r="K999" s="215"/>
      <c r="L999" s="264">
        <v>28200</v>
      </c>
      <c r="M999" s="264">
        <v>16267</v>
      </c>
      <c r="N999" s="205">
        <v>8395</v>
      </c>
      <c r="O999" s="205">
        <v>8395</v>
      </c>
      <c r="P999" s="204">
        <v>8395</v>
      </c>
      <c r="Q999" s="204">
        <v>16500</v>
      </c>
      <c r="R999" s="204">
        <v>16510</v>
      </c>
      <c r="S999" s="204">
        <v>16510</v>
      </c>
      <c r="T999" s="204">
        <v>16510</v>
      </c>
      <c r="V999" s="418"/>
      <c r="W999" s="418"/>
      <c r="X999" s="418"/>
    </row>
    <row r="1000" spans="1:26" ht="15" customHeight="1">
      <c r="A1000" s="281"/>
      <c r="B1000" s="215"/>
      <c r="C1000" s="215"/>
      <c r="D1000" s="215"/>
      <c r="E1000" s="215"/>
      <c r="F1000" s="215"/>
      <c r="G1000" s="215"/>
      <c r="H1000" s="215"/>
      <c r="I1000" s="215"/>
      <c r="J1000" s="215"/>
      <c r="K1000" s="215"/>
      <c r="L1000" s="231"/>
      <c r="M1000" s="231"/>
      <c r="N1000" s="166"/>
      <c r="O1000" s="166"/>
      <c r="P1000" s="165"/>
      <c r="Q1000" s="165"/>
      <c r="R1000" s="165"/>
      <c r="S1000" s="165"/>
      <c r="T1000" s="165"/>
    </row>
    <row r="1001" spans="1:26" s="215" customFormat="1" ht="24" customHeight="1">
      <c r="A1001" s="281"/>
      <c r="K1001" s="285" t="s">
        <v>548</v>
      </c>
      <c r="L1001" s="233">
        <f t="shared" ref="L1001" si="331">SUM(L994:L1000)</f>
        <v>42484</v>
      </c>
      <c r="M1001" s="233">
        <f t="shared" ref="M1001:T1001" si="332">SUM(M994:M1000)</f>
        <v>39505</v>
      </c>
      <c r="N1001" s="234">
        <f t="shared" ref="N1001" si="333">SUM(N994:N1000)</f>
        <v>11895</v>
      </c>
      <c r="O1001" s="234">
        <f t="shared" si="332"/>
        <v>11895</v>
      </c>
      <c r="P1001" s="233">
        <f t="shared" si="332"/>
        <v>11895</v>
      </c>
      <c r="Q1001" s="233">
        <f t="shared" si="332"/>
        <v>20000</v>
      </c>
      <c r="R1001" s="233">
        <f t="shared" si="332"/>
        <v>20010</v>
      </c>
      <c r="S1001" s="233">
        <f t="shared" si="332"/>
        <v>20010</v>
      </c>
      <c r="T1001" s="233">
        <f t="shared" si="332"/>
        <v>20010</v>
      </c>
      <c r="U1001" s="579"/>
      <c r="V1001" s="713"/>
      <c r="W1001" s="713"/>
      <c r="X1001" s="713"/>
      <c r="Y1001" s="713"/>
      <c r="Z1001" s="713"/>
    </row>
    <row r="1002" spans="1:26" s="215" customFormat="1" ht="15" customHeight="1">
      <c r="A1002" s="281"/>
      <c r="L1002" s="231"/>
      <c r="M1002" s="231"/>
      <c r="N1002" s="232"/>
      <c r="O1002" s="232"/>
      <c r="P1002" s="231"/>
      <c r="Q1002" s="231"/>
      <c r="R1002" s="231"/>
      <c r="S1002" s="231"/>
      <c r="T1002" s="231"/>
      <c r="U1002" s="579"/>
      <c r="V1002" s="713"/>
      <c r="W1002" s="713"/>
      <c r="X1002" s="713"/>
      <c r="Y1002" s="713"/>
      <c r="Z1002" s="713"/>
    </row>
    <row r="1003" spans="1:26" s="215" customFormat="1" ht="24" customHeight="1">
      <c r="K1003" s="285" t="s">
        <v>549</v>
      </c>
      <c r="L1003" s="233">
        <f t="shared" ref="L1003:T1003" si="334">L992-L1001</f>
        <v>11182</v>
      </c>
      <c r="M1003" s="233">
        <f t="shared" si="334"/>
        <v>-14156</v>
      </c>
      <c r="N1003" s="234">
        <f t="shared" si="334"/>
        <v>8125</v>
      </c>
      <c r="O1003" s="234">
        <f t="shared" ref="O1003" si="335">O992-O1001</f>
        <v>8115</v>
      </c>
      <c r="P1003" s="233">
        <f t="shared" si="334"/>
        <v>8115</v>
      </c>
      <c r="Q1003" s="233">
        <f t="shared" si="334"/>
        <v>10</v>
      </c>
      <c r="R1003" s="233">
        <f t="shared" si="334"/>
        <v>0</v>
      </c>
      <c r="S1003" s="233">
        <f t="shared" si="334"/>
        <v>0</v>
      </c>
      <c r="T1003" s="233">
        <f t="shared" si="334"/>
        <v>0</v>
      </c>
      <c r="U1003" s="579"/>
      <c r="V1003" s="713"/>
      <c r="W1003" s="713"/>
      <c r="X1003" s="713"/>
      <c r="Y1003" s="713"/>
      <c r="Z1003" s="713"/>
    </row>
    <row r="1004" spans="1:26" s="215" customFormat="1" ht="15" customHeight="1">
      <c r="L1004" s="231"/>
      <c r="M1004" s="231"/>
      <c r="N1004" s="232"/>
      <c r="O1004" s="232"/>
      <c r="P1004" s="231"/>
      <c r="Q1004" s="231"/>
      <c r="R1004" s="231"/>
      <c r="S1004" s="231"/>
      <c r="T1004" s="231"/>
      <c r="U1004" s="470"/>
    </row>
    <row r="1005" spans="1:26" s="215" customFormat="1" ht="24" customHeight="1">
      <c r="K1005" s="290" t="s">
        <v>551</v>
      </c>
      <c r="L1005" s="233">
        <v>26870</v>
      </c>
      <c r="M1005" s="233">
        <v>12714</v>
      </c>
      <c r="N1005" s="234">
        <v>-10</v>
      </c>
      <c r="O1005" s="234">
        <f>M1005+O1003</f>
        <v>20829</v>
      </c>
      <c r="P1005" s="233">
        <f>O1005+P1003</f>
        <v>28944</v>
      </c>
      <c r="Q1005" s="233">
        <f>P1005+Q1003</f>
        <v>28954</v>
      </c>
      <c r="R1005" s="233">
        <f>Q1005+R1003</f>
        <v>28954</v>
      </c>
      <c r="S1005" s="233">
        <f>R1005+S1003</f>
        <v>28954</v>
      </c>
      <c r="T1005" s="233">
        <f>S1005+T1003</f>
        <v>28954</v>
      </c>
      <c r="U1005" s="470"/>
    </row>
    <row r="1006" spans="1:26" ht="15" customHeight="1">
      <c r="A1006" s="215"/>
      <c r="B1006" s="215"/>
      <c r="C1006" s="215"/>
      <c r="D1006" s="215"/>
      <c r="E1006" s="215"/>
      <c r="F1006" s="215"/>
      <c r="G1006" s="215"/>
      <c r="H1006" s="215"/>
      <c r="I1006" s="215"/>
      <c r="J1006" s="215"/>
      <c r="K1006" s="215"/>
      <c r="L1006" s="279"/>
      <c r="M1006" s="279"/>
      <c r="N1006" s="397"/>
      <c r="O1006" s="397"/>
      <c r="P1006" s="398"/>
      <c r="Q1006" s="398"/>
      <c r="R1006" s="398"/>
      <c r="S1006" s="398"/>
      <c r="T1006" s="398"/>
    </row>
    <row r="1007" spans="1:26" ht="24" customHeight="1">
      <c r="A1007" s="292" t="s">
        <v>538</v>
      </c>
      <c r="B1007" s="215"/>
      <c r="C1007" s="215"/>
      <c r="D1007" s="215"/>
      <c r="E1007" s="215"/>
      <c r="F1007" s="215"/>
      <c r="G1007" s="215"/>
      <c r="H1007" s="215"/>
      <c r="I1007" s="215"/>
      <c r="J1007" s="215"/>
      <c r="K1007" s="215"/>
      <c r="L1007" s="279"/>
      <c r="M1007" s="279"/>
      <c r="N1007" s="397"/>
      <c r="O1007" s="397"/>
      <c r="P1007" s="398"/>
      <c r="Q1007" s="398"/>
      <c r="R1007" s="398"/>
      <c r="S1007" s="398"/>
      <c r="T1007" s="398"/>
    </row>
    <row r="1008" spans="1:26" ht="15" customHeight="1">
      <c r="A1008" s="215"/>
      <c r="B1008" s="215"/>
      <c r="C1008" s="215"/>
      <c r="D1008" s="215"/>
      <c r="E1008" s="215"/>
      <c r="F1008" s="215"/>
      <c r="G1008" s="215"/>
      <c r="H1008" s="215"/>
      <c r="I1008" s="215"/>
      <c r="J1008" s="215"/>
      <c r="K1008" s="215"/>
      <c r="L1008" s="279"/>
      <c r="M1008" s="279"/>
      <c r="N1008" s="397"/>
      <c r="O1008" s="397"/>
      <c r="P1008" s="398"/>
      <c r="Q1008" s="398"/>
      <c r="R1008" s="398"/>
      <c r="S1008" s="398"/>
      <c r="T1008" s="398"/>
    </row>
    <row r="1009" spans="1:35" ht="24" customHeight="1">
      <c r="A1009" s="364" t="s">
        <v>1130</v>
      </c>
      <c r="B1009" s="215"/>
      <c r="C1009" s="215"/>
      <c r="D1009" s="698" t="s">
        <v>1129</v>
      </c>
      <c r="E1009" s="698"/>
      <c r="F1009" s="698"/>
      <c r="G1009" s="698"/>
      <c r="H1009" s="698"/>
      <c r="I1009" s="698"/>
      <c r="J1009" s="698"/>
      <c r="K1009" s="698"/>
      <c r="L1009" s="224">
        <v>0</v>
      </c>
      <c r="M1009" s="224">
        <v>9295</v>
      </c>
      <c r="N1009" s="151">
        <v>100000</v>
      </c>
      <c r="O1009" s="148">
        <v>143784</v>
      </c>
      <c r="P1009" s="150">
        <v>200000</v>
      </c>
      <c r="Q1009" s="150">
        <v>200000</v>
      </c>
      <c r="R1009" s="150">
        <v>200000</v>
      </c>
      <c r="S1009" s="150">
        <v>200000</v>
      </c>
      <c r="T1009" s="150">
        <v>200000</v>
      </c>
      <c r="U1009" s="150"/>
    </row>
    <row r="1010" spans="1:35" ht="24" customHeight="1">
      <c r="A1010" s="433" t="s">
        <v>1202</v>
      </c>
      <c r="B1010" s="433"/>
      <c r="C1010" s="433"/>
      <c r="D1010" s="433" t="s">
        <v>1145</v>
      </c>
      <c r="E1010" s="433"/>
      <c r="F1010" s="433"/>
      <c r="G1010" s="433"/>
      <c r="H1010" s="433"/>
      <c r="I1010" s="433"/>
      <c r="J1010" s="433"/>
      <c r="K1010" s="433"/>
      <c r="L1010" s="224">
        <v>2043</v>
      </c>
      <c r="M1010" s="224">
        <v>0</v>
      </c>
      <c r="N1010" s="151">
        <v>0</v>
      </c>
      <c r="O1010" s="151">
        <v>0</v>
      </c>
      <c r="P1010" s="150">
        <v>0</v>
      </c>
      <c r="Q1010" s="150">
        <v>0</v>
      </c>
      <c r="R1010" s="150">
        <v>0</v>
      </c>
      <c r="S1010" s="150">
        <v>0</v>
      </c>
      <c r="T1010" s="150">
        <v>0</v>
      </c>
    </row>
    <row r="1011" spans="1:35" ht="24" customHeight="1">
      <c r="A1011" s="281" t="s">
        <v>537</v>
      </c>
      <c r="B1011" s="282"/>
      <c r="C1011" s="282"/>
      <c r="D1011" s="770" t="s">
        <v>6</v>
      </c>
      <c r="E1011" s="770"/>
      <c r="F1011" s="770"/>
      <c r="G1011" s="770"/>
      <c r="H1011" s="770"/>
      <c r="I1011" s="770"/>
      <c r="J1011" s="770"/>
      <c r="K1011" s="770"/>
      <c r="L1011" s="224">
        <v>106</v>
      </c>
      <c r="M1011" s="224">
        <v>0</v>
      </c>
      <c r="N1011" s="151">
        <v>0</v>
      </c>
      <c r="O1011" s="151">
        <v>0</v>
      </c>
      <c r="P1011" s="150">
        <v>0</v>
      </c>
      <c r="Q1011" s="150">
        <v>0</v>
      </c>
      <c r="R1011" s="150">
        <v>0</v>
      </c>
      <c r="S1011" s="150">
        <v>0</v>
      </c>
      <c r="T1011" s="150">
        <v>0</v>
      </c>
    </row>
    <row r="1012" spans="1:35" ht="24" customHeight="1">
      <c r="A1012" s="281" t="s">
        <v>1244</v>
      </c>
      <c r="B1012" s="449"/>
      <c r="C1012" s="449"/>
      <c r="D1012" s="770" t="s">
        <v>1245</v>
      </c>
      <c r="E1012" s="770"/>
      <c r="F1012" s="770"/>
      <c r="G1012" s="770"/>
      <c r="H1012" s="770"/>
      <c r="I1012" s="770"/>
      <c r="J1012" s="770"/>
      <c r="K1012" s="770"/>
      <c r="L1012" s="224">
        <v>1235000</v>
      </c>
      <c r="M1012" s="224">
        <v>0</v>
      </c>
      <c r="N1012" s="151">
        <v>0</v>
      </c>
      <c r="O1012" s="151">
        <v>1475000</v>
      </c>
      <c r="P1012" s="150">
        <v>0</v>
      </c>
      <c r="Q1012" s="150">
        <v>0</v>
      </c>
      <c r="R1012" s="150">
        <v>0</v>
      </c>
      <c r="S1012" s="150">
        <v>0</v>
      </c>
      <c r="T1012" s="150">
        <v>0</v>
      </c>
    </row>
    <row r="1013" spans="1:35" ht="24" customHeight="1">
      <c r="A1013" s="648" t="s">
        <v>1407</v>
      </c>
      <c r="B1013" s="647"/>
      <c r="C1013" s="647"/>
      <c r="D1013" s="648" t="s">
        <v>1274</v>
      </c>
      <c r="E1013" s="647"/>
      <c r="F1013" s="647"/>
      <c r="G1013" s="647"/>
      <c r="H1013" s="647"/>
      <c r="I1013" s="647"/>
      <c r="J1013" s="647"/>
      <c r="K1013" s="647"/>
      <c r="L1013" s="230">
        <v>0</v>
      </c>
      <c r="M1013" s="230">
        <v>0</v>
      </c>
      <c r="N1013" s="164">
        <v>0</v>
      </c>
      <c r="O1013" s="164">
        <v>122288</v>
      </c>
      <c r="P1013" s="163">
        <v>0</v>
      </c>
      <c r="Q1013" s="163">
        <v>0</v>
      </c>
      <c r="R1013" s="163">
        <v>0</v>
      </c>
      <c r="S1013" s="163">
        <v>0</v>
      </c>
      <c r="T1013" s="163">
        <v>0</v>
      </c>
    </row>
    <row r="1014" spans="1:35" ht="15" customHeight="1">
      <c r="A1014" s="215"/>
      <c r="B1014" s="215"/>
      <c r="C1014" s="215"/>
      <c r="D1014" s="215"/>
      <c r="E1014" s="215"/>
      <c r="F1014" s="215"/>
      <c r="G1014" s="215"/>
      <c r="H1014" s="215"/>
      <c r="I1014" s="215"/>
      <c r="J1014" s="215"/>
      <c r="K1014" s="215"/>
      <c r="L1014" s="231"/>
      <c r="M1014" s="231"/>
      <c r="N1014" s="166"/>
      <c r="O1014" s="166"/>
      <c r="P1014" s="165"/>
      <c r="Q1014" s="165"/>
      <c r="R1014" s="165"/>
      <c r="S1014" s="165"/>
      <c r="T1014" s="165"/>
    </row>
    <row r="1015" spans="1:35" s="215" customFormat="1" ht="24" customHeight="1">
      <c r="K1015" s="285" t="s">
        <v>545</v>
      </c>
      <c r="L1015" s="233">
        <f>SUM(L1009:L1014)</f>
        <v>1237149</v>
      </c>
      <c r="M1015" s="233">
        <f t="shared" ref="M1015" si="336">SUM(M1009:M1014)</f>
        <v>9295</v>
      </c>
      <c r="N1015" s="234">
        <f>SUM(N1009:N1014)</f>
        <v>100000</v>
      </c>
      <c r="O1015" s="234">
        <f>SUM(O1009:O1014)</f>
        <v>1741072</v>
      </c>
      <c r="P1015" s="233">
        <f>SUM(P1009:P1014)</f>
        <v>200000</v>
      </c>
      <c r="Q1015" s="233">
        <f t="shared" ref="Q1015" si="337">SUM(Q1009:Q1014)</f>
        <v>200000</v>
      </c>
      <c r="R1015" s="233">
        <f>SUM(R1009:R1014)</f>
        <v>200000</v>
      </c>
      <c r="S1015" s="233">
        <f>SUM(S1009:S1014)</f>
        <v>200000</v>
      </c>
      <c r="T1015" s="233">
        <f>SUM(T1009:T1014)</f>
        <v>200000</v>
      </c>
      <c r="U1015" s="470"/>
      <c r="W1015" s="231"/>
    </row>
    <row r="1016" spans="1:35" ht="15" customHeight="1">
      <c r="A1016" s="215"/>
      <c r="B1016" s="215"/>
      <c r="C1016" s="215"/>
      <c r="D1016" s="215"/>
      <c r="E1016" s="215"/>
      <c r="F1016" s="215"/>
      <c r="G1016" s="215"/>
      <c r="H1016" s="215"/>
      <c r="I1016" s="215"/>
      <c r="J1016" s="215"/>
      <c r="K1016" s="215"/>
      <c r="L1016" s="231"/>
      <c r="M1016" s="231"/>
      <c r="N1016" s="166"/>
      <c r="O1016" s="166"/>
      <c r="P1016" s="165"/>
      <c r="Q1016" s="165"/>
      <c r="R1016" s="165"/>
      <c r="S1016" s="165"/>
      <c r="T1016" s="165"/>
    </row>
    <row r="1017" spans="1:35" ht="24" customHeight="1">
      <c r="A1017" s="281" t="s">
        <v>1246</v>
      </c>
      <c r="B1017" s="449"/>
      <c r="C1017" s="449"/>
      <c r="D1017" s="281" t="s">
        <v>1247</v>
      </c>
      <c r="E1017" s="449"/>
      <c r="F1017" s="449"/>
      <c r="G1017" s="449"/>
      <c r="H1017" s="449"/>
      <c r="I1017" s="449"/>
      <c r="J1017" s="449"/>
      <c r="K1017" s="450"/>
      <c r="L1017" s="222">
        <v>37315</v>
      </c>
      <c r="M1017" s="222">
        <v>0</v>
      </c>
      <c r="N1017" s="148">
        <v>0</v>
      </c>
      <c r="O1017" s="148">
        <v>15304</v>
      </c>
      <c r="P1017" s="147">
        <v>0</v>
      </c>
      <c r="Q1017" s="147">
        <v>0</v>
      </c>
      <c r="R1017" s="147">
        <v>0</v>
      </c>
      <c r="S1017" s="147">
        <v>0</v>
      </c>
      <c r="T1017" s="147">
        <v>0</v>
      </c>
      <c r="V1017" s="152"/>
    </row>
    <row r="1018" spans="1:35" ht="24" customHeight="1">
      <c r="A1018" s="281" t="s">
        <v>983</v>
      </c>
      <c r="B1018" s="282"/>
      <c r="C1018" s="282"/>
      <c r="D1018" s="281" t="s">
        <v>1045</v>
      </c>
      <c r="E1018" s="282"/>
      <c r="F1018" s="282"/>
      <c r="G1018" s="282"/>
      <c r="H1018" s="282"/>
      <c r="I1018" s="282"/>
      <c r="J1018" s="282"/>
      <c r="K1018" s="215"/>
      <c r="L1018" s="222">
        <v>1800000</v>
      </c>
      <c r="M1018" s="222">
        <v>0</v>
      </c>
      <c r="N1018" s="148">
        <v>0</v>
      </c>
      <c r="O1018" s="148">
        <v>0</v>
      </c>
      <c r="P1018" s="147">
        <v>0</v>
      </c>
      <c r="Q1018" s="147">
        <v>0</v>
      </c>
      <c r="R1018" s="147">
        <v>0</v>
      </c>
      <c r="S1018" s="147">
        <v>0</v>
      </c>
      <c r="T1018" s="147">
        <v>0</v>
      </c>
      <c r="V1018" s="152"/>
    </row>
    <row r="1019" spans="1:35" ht="24" customHeight="1">
      <c r="A1019" s="281" t="s">
        <v>1337</v>
      </c>
      <c r="B1019" s="560"/>
      <c r="C1019" s="560"/>
      <c r="D1019" s="281" t="s">
        <v>10</v>
      </c>
      <c r="E1019" s="560"/>
      <c r="F1019" s="560"/>
      <c r="G1019" s="560"/>
      <c r="H1019" s="560"/>
      <c r="I1019" s="560"/>
      <c r="J1019" s="560"/>
      <c r="K1019" s="561"/>
      <c r="L1019" s="222">
        <v>3416</v>
      </c>
      <c r="M1019" s="222">
        <v>3829</v>
      </c>
      <c r="N1019" s="148">
        <v>2000</v>
      </c>
      <c r="O1019" s="148">
        <v>2000</v>
      </c>
      <c r="P1019" s="147">
        <v>2000</v>
      </c>
      <c r="Q1019" s="147">
        <v>2000</v>
      </c>
      <c r="R1019" s="147">
        <v>2000</v>
      </c>
      <c r="S1019" s="147">
        <v>2000</v>
      </c>
      <c r="T1019" s="147">
        <v>2000</v>
      </c>
      <c r="V1019" s="152"/>
    </row>
    <row r="1020" spans="1:35" ht="24" customHeight="1">
      <c r="A1020" s="281" t="s">
        <v>1203</v>
      </c>
      <c r="B1020" s="432"/>
      <c r="C1020" s="432"/>
      <c r="D1020" s="281" t="s">
        <v>1056</v>
      </c>
      <c r="E1020" s="432"/>
      <c r="F1020" s="432"/>
      <c r="G1020" s="432"/>
      <c r="H1020" s="432"/>
      <c r="I1020" s="432"/>
      <c r="J1020" s="432"/>
      <c r="K1020" s="432"/>
      <c r="L1020" s="225">
        <v>2043</v>
      </c>
      <c r="M1020" s="225">
        <v>0</v>
      </c>
      <c r="N1020" s="227">
        <f t="shared" ref="N1020" si="338">N1010</f>
        <v>0</v>
      </c>
      <c r="O1020" s="227">
        <v>0</v>
      </c>
      <c r="P1020" s="225">
        <f t="shared" ref="P1020:S1020" si="339">P1010</f>
        <v>0</v>
      </c>
      <c r="Q1020" s="225">
        <f t="shared" si="339"/>
        <v>0</v>
      </c>
      <c r="R1020" s="225">
        <f t="shared" si="339"/>
        <v>0</v>
      </c>
      <c r="S1020" s="225">
        <f t="shared" si="339"/>
        <v>0</v>
      </c>
      <c r="T1020" s="225">
        <f t="shared" ref="T1020" si="340">T1010</f>
        <v>0</v>
      </c>
      <c r="V1020" s="152"/>
    </row>
    <row r="1021" spans="1:35" ht="24" customHeight="1">
      <c r="A1021" s="281" t="s">
        <v>539</v>
      </c>
      <c r="B1021" s="282"/>
      <c r="C1021" s="282"/>
      <c r="D1021" s="281" t="s">
        <v>312</v>
      </c>
      <c r="E1021" s="282"/>
      <c r="F1021" s="282"/>
      <c r="G1021" s="282"/>
      <c r="H1021" s="282"/>
      <c r="I1021" s="282"/>
      <c r="J1021" s="282"/>
      <c r="K1021" s="215"/>
      <c r="L1021" s="225">
        <v>375</v>
      </c>
      <c r="M1021" s="225">
        <v>1124</v>
      </c>
      <c r="N1021" s="157">
        <v>1140</v>
      </c>
      <c r="O1021" s="157">
        <v>1325</v>
      </c>
      <c r="P1021" s="154">
        <v>1140</v>
      </c>
      <c r="Q1021" s="154">
        <v>1140</v>
      </c>
      <c r="R1021" s="154">
        <v>1140</v>
      </c>
      <c r="S1021" s="154">
        <v>1140</v>
      </c>
      <c r="T1021" s="154">
        <v>1140</v>
      </c>
      <c r="V1021" s="457"/>
      <c r="W1021" s="457"/>
      <c r="X1021" s="457"/>
      <c r="Y1021" s="457"/>
      <c r="Z1021" s="457"/>
      <c r="AA1021" s="457"/>
      <c r="AB1021" s="457"/>
      <c r="AC1021" s="457"/>
      <c r="AD1021" s="457"/>
      <c r="AE1021" s="457"/>
      <c r="AF1021" s="457"/>
      <c r="AG1021" s="457"/>
      <c r="AH1021" s="457"/>
      <c r="AI1021" s="457"/>
    </row>
    <row r="1022" spans="1:35" ht="24" customHeight="1">
      <c r="A1022" s="281" t="s">
        <v>1285</v>
      </c>
      <c r="B1022" s="477"/>
      <c r="C1022" s="477"/>
      <c r="D1022" s="281" t="s">
        <v>673</v>
      </c>
      <c r="E1022" s="477"/>
      <c r="F1022" s="477"/>
      <c r="G1022" s="477"/>
      <c r="H1022" s="477"/>
      <c r="I1022" s="477"/>
      <c r="J1022" s="477"/>
      <c r="K1022" s="477"/>
      <c r="L1022" s="225">
        <v>0</v>
      </c>
      <c r="M1022" s="225">
        <v>7004</v>
      </c>
      <c r="N1022" s="157">
        <v>0</v>
      </c>
      <c r="O1022" s="157">
        <v>0</v>
      </c>
      <c r="P1022" s="154">
        <v>0</v>
      </c>
      <c r="Q1022" s="154">
        <v>0</v>
      </c>
      <c r="R1022" s="154">
        <v>0</v>
      </c>
      <c r="S1022" s="154">
        <v>0</v>
      </c>
      <c r="T1022" s="154">
        <v>0</v>
      </c>
    </row>
    <row r="1023" spans="1:35" ht="24" customHeight="1">
      <c r="A1023" s="287" t="s">
        <v>1368</v>
      </c>
      <c r="B1023" s="588"/>
      <c r="C1023" s="588"/>
      <c r="D1023" s="281"/>
      <c r="E1023" s="588"/>
      <c r="F1023" s="588"/>
      <c r="G1023" s="588"/>
      <c r="H1023" s="588"/>
      <c r="I1023" s="588"/>
      <c r="J1023" s="588"/>
      <c r="K1023" s="588"/>
      <c r="L1023" s="224"/>
      <c r="M1023" s="224"/>
      <c r="N1023" s="151"/>
      <c r="O1023" s="151"/>
      <c r="P1023" s="150"/>
      <c r="Q1023" s="150"/>
      <c r="R1023" s="150"/>
      <c r="S1023" s="150"/>
      <c r="T1023" s="150"/>
      <c r="V1023" s="458"/>
      <c r="W1023" s="458"/>
      <c r="X1023" s="458"/>
      <c r="Y1023" s="458"/>
      <c r="Z1023" s="458"/>
      <c r="AA1023" s="458"/>
      <c r="AB1023" s="458"/>
      <c r="AC1023" s="458"/>
      <c r="AD1023" s="458"/>
      <c r="AE1023" s="458"/>
      <c r="AF1023" s="458"/>
      <c r="AG1023" s="458"/>
      <c r="AH1023" s="458"/>
      <c r="AI1023" s="458"/>
    </row>
    <row r="1024" spans="1:35" ht="24" customHeight="1">
      <c r="A1024" s="710" t="s">
        <v>1419</v>
      </c>
      <c r="B1024" s="588"/>
      <c r="C1024" s="588"/>
      <c r="D1024" s="281" t="s">
        <v>1042</v>
      </c>
      <c r="E1024" s="588"/>
      <c r="F1024" s="588"/>
      <c r="G1024" s="588"/>
      <c r="H1024" s="588"/>
      <c r="I1024" s="588"/>
      <c r="J1024" s="588"/>
      <c r="K1024" s="588"/>
      <c r="L1024" s="224">
        <v>0</v>
      </c>
      <c r="M1024" s="224">
        <v>0</v>
      </c>
      <c r="N1024" s="151">
        <v>0</v>
      </c>
      <c r="O1024" s="151">
        <v>0</v>
      </c>
      <c r="P1024" s="150">
        <f>ROUND(100000*0.2646,0)</f>
        <v>26460</v>
      </c>
      <c r="Q1024" s="150">
        <f>ROUND(155000*0.2646,0)</f>
        <v>41013</v>
      </c>
      <c r="R1024" s="150">
        <f>ROUND(160000*0.2646,0)</f>
        <v>42336</v>
      </c>
      <c r="S1024" s="150">
        <f>ROUND(395000*0.2646,0)</f>
        <v>104517</v>
      </c>
      <c r="T1024" s="150">
        <f>ROUND(405000*0.2646,0)</f>
        <v>107163</v>
      </c>
      <c r="V1024" s="593"/>
      <c r="W1024" s="593"/>
      <c r="X1024" s="593"/>
      <c r="Y1024" s="593"/>
      <c r="Z1024" s="593"/>
      <c r="AA1024" s="593"/>
      <c r="AB1024" s="593"/>
      <c r="AC1024" s="593"/>
      <c r="AD1024" s="593"/>
      <c r="AE1024" s="593"/>
      <c r="AF1024" s="593"/>
      <c r="AG1024" s="593"/>
      <c r="AH1024" s="593"/>
      <c r="AI1024" s="593"/>
    </row>
    <row r="1025" spans="1:35" ht="24" customHeight="1">
      <c r="A1025" s="710" t="s">
        <v>1420</v>
      </c>
      <c r="B1025" s="588"/>
      <c r="C1025" s="588"/>
      <c r="D1025" s="281" t="s">
        <v>292</v>
      </c>
      <c r="E1025" s="588"/>
      <c r="F1025" s="588"/>
      <c r="G1025" s="588"/>
      <c r="H1025" s="588"/>
      <c r="I1025" s="588"/>
      <c r="J1025" s="588"/>
      <c r="K1025" s="588"/>
      <c r="L1025" s="225">
        <v>0</v>
      </c>
      <c r="M1025" s="225">
        <v>0</v>
      </c>
      <c r="N1025" s="157">
        <v>83016</v>
      </c>
      <c r="O1025" s="157">
        <v>0</v>
      </c>
      <c r="P1025" s="150">
        <f>ROUND((200081+111500)*0.2646,0)</f>
        <v>82444</v>
      </c>
      <c r="Q1025" s="150">
        <f>ROUND((109500*2)*0.2646,0)</f>
        <v>57947</v>
      </c>
      <c r="R1025" s="150">
        <f>ROUND((106400*2)*0.2646,0)</f>
        <v>56307</v>
      </c>
      <c r="S1025" s="150">
        <f>ROUND((103200*2)*0.2646,0)</f>
        <v>54613</v>
      </c>
      <c r="T1025" s="150">
        <f>ROUND((95300*2)*0.2646,0)</f>
        <v>50433</v>
      </c>
      <c r="V1025" s="593"/>
      <c r="W1025" s="593"/>
      <c r="X1025" s="593"/>
      <c r="Y1025" s="593"/>
      <c r="Z1025" s="593"/>
      <c r="AA1025" s="593"/>
      <c r="AB1025" s="593"/>
      <c r="AC1025" s="593"/>
      <c r="AD1025" s="593"/>
      <c r="AE1025" s="593"/>
      <c r="AF1025" s="593"/>
      <c r="AG1025" s="593"/>
      <c r="AH1025" s="593"/>
      <c r="AI1025" s="593"/>
    </row>
    <row r="1026" spans="1:35" ht="24" customHeight="1">
      <c r="A1026" s="285" t="s">
        <v>540</v>
      </c>
      <c r="B1026" s="285"/>
      <c r="C1026" s="285"/>
      <c r="D1026" s="285"/>
      <c r="E1026" s="285"/>
      <c r="F1026" s="285"/>
      <c r="G1026" s="285"/>
      <c r="H1026" s="285"/>
      <c r="I1026" s="285"/>
      <c r="J1026" s="285"/>
      <c r="K1026" s="380"/>
      <c r="L1026" s="231"/>
      <c r="M1026" s="231"/>
      <c r="N1026" s="166"/>
      <c r="O1026" s="166"/>
      <c r="P1026" s="165"/>
      <c r="Q1026" s="165"/>
      <c r="R1026" s="165"/>
      <c r="S1026" s="165"/>
      <c r="T1026" s="165"/>
      <c r="V1026" s="458"/>
      <c r="W1026" s="458"/>
      <c r="X1026" s="458"/>
      <c r="Y1026" s="458"/>
      <c r="Z1026" s="458"/>
      <c r="AA1026" s="458"/>
      <c r="AB1026" s="458"/>
      <c r="AC1026" s="458"/>
      <c r="AD1026" s="458"/>
      <c r="AE1026" s="503"/>
      <c r="AF1026" s="503"/>
      <c r="AG1026" s="503"/>
      <c r="AH1026" s="503"/>
      <c r="AI1026" s="503"/>
    </row>
    <row r="1027" spans="1:35" ht="24" customHeight="1">
      <c r="A1027" s="281" t="s">
        <v>541</v>
      </c>
      <c r="B1027" s="379"/>
      <c r="C1027" s="379"/>
      <c r="D1027" s="281" t="s">
        <v>1042</v>
      </c>
      <c r="E1027" s="379"/>
      <c r="F1027" s="379"/>
      <c r="G1027" s="379"/>
      <c r="H1027" s="379"/>
      <c r="I1027" s="379"/>
      <c r="J1027" s="379"/>
      <c r="K1027" s="380"/>
      <c r="L1027" s="225">
        <v>185000</v>
      </c>
      <c r="M1027" s="225">
        <v>0</v>
      </c>
      <c r="N1027" s="157">
        <v>0</v>
      </c>
      <c r="O1027" s="157">
        <v>0</v>
      </c>
      <c r="P1027" s="154">
        <v>0</v>
      </c>
      <c r="Q1027" s="154">
        <v>0</v>
      </c>
      <c r="R1027" s="154">
        <v>0</v>
      </c>
      <c r="S1027" s="154">
        <v>0</v>
      </c>
      <c r="T1027" s="154">
        <v>0</v>
      </c>
      <c r="V1027" s="459"/>
      <c r="W1027" s="459"/>
      <c r="X1027" s="459"/>
      <c r="Y1027" s="459"/>
      <c r="Z1027" s="459"/>
      <c r="AA1027" s="459"/>
      <c r="AB1027" s="459"/>
      <c r="AC1027" s="592"/>
      <c r="AD1027" s="592"/>
      <c r="AE1027" s="503"/>
      <c r="AF1027" s="503"/>
      <c r="AG1027" s="503"/>
      <c r="AH1027" s="503"/>
      <c r="AI1027" s="503"/>
    </row>
    <row r="1028" spans="1:35" ht="24" customHeight="1">
      <c r="A1028" s="281" t="s">
        <v>542</v>
      </c>
      <c r="B1028" s="379"/>
      <c r="C1028" s="379"/>
      <c r="D1028" s="281" t="s">
        <v>292</v>
      </c>
      <c r="E1028" s="379"/>
      <c r="F1028" s="379"/>
      <c r="G1028" s="379"/>
      <c r="H1028" s="379"/>
      <c r="I1028" s="379"/>
      <c r="J1028" s="379"/>
      <c r="K1028" s="380"/>
      <c r="L1028" s="225">
        <v>117738</v>
      </c>
      <c r="M1028" s="225">
        <v>68073</v>
      </c>
      <c r="N1028" s="157">
        <v>68073</v>
      </c>
      <c r="O1028" s="157">
        <v>68073</v>
      </c>
      <c r="P1028" s="154">
        <v>0</v>
      </c>
      <c r="Q1028" s="154">
        <v>0</v>
      </c>
      <c r="R1028" s="154">
        <v>0</v>
      </c>
      <c r="S1028" s="154">
        <v>0</v>
      </c>
      <c r="T1028" s="154">
        <v>0</v>
      </c>
      <c r="V1028" s="459"/>
      <c r="W1028" s="459"/>
      <c r="X1028" s="459"/>
      <c r="Y1028" s="459"/>
      <c r="Z1028" s="459"/>
      <c r="AA1028" s="459"/>
      <c r="AB1028" s="459"/>
      <c r="AC1028" s="592"/>
      <c r="AD1028" s="592"/>
      <c r="AE1028" s="503"/>
      <c r="AF1028" s="503"/>
      <c r="AG1028" s="503"/>
      <c r="AH1028" s="503"/>
      <c r="AI1028" s="503"/>
    </row>
    <row r="1029" spans="1:35" ht="24" customHeight="1">
      <c r="A1029" s="285" t="s">
        <v>1264</v>
      </c>
      <c r="B1029" s="285"/>
      <c r="C1029" s="285"/>
      <c r="D1029" s="285"/>
      <c r="E1029" s="285"/>
      <c r="F1029" s="285"/>
      <c r="G1029" s="285"/>
      <c r="H1029" s="285"/>
      <c r="I1029" s="285"/>
      <c r="J1029" s="285"/>
      <c r="K1029" s="215"/>
      <c r="L1029" s="231"/>
      <c r="M1029" s="231"/>
      <c r="N1029" s="166"/>
      <c r="O1029" s="166"/>
      <c r="P1029" s="165"/>
      <c r="Q1029" s="165"/>
      <c r="R1029" s="165"/>
      <c r="S1029" s="165"/>
      <c r="T1029" s="165"/>
      <c r="V1029" s="459"/>
      <c r="W1029" s="459"/>
      <c r="X1029" s="459"/>
      <c r="Y1029" s="459"/>
      <c r="Z1029" s="459"/>
      <c r="AA1029" s="459"/>
      <c r="AB1029" s="459"/>
      <c r="AC1029" s="459"/>
      <c r="AD1029" s="419"/>
      <c r="AE1029" s="503"/>
      <c r="AF1029" s="503"/>
      <c r="AG1029" s="503"/>
      <c r="AH1029" s="503"/>
      <c r="AI1029" s="503"/>
    </row>
    <row r="1030" spans="1:35" ht="24" customHeight="1">
      <c r="A1030" s="281" t="s">
        <v>1048</v>
      </c>
      <c r="B1030" s="365"/>
      <c r="C1030" s="365"/>
      <c r="D1030" s="281" t="s">
        <v>1042</v>
      </c>
      <c r="E1030" s="365"/>
      <c r="F1030" s="365"/>
      <c r="G1030" s="365"/>
      <c r="H1030" s="365"/>
      <c r="I1030" s="365"/>
      <c r="J1030" s="282"/>
      <c r="K1030" s="215"/>
      <c r="L1030" s="225">
        <v>0</v>
      </c>
      <c r="M1030" s="225">
        <v>0</v>
      </c>
      <c r="N1030" s="157">
        <v>0</v>
      </c>
      <c r="O1030" s="157">
        <v>0</v>
      </c>
      <c r="P1030" s="154">
        <v>0</v>
      </c>
      <c r="Q1030" s="154">
        <v>0</v>
      </c>
      <c r="R1030" s="154">
        <v>0</v>
      </c>
      <c r="S1030" s="154">
        <v>0</v>
      </c>
      <c r="T1030" s="154">
        <v>0</v>
      </c>
      <c r="V1030" s="459"/>
      <c r="W1030" s="459"/>
      <c r="X1030" s="459"/>
      <c r="Y1030" s="459"/>
      <c r="Z1030" s="459"/>
      <c r="AA1030" s="459"/>
      <c r="AB1030" s="459"/>
      <c r="AC1030" s="459"/>
      <c r="AD1030" s="459"/>
      <c r="AE1030" s="503"/>
      <c r="AF1030" s="503"/>
      <c r="AG1030" s="503"/>
      <c r="AH1030" s="503"/>
      <c r="AI1030" s="503"/>
    </row>
    <row r="1031" spans="1:35" ht="24" customHeight="1">
      <c r="A1031" s="281" t="s">
        <v>1049</v>
      </c>
      <c r="B1031" s="365"/>
      <c r="C1031" s="365"/>
      <c r="D1031" s="281" t="s">
        <v>292</v>
      </c>
      <c r="E1031" s="365"/>
      <c r="F1031" s="365"/>
      <c r="G1031" s="365"/>
      <c r="H1031" s="365"/>
      <c r="I1031" s="365"/>
      <c r="J1031" s="282"/>
      <c r="K1031" s="215"/>
      <c r="L1031" s="225">
        <v>0</v>
      </c>
      <c r="M1031" s="225">
        <v>0</v>
      </c>
      <c r="N1031" s="157">
        <v>25358</v>
      </c>
      <c r="O1031" s="157">
        <v>25358</v>
      </c>
      <c r="P1031" s="154">
        <v>50715</v>
      </c>
      <c r="Q1031" s="154">
        <v>50715</v>
      </c>
      <c r="R1031" s="154">
        <v>50715</v>
      </c>
      <c r="S1031" s="154">
        <v>50715</v>
      </c>
      <c r="T1031" s="154">
        <v>50715</v>
      </c>
      <c r="U1031" s="344"/>
      <c r="V1031" s="459"/>
      <c r="W1031" s="459"/>
      <c r="X1031" s="459"/>
      <c r="Y1031" s="459"/>
      <c r="Z1031" s="459"/>
      <c r="AA1031" s="459"/>
      <c r="AB1031" s="459"/>
      <c r="AC1031" s="459"/>
      <c r="AD1031" s="459"/>
      <c r="AE1031" s="503"/>
      <c r="AF1031" s="503"/>
      <c r="AG1031" s="503"/>
      <c r="AH1031" s="503"/>
      <c r="AI1031" s="503"/>
    </row>
    <row r="1032" spans="1:35" ht="6.95" customHeight="1">
      <c r="A1032" s="281"/>
      <c r="B1032" s="461"/>
      <c r="C1032" s="461"/>
      <c r="D1032" s="281"/>
      <c r="E1032" s="461"/>
      <c r="F1032" s="461"/>
      <c r="G1032" s="461"/>
      <c r="H1032" s="461"/>
      <c r="I1032" s="461"/>
      <c r="J1032" s="461"/>
      <c r="K1032" s="460"/>
      <c r="L1032" s="225"/>
      <c r="M1032" s="225"/>
      <c r="N1032" s="157"/>
      <c r="O1032" s="157"/>
      <c r="P1032" s="154"/>
      <c r="Q1032" s="154"/>
      <c r="R1032" s="154"/>
      <c r="S1032" s="154"/>
      <c r="T1032" s="154"/>
      <c r="U1032" s="344"/>
      <c r="V1032" s="459"/>
      <c r="W1032" s="459"/>
      <c r="X1032" s="459"/>
      <c r="Y1032" s="459"/>
      <c r="Z1032" s="459"/>
      <c r="AA1032" s="459"/>
      <c r="AB1032" s="459"/>
      <c r="AC1032" s="459"/>
      <c r="AD1032" s="459"/>
      <c r="AE1032" s="592"/>
    </row>
    <row r="1033" spans="1:35" ht="24" customHeight="1">
      <c r="A1033" s="281" t="s">
        <v>1248</v>
      </c>
      <c r="B1033" s="449"/>
      <c r="C1033" s="449"/>
      <c r="D1033" s="281" t="s">
        <v>1249</v>
      </c>
      <c r="E1033" s="449"/>
      <c r="F1033" s="449"/>
      <c r="G1033" s="449"/>
      <c r="H1033" s="449"/>
      <c r="I1033" s="449"/>
      <c r="J1033" s="449"/>
      <c r="K1033" s="450"/>
      <c r="L1033" s="222">
        <v>9773</v>
      </c>
      <c r="M1033" s="222">
        <v>0</v>
      </c>
      <c r="N1033" s="148">
        <v>0</v>
      </c>
      <c r="O1033" s="148">
        <v>0</v>
      </c>
      <c r="P1033" s="147">
        <v>0</v>
      </c>
      <c r="Q1033" s="147">
        <v>0</v>
      </c>
      <c r="R1033" s="147">
        <v>0</v>
      </c>
      <c r="S1033" s="147">
        <v>0</v>
      </c>
      <c r="T1033" s="147">
        <v>0</v>
      </c>
      <c r="V1033" s="152"/>
      <c r="AE1033" s="193"/>
    </row>
    <row r="1034" spans="1:35" ht="24" customHeight="1">
      <c r="A1034" s="281" t="s">
        <v>1250</v>
      </c>
      <c r="B1034" s="449"/>
      <c r="C1034" s="449"/>
      <c r="D1034" s="683" t="s">
        <v>1251</v>
      </c>
      <c r="E1034" s="680"/>
      <c r="F1034" s="680"/>
      <c r="G1034" s="680"/>
      <c r="H1034" s="680"/>
      <c r="I1034" s="680"/>
      <c r="J1034" s="680"/>
      <c r="K1034" s="682"/>
      <c r="L1034" s="229">
        <v>1187912</v>
      </c>
      <c r="M1034" s="229">
        <v>0</v>
      </c>
      <c r="N1034" s="174">
        <v>0</v>
      </c>
      <c r="O1034" s="174">
        <f>1580524+1460</f>
        <v>1581984</v>
      </c>
      <c r="P1034" s="162">
        <v>0</v>
      </c>
      <c r="Q1034" s="162">
        <v>0</v>
      </c>
      <c r="R1034" s="162">
        <v>0</v>
      </c>
      <c r="S1034" s="162">
        <v>0</v>
      </c>
      <c r="T1034" s="162">
        <v>0</v>
      </c>
      <c r="V1034" s="152"/>
    </row>
    <row r="1035" spans="1:35" ht="15" customHeight="1">
      <c r="A1035" s="215"/>
      <c r="B1035" s="215"/>
      <c r="C1035" s="215"/>
      <c r="D1035" s="215"/>
      <c r="E1035" s="215"/>
      <c r="F1035" s="215"/>
      <c r="G1035" s="215"/>
      <c r="H1035" s="215"/>
      <c r="I1035" s="215"/>
      <c r="J1035" s="215"/>
      <c r="K1035" s="215"/>
      <c r="L1035" s="231"/>
      <c r="M1035" s="231"/>
      <c r="N1035" s="166"/>
      <c r="O1035" s="166"/>
      <c r="P1035" s="165"/>
      <c r="Q1035" s="165"/>
      <c r="R1035" s="165"/>
      <c r="S1035" s="165"/>
      <c r="T1035" s="165"/>
      <c r="V1035" s="200"/>
      <c r="W1035" s="200"/>
      <c r="X1035" s="200"/>
      <c r="Y1035" s="200"/>
      <c r="Z1035" s="200"/>
      <c r="AA1035" s="200"/>
      <c r="AB1035" s="200"/>
      <c r="AC1035" s="200"/>
      <c r="AD1035" s="200"/>
      <c r="AE1035" s="200"/>
    </row>
    <row r="1036" spans="1:35" s="215" customFormat="1" ht="24" customHeight="1">
      <c r="K1036" s="285" t="s">
        <v>548</v>
      </c>
      <c r="L1036" s="233">
        <f t="shared" ref="L1036" si="341">SUM(L1017:L1035)</f>
        <v>3343572</v>
      </c>
      <c r="M1036" s="233">
        <f t="shared" ref="M1036:T1036" si="342">SUM(M1017:M1035)</f>
        <v>80030</v>
      </c>
      <c r="N1036" s="234">
        <f t="shared" ref="N1036" si="343">SUM(N1017:N1035)</f>
        <v>179587</v>
      </c>
      <c r="O1036" s="234">
        <f t="shared" ref="O1036" si="344">SUM(O1017:O1035)</f>
        <v>1694044</v>
      </c>
      <c r="P1036" s="233">
        <f t="shared" si="342"/>
        <v>162759</v>
      </c>
      <c r="Q1036" s="233">
        <f t="shared" si="342"/>
        <v>152815</v>
      </c>
      <c r="R1036" s="233">
        <f t="shared" si="342"/>
        <v>152498</v>
      </c>
      <c r="S1036" s="233">
        <f t="shared" si="342"/>
        <v>212985</v>
      </c>
      <c r="T1036" s="233">
        <f t="shared" si="342"/>
        <v>211451</v>
      </c>
      <c r="U1036" s="470"/>
      <c r="V1036" s="302"/>
      <c r="W1036" s="302"/>
      <c r="X1036" s="302"/>
      <c r="Y1036" s="302"/>
      <c r="Z1036" s="302"/>
      <c r="AA1036" s="302"/>
      <c r="AB1036" s="302"/>
      <c r="AC1036" s="310"/>
      <c r="AD1036" s="310"/>
      <c r="AE1036" s="310"/>
    </row>
    <row r="1037" spans="1:35" s="215" customFormat="1" ht="15" customHeight="1">
      <c r="L1037" s="231"/>
      <c r="M1037" s="231"/>
      <c r="N1037" s="232"/>
      <c r="O1037" s="232"/>
      <c r="P1037" s="231"/>
      <c r="Q1037" s="231"/>
      <c r="R1037" s="231"/>
      <c r="S1037" s="231"/>
      <c r="T1037" s="231"/>
      <c r="U1037" s="470"/>
      <c r="AC1037" s="310"/>
      <c r="AD1037" s="310"/>
      <c r="AE1037" s="310"/>
    </row>
    <row r="1038" spans="1:35" s="215" customFormat="1" ht="24" customHeight="1">
      <c r="K1038" s="285" t="s">
        <v>549</v>
      </c>
      <c r="L1038" s="233">
        <f t="shared" ref="L1038:T1038" si="345">L1015-L1036</f>
        <v>-2106423</v>
      </c>
      <c r="M1038" s="233">
        <f t="shared" si="345"/>
        <v>-70735</v>
      </c>
      <c r="N1038" s="234">
        <f t="shared" si="345"/>
        <v>-79587</v>
      </c>
      <c r="O1038" s="234">
        <f t="shared" si="345"/>
        <v>47028</v>
      </c>
      <c r="P1038" s="233">
        <f t="shared" si="345"/>
        <v>37241</v>
      </c>
      <c r="Q1038" s="233">
        <f t="shared" si="345"/>
        <v>47185</v>
      </c>
      <c r="R1038" s="233">
        <f t="shared" si="345"/>
        <v>47502</v>
      </c>
      <c r="S1038" s="233">
        <f t="shared" si="345"/>
        <v>-12985</v>
      </c>
      <c r="T1038" s="233">
        <f t="shared" si="345"/>
        <v>-11451</v>
      </c>
      <c r="U1038" s="470"/>
    </row>
    <row r="1039" spans="1:35" s="215" customFormat="1" ht="15" customHeight="1">
      <c r="L1039" s="231"/>
      <c r="M1039" s="231"/>
      <c r="N1039" s="232"/>
      <c r="O1039" s="232"/>
      <c r="P1039" s="231"/>
      <c r="Q1039" s="231"/>
      <c r="R1039" s="231"/>
      <c r="S1039" s="231"/>
      <c r="T1039" s="231"/>
      <c r="U1039" s="470"/>
    </row>
    <row r="1040" spans="1:35" s="215" customFormat="1" ht="24" customHeight="1">
      <c r="K1040" s="290" t="s">
        <v>551</v>
      </c>
      <c r="L1040" s="250">
        <v>-534087</v>
      </c>
      <c r="M1040" s="250">
        <v>-604820</v>
      </c>
      <c r="N1040" s="251">
        <v>-594959</v>
      </c>
      <c r="O1040" s="251">
        <f>M1040+O1038</f>
        <v>-557792</v>
      </c>
      <c r="P1040" s="250">
        <f>O1040+P1038</f>
        <v>-520551</v>
      </c>
      <c r="Q1040" s="250">
        <f>P1040+Q1038</f>
        <v>-473366</v>
      </c>
      <c r="R1040" s="250">
        <f>Q1040+R1038</f>
        <v>-425864</v>
      </c>
      <c r="S1040" s="250">
        <f>R1040+S1038</f>
        <v>-438849</v>
      </c>
      <c r="T1040" s="250">
        <f>S1040+T1038</f>
        <v>-450300</v>
      </c>
      <c r="U1040" s="470"/>
      <c r="W1040" s="713"/>
      <c r="X1040" s="713"/>
      <c r="Y1040" s="713"/>
      <c r="Z1040" s="713"/>
    </row>
    <row r="1041" spans="1:26" ht="15" customHeight="1">
      <c r="A1041" s="215"/>
      <c r="B1041" s="215"/>
      <c r="C1041" s="215"/>
      <c r="D1041" s="215"/>
      <c r="E1041" s="215"/>
      <c r="F1041" s="215"/>
      <c r="G1041" s="215"/>
      <c r="H1041" s="215"/>
      <c r="I1041" s="215"/>
      <c r="J1041" s="215"/>
      <c r="K1041" s="215"/>
      <c r="L1041" s="399"/>
      <c r="M1041" s="399"/>
      <c r="N1041" s="403"/>
      <c r="O1041" s="403"/>
      <c r="P1041" s="404"/>
      <c r="Q1041" s="404"/>
      <c r="R1041" s="404"/>
      <c r="S1041" s="404"/>
      <c r="T1041" s="404"/>
    </row>
    <row r="1042" spans="1:26" ht="24" customHeight="1">
      <c r="A1042" s="292" t="s">
        <v>543</v>
      </c>
      <c r="B1042" s="215"/>
      <c r="C1042" s="215"/>
      <c r="D1042" s="215"/>
      <c r="E1042" s="215"/>
      <c r="F1042" s="215"/>
      <c r="G1042" s="215"/>
      <c r="H1042" s="215"/>
      <c r="I1042" s="215"/>
      <c r="J1042" s="215"/>
      <c r="K1042" s="215"/>
      <c r="L1042" s="399"/>
      <c r="M1042" s="399"/>
      <c r="N1042" s="403"/>
      <c r="O1042" s="403"/>
      <c r="P1042" s="404"/>
      <c r="Q1042" s="404"/>
      <c r="R1042" s="404"/>
      <c r="S1042" s="404"/>
      <c r="T1042" s="404"/>
    </row>
    <row r="1043" spans="1:26" ht="15" customHeight="1">
      <c r="A1043" s="215"/>
      <c r="B1043" s="215"/>
      <c r="C1043" s="215"/>
      <c r="D1043" s="215"/>
      <c r="E1043" s="215"/>
      <c r="F1043" s="215"/>
      <c r="G1043" s="215"/>
      <c r="H1043" s="215"/>
      <c r="I1043" s="215"/>
      <c r="J1043" s="215"/>
      <c r="K1043" s="215"/>
      <c r="L1043" s="279"/>
      <c r="M1043" s="279"/>
      <c r="N1043" s="397"/>
      <c r="O1043" s="397"/>
      <c r="P1043" s="398"/>
      <c r="Q1043" s="398"/>
      <c r="R1043" s="398"/>
      <c r="S1043" s="398"/>
      <c r="T1043" s="398"/>
    </row>
    <row r="1044" spans="1:26" ht="24" customHeight="1">
      <c r="A1044" s="364" t="s">
        <v>1131</v>
      </c>
      <c r="B1044" s="215"/>
      <c r="C1044" s="215"/>
      <c r="D1044" s="364" t="s">
        <v>1120</v>
      </c>
      <c r="E1044" s="215"/>
      <c r="F1044" s="215"/>
      <c r="G1044" s="215"/>
      <c r="H1044" s="215"/>
      <c r="I1044" s="215"/>
      <c r="J1044" s="215"/>
      <c r="K1044" s="215"/>
      <c r="L1044" s="224">
        <v>52811</v>
      </c>
      <c r="M1044" s="224">
        <v>60027</v>
      </c>
      <c r="N1044" s="151">
        <v>65000</v>
      </c>
      <c r="O1044" s="148">
        <v>68868</v>
      </c>
      <c r="P1044" s="150">
        <v>70000</v>
      </c>
      <c r="Q1044" s="150">
        <v>70000</v>
      </c>
      <c r="R1044" s="150">
        <v>75000</v>
      </c>
      <c r="S1044" s="150">
        <v>75000</v>
      </c>
      <c r="T1044" s="150">
        <v>80000</v>
      </c>
      <c r="V1044" s="418"/>
      <c r="W1044" s="499"/>
      <c r="X1044" s="499"/>
      <c r="Y1044" s="499"/>
    </row>
    <row r="1045" spans="1:26" ht="24" customHeight="1">
      <c r="A1045" s="383" t="s">
        <v>1146</v>
      </c>
      <c r="B1045" s="383"/>
      <c r="C1045" s="383"/>
      <c r="D1045" s="383" t="s">
        <v>1145</v>
      </c>
      <c r="E1045" s="383"/>
      <c r="F1045" s="383"/>
      <c r="G1045" s="383"/>
      <c r="H1045" s="383"/>
      <c r="I1045" s="383"/>
      <c r="J1045" s="383"/>
      <c r="K1045" s="383"/>
      <c r="L1045" s="224">
        <v>9458</v>
      </c>
      <c r="M1045" s="224">
        <v>0</v>
      </c>
      <c r="N1045" s="151">
        <v>0</v>
      </c>
      <c r="O1045" s="151">
        <v>0</v>
      </c>
      <c r="P1045" s="150">
        <v>0</v>
      </c>
      <c r="Q1045" s="150">
        <v>0</v>
      </c>
      <c r="R1045" s="150">
        <v>0</v>
      </c>
      <c r="S1045" s="150">
        <v>0</v>
      </c>
      <c r="T1045" s="150">
        <v>0</v>
      </c>
      <c r="W1045" s="524"/>
      <c r="X1045" s="458"/>
      <c r="Y1045" s="458"/>
    </row>
    <row r="1046" spans="1:26" ht="24" customHeight="1">
      <c r="A1046" s="281" t="s">
        <v>684</v>
      </c>
      <c r="B1046" s="326"/>
      <c r="C1046" s="382"/>
      <c r="D1046" s="327" t="s">
        <v>6</v>
      </c>
      <c r="E1046" s="326"/>
      <c r="F1046" s="326"/>
      <c r="G1046" s="326"/>
      <c r="H1046" s="326"/>
      <c r="I1046" s="326"/>
      <c r="J1046" s="326"/>
      <c r="K1046" s="326"/>
      <c r="L1046" s="224">
        <v>53</v>
      </c>
      <c r="M1046" s="224">
        <v>1</v>
      </c>
      <c r="N1046" s="151">
        <v>50</v>
      </c>
      <c r="O1046" s="151">
        <v>50</v>
      </c>
      <c r="P1046" s="150">
        <v>50</v>
      </c>
      <c r="Q1046" s="150">
        <v>50</v>
      </c>
      <c r="R1046" s="150">
        <v>50</v>
      </c>
      <c r="S1046" s="150">
        <v>50</v>
      </c>
      <c r="T1046" s="150">
        <v>50</v>
      </c>
      <c r="W1046" s="524"/>
      <c r="X1046" s="500"/>
      <c r="Y1046" s="741"/>
    </row>
    <row r="1047" spans="1:26" ht="24" customHeight="1">
      <c r="A1047" s="281" t="s">
        <v>1252</v>
      </c>
      <c r="B1047" s="449"/>
      <c r="C1047" s="449"/>
      <c r="D1047" s="450" t="s">
        <v>7</v>
      </c>
      <c r="E1047" s="449"/>
      <c r="F1047" s="449"/>
      <c r="G1047" s="449"/>
      <c r="H1047" s="449"/>
      <c r="I1047" s="449"/>
      <c r="J1047" s="449"/>
      <c r="K1047" s="449"/>
      <c r="L1047" s="224">
        <v>184</v>
      </c>
      <c r="M1047" s="224">
        <v>187</v>
      </c>
      <c r="N1047" s="151">
        <v>0</v>
      </c>
      <c r="O1047" s="151">
        <v>0</v>
      </c>
      <c r="P1047" s="150">
        <v>0</v>
      </c>
      <c r="Q1047" s="150">
        <v>0</v>
      </c>
      <c r="R1047" s="150">
        <v>0</v>
      </c>
      <c r="S1047" s="150">
        <v>0</v>
      </c>
      <c r="T1047" s="150">
        <v>0</v>
      </c>
      <c r="W1047" s="524"/>
      <c r="X1047" s="500"/>
      <c r="Y1047" s="741"/>
    </row>
    <row r="1048" spans="1:26" ht="24" customHeight="1">
      <c r="A1048" s="281" t="s">
        <v>1118</v>
      </c>
      <c r="B1048" s="539"/>
      <c r="C1048" s="539"/>
      <c r="D1048" s="540" t="s">
        <v>1101</v>
      </c>
      <c r="E1048" s="539"/>
      <c r="F1048" s="539"/>
      <c r="G1048" s="539"/>
      <c r="H1048" s="539"/>
      <c r="I1048" s="539"/>
      <c r="J1048" s="539"/>
      <c r="K1048" s="539"/>
      <c r="L1048" s="239">
        <v>8500</v>
      </c>
      <c r="M1048" s="239">
        <v>0</v>
      </c>
      <c r="N1048" s="176">
        <v>0</v>
      </c>
      <c r="O1048" s="176">
        <v>0</v>
      </c>
      <c r="P1048" s="175">
        <v>0</v>
      </c>
      <c r="Q1048" s="175">
        <v>0</v>
      </c>
      <c r="R1048" s="175">
        <v>0</v>
      </c>
      <c r="S1048" s="175">
        <v>0</v>
      </c>
      <c r="T1048" s="175">
        <v>0</v>
      </c>
      <c r="W1048" s="419"/>
      <c r="X1048" s="500"/>
      <c r="Y1048" s="419"/>
    </row>
    <row r="1049" spans="1:26" ht="15" customHeight="1">
      <c r="A1049" s="215"/>
      <c r="B1049" s="215"/>
      <c r="C1049" s="215"/>
      <c r="D1049" s="215"/>
      <c r="E1049" s="215"/>
      <c r="F1049" s="215"/>
      <c r="G1049" s="215"/>
      <c r="H1049" s="215"/>
      <c r="I1049" s="215"/>
      <c r="J1049" s="215"/>
      <c r="K1049" s="215"/>
      <c r="L1049" s="231"/>
      <c r="M1049" s="231"/>
      <c r="N1049" s="166"/>
      <c r="O1049" s="166"/>
      <c r="P1049" s="165"/>
      <c r="Q1049" s="165"/>
      <c r="R1049" s="165"/>
      <c r="S1049" s="165"/>
      <c r="T1049" s="165"/>
      <c r="W1049" s="419"/>
      <c r="X1049" s="500"/>
      <c r="Y1049" s="419"/>
    </row>
    <row r="1050" spans="1:26" s="215" customFormat="1" ht="24" customHeight="1">
      <c r="K1050" s="285" t="s">
        <v>545</v>
      </c>
      <c r="L1050" s="233">
        <f t="shared" ref="L1050:N1050" si="346">SUM(L1044:L1049)</f>
        <v>71006</v>
      </c>
      <c r="M1050" s="233">
        <f t="shared" si="346"/>
        <v>60215</v>
      </c>
      <c r="N1050" s="234">
        <f t="shared" si="346"/>
        <v>65050</v>
      </c>
      <c r="O1050" s="234">
        <f t="shared" ref="O1050" si="347">SUM(O1044:O1049)</f>
        <v>68918</v>
      </c>
      <c r="P1050" s="233">
        <f t="shared" ref="P1050:Q1050" si="348">SUM(P1044:P1049)</f>
        <v>70050</v>
      </c>
      <c r="Q1050" s="233">
        <f t="shared" si="348"/>
        <v>70050</v>
      </c>
      <c r="R1050" s="233">
        <f>SUM(R1044:R1049)</f>
        <v>75050</v>
      </c>
      <c r="S1050" s="233">
        <f>SUM(S1044:S1049)</f>
        <v>75050</v>
      </c>
      <c r="T1050" s="233">
        <f>SUM(T1044:T1049)</f>
        <v>80050</v>
      </c>
      <c r="U1050" s="470"/>
      <c r="W1050" s="322"/>
      <c r="X1050" s="446"/>
      <c r="Y1050" s="322"/>
      <c r="Z1050" s="713"/>
    </row>
    <row r="1051" spans="1:26" ht="15" customHeight="1">
      <c r="A1051" s="215"/>
      <c r="B1051" s="215"/>
      <c r="C1051" s="215"/>
      <c r="D1051" s="215"/>
      <c r="E1051" s="215"/>
      <c r="F1051" s="215"/>
      <c r="G1051" s="215"/>
      <c r="H1051" s="215"/>
      <c r="I1051" s="215"/>
      <c r="J1051" s="215"/>
      <c r="K1051" s="215"/>
      <c r="L1051" s="231"/>
      <c r="M1051" s="231"/>
      <c r="N1051" s="166"/>
      <c r="O1051" s="166"/>
      <c r="P1051" s="165"/>
      <c r="Q1051" s="165"/>
      <c r="R1051" s="165"/>
      <c r="S1051" s="165"/>
      <c r="T1051" s="165"/>
      <c r="W1051" s="419"/>
      <c r="X1051" s="500"/>
      <c r="Y1051" s="419"/>
    </row>
    <row r="1052" spans="1:26" ht="24" customHeight="1">
      <c r="A1052" s="281" t="s">
        <v>1046</v>
      </c>
      <c r="B1052" s="449"/>
      <c r="C1052" s="449"/>
      <c r="D1052" s="281" t="s">
        <v>1045</v>
      </c>
      <c r="E1052" s="630"/>
      <c r="F1052" s="630"/>
      <c r="G1052" s="630"/>
      <c r="H1052" s="630"/>
      <c r="I1052" s="630"/>
      <c r="J1052" s="630"/>
      <c r="K1052" s="631"/>
      <c r="L1052" s="222">
        <v>12315</v>
      </c>
      <c r="M1052" s="222">
        <v>16196</v>
      </c>
      <c r="N1052" s="148">
        <v>12500</v>
      </c>
      <c r="O1052" s="148">
        <v>20000</v>
      </c>
      <c r="P1052" s="147">
        <v>20000</v>
      </c>
      <c r="Q1052" s="147">
        <v>20000</v>
      </c>
      <c r="R1052" s="147">
        <v>20000</v>
      </c>
      <c r="S1052" s="147">
        <v>20000</v>
      </c>
      <c r="T1052" s="147">
        <v>20000</v>
      </c>
      <c r="V1052" s="152"/>
      <c r="W1052" s="419"/>
      <c r="X1052" s="500"/>
      <c r="Y1052" s="419"/>
    </row>
    <row r="1053" spans="1:26" ht="24" customHeight="1">
      <c r="A1053" s="281" t="s">
        <v>1338</v>
      </c>
      <c r="B1053" s="560"/>
      <c r="C1053" s="560"/>
      <c r="D1053" s="281" t="s">
        <v>10</v>
      </c>
      <c r="E1053" s="560"/>
      <c r="F1053" s="560"/>
      <c r="G1053" s="560"/>
      <c r="H1053" s="560"/>
      <c r="I1053" s="560"/>
      <c r="J1053" s="560"/>
      <c r="K1053" s="560"/>
      <c r="L1053" s="224">
        <v>258</v>
      </c>
      <c r="M1053" s="224">
        <v>276</v>
      </c>
      <c r="N1053" s="151">
        <v>360</v>
      </c>
      <c r="O1053" s="151">
        <v>360</v>
      </c>
      <c r="P1053" s="150">
        <v>360</v>
      </c>
      <c r="Q1053" s="150">
        <v>365</v>
      </c>
      <c r="R1053" s="150">
        <v>375</v>
      </c>
      <c r="S1053" s="150">
        <v>375</v>
      </c>
      <c r="T1053" s="150">
        <v>375</v>
      </c>
      <c r="V1053" s="152"/>
      <c r="W1053" s="419"/>
      <c r="X1053" s="500"/>
      <c r="Y1053" s="419"/>
    </row>
    <row r="1054" spans="1:26" ht="24" customHeight="1">
      <c r="A1054" s="281" t="s">
        <v>671</v>
      </c>
      <c r="B1054" s="560"/>
      <c r="C1054" s="560"/>
      <c r="D1054" s="281" t="s">
        <v>134</v>
      </c>
      <c r="E1054" s="560"/>
      <c r="F1054" s="560"/>
      <c r="G1054" s="560"/>
      <c r="H1054" s="560"/>
      <c r="I1054" s="560"/>
      <c r="J1054" s="560"/>
      <c r="K1054" s="560"/>
      <c r="L1054" s="225">
        <v>4812</v>
      </c>
      <c r="M1054" s="225">
        <v>3573</v>
      </c>
      <c r="N1054" s="157">
        <v>15000</v>
      </c>
      <c r="O1054" s="157">
        <v>15000</v>
      </c>
      <c r="P1054" s="154">
        <v>15000</v>
      </c>
      <c r="Q1054" s="154">
        <v>15000</v>
      </c>
      <c r="R1054" s="154">
        <v>15000</v>
      </c>
      <c r="S1054" s="154">
        <v>15000</v>
      </c>
      <c r="T1054" s="154">
        <v>15000</v>
      </c>
      <c r="X1054" s="184"/>
    </row>
    <row r="1055" spans="1:26" ht="24" customHeight="1">
      <c r="A1055" s="281" t="s">
        <v>1172</v>
      </c>
      <c r="B1055" s="560"/>
      <c r="C1055" s="560"/>
      <c r="D1055" s="281" t="s">
        <v>1056</v>
      </c>
      <c r="E1055" s="560"/>
      <c r="F1055" s="560"/>
      <c r="G1055" s="560"/>
      <c r="H1055" s="560"/>
      <c r="I1055" s="560"/>
      <c r="J1055" s="560"/>
      <c r="K1055" s="560"/>
      <c r="L1055" s="225">
        <v>9458</v>
      </c>
      <c r="M1055" s="225">
        <v>0</v>
      </c>
      <c r="N1055" s="227">
        <f t="shared" ref="N1055" si="349">N1045</f>
        <v>0</v>
      </c>
      <c r="O1055" s="227">
        <v>0</v>
      </c>
      <c r="P1055" s="225">
        <f t="shared" ref="P1055:S1055" si="350">P1045</f>
        <v>0</v>
      </c>
      <c r="Q1055" s="225">
        <f t="shared" si="350"/>
        <v>0</v>
      </c>
      <c r="R1055" s="225">
        <f t="shared" si="350"/>
        <v>0</v>
      </c>
      <c r="S1055" s="225">
        <f t="shared" si="350"/>
        <v>0</v>
      </c>
      <c r="T1055" s="225">
        <f t="shared" ref="T1055" si="351">T1045</f>
        <v>0</v>
      </c>
      <c r="X1055" s="184"/>
    </row>
    <row r="1056" spans="1:26" ht="24" customHeight="1">
      <c r="A1056" s="281" t="s">
        <v>672</v>
      </c>
      <c r="B1056" s="282"/>
      <c r="C1056" s="282"/>
      <c r="D1056" s="281" t="s">
        <v>673</v>
      </c>
      <c r="E1056" s="282"/>
      <c r="F1056" s="282"/>
      <c r="G1056" s="282"/>
      <c r="H1056" s="282"/>
      <c r="I1056" s="282"/>
      <c r="J1056" s="282"/>
      <c r="K1056" s="282"/>
      <c r="L1056" s="225">
        <v>9568</v>
      </c>
      <c r="M1056" s="225">
        <v>11686</v>
      </c>
      <c r="N1056" s="157">
        <v>60000</v>
      </c>
      <c r="O1056" s="157">
        <v>60000</v>
      </c>
      <c r="P1056" s="154">
        <f>10000</f>
        <v>10000</v>
      </c>
      <c r="Q1056" s="154">
        <f>10000</f>
        <v>10000</v>
      </c>
      <c r="R1056" s="154">
        <f>10000</f>
        <v>10000</v>
      </c>
      <c r="S1056" s="154">
        <f>10000</f>
        <v>10000</v>
      </c>
      <c r="T1056" s="154">
        <f>10000</f>
        <v>10000</v>
      </c>
      <c r="X1056" s="184"/>
    </row>
    <row r="1057" spans="1:24" ht="24" customHeight="1">
      <c r="A1057" s="508" t="s">
        <v>1138</v>
      </c>
      <c r="B1057" s="284"/>
      <c r="C1057" s="284"/>
      <c r="D1057" s="283" t="s">
        <v>1180</v>
      </c>
      <c r="E1057" s="284"/>
      <c r="F1057" s="284"/>
      <c r="G1057" s="284"/>
      <c r="H1057" s="284"/>
      <c r="I1057" s="284"/>
      <c r="J1057" s="284"/>
      <c r="K1057" s="284"/>
      <c r="L1057" s="237">
        <v>0</v>
      </c>
      <c r="M1057" s="237">
        <v>0</v>
      </c>
      <c r="N1057" s="148">
        <f>277750+33000</f>
        <v>310750</v>
      </c>
      <c r="O1057" s="148">
        <v>310750</v>
      </c>
      <c r="P1057" s="147">
        <v>0</v>
      </c>
      <c r="Q1057" s="147">
        <v>0</v>
      </c>
      <c r="R1057" s="147">
        <v>0</v>
      </c>
      <c r="S1057" s="147">
        <v>0</v>
      </c>
      <c r="T1057" s="147">
        <v>0</v>
      </c>
      <c r="V1057" s="149"/>
      <c r="X1057" s="184"/>
    </row>
    <row r="1058" spans="1:24" ht="24" customHeight="1">
      <c r="A1058" s="281" t="s">
        <v>544</v>
      </c>
      <c r="B1058" s="282"/>
      <c r="C1058" s="282"/>
      <c r="D1058" s="281" t="s">
        <v>285</v>
      </c>
      <c r="E1058" s="282"/>
      <c r="F1058" s="282"/>
      <c r="G1058" s="282"/>
      <c r="H1058" s="282"/>
      <c r="I1058" s="282"/>
      <c r="J1058" s="282"/>
      <c r="K1058" s="282"/>
      <c r="L1058" s="225">
        <v>20000</v>
      </c>
      <c r="M1058" s="225">
        <v>7420</v>
      </c>
      <c r="N1058" s="151">
        <f t="shared" ref="N1058:T1058" si="352">ROUND((618.36*12),0)</f>
        <v>7420</v>
      </c>
      <c r="O1058" s="151">
        <f>ROUND((618.36*12),0)</f>
        <v>7420</v>
      </c>
      <c r="P1058" s="150">
        <f t="shared" si="352"/>
        <v>7420</v>
      </c>
      <c r="Q1058" s="150">
        <f t="shared" si="352"/>
        <v>7420</v>
      </c>
      <c r="R1058" s="150">
        <f t="shared" si="352"/>
        <v>7420</v>
      </c>
      <c r="S1058" s="150">
        <f t="shared" si="352"/>
        <v>7420</v>
      </c>
      <c r="T1058" s="150">
        <f t="shared" si="352"/>
        <v>7420</v>
      </c>
      <c r="U1058" s="335"/>
      <c r="V1058" s="189"/>
      <c r="W1058" s="189"/>
      <c r="X1058" s="184"/>
    </row>
    <row r="1059" spans="1:24" ht="24" customHeight="1">
      <c r="A1059" s="281" t="s">
        <v>1325</v>
      </c>
      <c r="B1059" s="539"/>
      <c r="C1059" s="539"/>
      <c r="D1059" s="281" t="s">
        <v>1328</v>
      </c>
      <c r="E1059" s="539"/>
      <c r="F1059" s="539"/>
      <c r="G1059" s="539"/>
      <c r="H1059" s="539"/>
      <c r="I1059" s="539"/>
      <c r="J1059" s="539"/>
      <c r="K1059" s="539"/>
      <c r="L1059" s="230">
        <v>0</v>
      </c>
      <c r="M1059" s="230">
        <v>13500</v>
      </c>
      <c r="N1059" s="174">
        <v>0</v>
      </c>
      <c r="O1059" s="164">
        <v>0</v>
      </c>
      <c r="P1059" s="162">
        <v>0</v>
      </c>
      <c r="Q1059" s="162">
        <v>0</v>
      </c>
      <c r="R1059" s="162">
        <v>0</v>
      </c>
      <c r="S1059" s="162">
        <v>0</v>
      </c>
      <c r="T1059" s="162">
        <v>0</v>
      </c>
      <c r="U1059" s="335"/>
      <c r="V1059" s="189"/>
      <c r="W1059" s="189"/>
    </row>
    <row r="1060" spans="1:24" ht="15" customHeight="1">
      <c r="A1060" s="215"/>
      <c r="B1060" s="215"/>
      <c r="C1060" s="215"/>
      <c r="D1060" s="215"/>
      <c r="E1060" s="215"/>
      <c r="F1060" s="215"/>
      <c r="G1060" s="215"/>
      <c r="H1060" s="215"/>
      <c r="I1060" s="215"/>
      <c r="J1060" s="215"/>
      <c r="K1060" s="215"/>
      <c r="L1060" s="231"/>
      <c r="M1060" s="231"/>
      <c r="N1060" s="166"/>
      <c r="O1060" s="166"/>
      <c r="P1060" s="165"/>
      <c r="Q1060" s="165"/>
      <c r="R1060" s="165"/>
      <c r="S1060" s="165"/>
      <c r="T1060" s="165"/>
    </row>
    <row r="1061" spans="1:24" s="215" customFormat="1" ht="24" customHeight="1">
      <c r="K1061" s="285" t="s">
        <v>548</v>
      </c>
      <c r="L1061" s="233">
        <f t="shared" ref="L1061" si="353">SUM(L1052:L1060)</f>
        <v>56411</v>
      </c>
      <c r="M1061" s="233">
        <f t="shared" ref="M1061:T1061" si="354">SUM(M1052:M1060)</f>
        <v>52651</v>
      </c>
      <c r="N1061" s="234">
        <f t="shared" ref="N1061" si="355">SUM(N1052:N1060)</f>
        <v>406030</v>
      </c>
      <c r="O1061" s="234">
        <f t="shared" si="354"/>
        <v>413530</v>
      </c>
      <c r="P1061" s="233">
        <f t="shared" si="354"/>
        <v>52780</v>
      </c>
      <c r="Q1061" s="233">
        <f t="shared" si="354"/>
        <v>52785</v>
      </c>
      <c r="R1061" s="233">
        <f t="shared" si="354"/>
        <v>52795</v>
      </c>
      <c r="S1061" s="233">
        <f t="shared" si="354"/>
        <v>52795</v>
      </c>
      <c r="T1061" s="233">
        <f t="shared" si="354"/>
        <v>52795</v>
      </c>
      <c r="U1061" s="470"/>
    </row>
    <row r="1062" spans="1:24" s="215" customFormat="1" ht="15" customHeight="1">
      <c r="L1062" s="231"/>
      <c r="M1062" s="231"/>
      <c r="N1062" s="232"/>
      <c r="O1062" s="232"/>
      <c r="P1062" s="231"/>
      <c r="Q1062" s="231"/>
      <c r="R1062" s="231"/>
      <c r="S1062" s="231"/>
      <c r="T1062" s="231"/>
      <c r="U1062" s="470"/>
    </row>
    <row r="1063" spans="1:24" s="215" customFormat="1" ht="24" customHeight="1">
      <c r="K1063" s="285" t="s">
        <v>549</v>
      </c>
      <c r="L1063" s="250">
        <f t="shared" ref="L1063:T1063" si="356">L1050-L1061</f>
        <v>14595</v>
      </c>
      <c r="M1063" s="250">
        <f t="shared" si="356"/>
        <v>7564</v>
      </c>
      <c r="N1063" s="251">
        <f t="shared" si="356"/>
        <v>-340980</v>
      </c>
      <c r="O1063" s="251">
        <f t="shared" si="356"/>
        <v>-344612</v>
      </c>
      <c r="P1063" s="250">
        <f t="shared" si="356"/>
        <v>17270</v>
      </c>
      <c r="Q1063" s="250">
        <f t="shared" si="356"/>
        <v>17265</v>
      </c>
      <c r="R1063" s="250">
        <f t="shared" si="356"/>
        <v>22255</v>
      </c>
      <c r="S1063" s="250">
        <f t="shared" si="356"/>
        <v>22255</v>
      </c>
      <c r="T1063" s="250">
        <f t="shared" si="356"/>
        <v>27255</v>
      </c>
      <c r="U1063" s="470"/>
    </row>
    <row r="1064" spans="1:24" s="215" customFormat="1" ht="15" customHeight="1">
      <c r="L1064" s="250"/>
      <c r="M1064" s="250"/>
      <c r="N1064" s="251"/>
      <c r="O1064" s="251"/>
      <c r="P1064" s="250"/>
      <c r="Q1064" s="250"/>
      <c r="R1064" s="250"/>
      <c r="S1064" s="250"/>
      <c r="T1064" s="250"/>
      <c r="U1064" s="470"/>
    </row>
    <row r="1065" spans="1:24" s="215" customFormat="1" ht="24" customHeight="1">
      <c r="K1065" s="290" t="s">
        <v>551</v>
      </c>
      <c r="L1065" s="250">
        <v>231529</v>
      </c>
      <c r="M1065" s="250">
        <v>239096</v>
      </c>
      <c r="N1065" s="251">
        <v>-58049</v>
      </c>
      <c r="O1065" s="251">
        <f>M1065+O1063</f>
        <v>-105516</v>
      </c>
      <c r="P1065" s="250">
        <f>O1065+P1063</f>
        <v>-88246</v>
      </c>
      <c r="Q1065" s="250">
        <f>P1065+Q1063</f>
        <v>-70981</v>
      </c>
      <c r="R1065" s="250">
        <f>Q1065+R1063</f>
        <v>-48726</v>
      </c>
      <c r="S1065" s="250">
        <f>R1065+S1063</f>
        <v>-26471</v>
      </c>
      <c r="T1065" s="250">
        <f>S1065+T1063</f>
        <v>784</v>
      </c>
      <c r="U1065" s="470"/>
    </row>
    <row r="1066" spans="1:24" s="314" customFormat="1" ht="24" customHeight="1">
      <c r="K1066" s="290"/>
      <c r="L1066" s="250"/>
      <c r="M1066" s="250"/>
      <c r="N1066" s="251"/>
      <c r="O1066" s="251"/>
      <c r="P1066" s="250"/>
      <c r="Q1066" s="250"/>
      <c r="R1066" s="250"/>
      <c r="S1066" s="250"/>
      <c r="T1066" s="250"/>
      <c r="U1066" s="470"/>
    </row>
    <row r="1067" spans="1:24" ht="15" customHeight="1">
      <c r="A1067" s="315"/>
      <c r="B1067" s="315"/>
      <c r="C1067" s="315"/>
      <c r="D1067" s="315"/>
      <c r="E1067" s="315"/>
      <c r="F1067" s="315"/>
      <c r="G1067" s="315"/>
      <c r="H1067" s="315"/>
      <c r="I1067" s="315"/>
      <c r="J1067" s="315"/>
      <c r="K1067" s="315"/>
      <c r="L1067" s="231"/>
      <c r="M1067" s="231"/>
      <c r="N1067" s="232"/>
      <c r="O1067" s="232"/>
      <c r="P1067" s="165"/>
      <c r="Q1067" s="165"/>
      <c r="R1067" s="165"/>
      <c r="S1067" s="165"/>
      <c r="T1067" s="165"/>
    </row>
    <row r="1068" spans="1:24" s="318" customFormat="1" ht="20.100000000000001" customHeight="1">
      <c r="A1068" s="768" t="s">
        <v>689</v>
      </c>
      <c r="B1068" s="768"/>
      <c r="C1068" s="768"/>
      <c r="D1068" s="768"/>
      <c r="E1068" s="768"/>
      <c r="F1068" s="768"/>
      <c r="G1068" s="768"/>
      <c r="H1068" s="768"/>
      <c r="I1068" s="768"/>
      <c r="J1068" s="768"/>
      <c r="L1068" s="319"/>
      <c r="M1068" s="319"/>
      <c r="N1068" s="319"/>
      <c r="O1068" s="319"/>
      <c r="P1068" s="319"/>
      <c r="Q1068" s="319"/>
      <c r="R1068" s="319"/>
      <c r="S1068" s="319"/>
      <c r="T1068" s="319"/>
      <c r="U1068" s="469"/>
    </row>
    <row r="1069" spans="1:24" s="368" customFormat="1" ht="24" customHeight="1">
      <c r="K1069" s="369" t="s">
        <v>617</v>
      </c>
      <c r="L1069" s="370"/>
      <c r="M1069" s="370"/>
      <c r="N1069" s="371"/>
      <c r="O1069" s="371"/>
      <c r="P1069" s="370"/>
      <c r="Q1069" s="370"/>
      <c r="R1069" s="370"/>
      <c r="S1069" s="370"/>
      <c r="T1069" s="370"/>
      <c r="U1069" s="372"/>
    </row>
    <row r="1070" spans="1:24" s="215" customFormat="1" ht="24" customHeight="1">
      <c r="J1070" s="781" t="s">
        <v>1036</v>
      </c>
      <c r="K1070" s="215" t="s">
        <v>618</v>
      </c>
      <c r="L1070" s="245">
        <f t="shared" ref="L1070" si="357">L274</f>
        <v>-363247</v>
      </c>
      <c r="M1070" s="245">
        <f t="shared" ref="M1070:T1070" si="358">M274</f>
        <v>965473</v>
      </c>
      <c r="N1070" s="232">
        <f t="shared" si="358"/>
        <v>10002</v>
      </c>
      <c r="O1070" s="232">
        <f t="shared" ref="O1070" si="359">O274</f>
        <v>187627</v>
      </c>
      <c r="P1070" s="231">
        <f>P274</f>
        <v>-286275</v>
      </c>
      <c r="Q1070" s="231">
        <f t="shared" ref="Q1070:S1070" si="360">Q274</f>
        <v>-533484</v>
      </c>
      <c r="R1070" s="231">
        <f t="shared" si="360"/>
        <v>-640662</v>
      </c>
      <c r="S1070" s="231">
        <f t="shared" si="360"/>
        <v>-833029</v>
      </c>
      <c r="T1070" s="231">
        <f t="shared" si="358"/>
        <v>-1034856</v>
      </c>
      <c r="U1070" s="470"/>
    </row>
    <row r="1071" spans="1:24" s="215" customFormat="1" ht="24" customHeight="1">
      <c r="J1071" s="781"/>
      <c r="K1071" s="215" t="s">
        <v>619</v>
      </c>
      <c r="L1071" s="245">
        <f t="shared" ref="L1071" si="361">L293</f>
        <v>-3989</v>
      </c>
      <c r="M1071" s="245">
        <f t="shared" ref="M1071:T1071" si="362">M293</f>
        <v>4328</v>
      </c>
      <c r="N1071" s="232">
        <f t="shared" si="362"/>
        <v>-22760</v>
      </c>
      <c r="O1071" s="232">
        <f t="shared" ref="O1071" si="363">O293</f>
        <v>-27602</v>
      </c>
      <c r="P1071" s="231">
        <f t="shared" ref="P1071:S1071" si="364">P293</f>
        <v>2240</v>
      </c>
      <c r="Q1071" s="231">
        <f t="shared" si="364"/>
        <v>1273</v>
      </c>
      <c r="R1071" s="231">
        <f t="shared" si="364"/>
        <v>1273</v>
      </c>
      <c r="S1071" s="231">
        <f t="shared" si="364"/>
        <v>1273</v>
      </c>
      <c r="T1071" s="231">
        <f t="shared" si="362"/>
        <v>1273</v>
      </c>
      <c r="U1071" s="470"/>
    </row>
    <row r="1072" spans="1:24" s="215" customFormat="1" ht="24" customHeight="1">
      <c r="J1072" s="781"/>
      <c r="K1072" s="215" t="s">
        <v>620</v>
      </c>
      <c r="L1072" s="245">
        <f t="shared" ref="L1072" si="365">L310</f>
        <v>-5166</v>
      </c>
      <c r="M1072" s="245">
        <f t="shared" ref="M1072:T1072" si="366">M310</f>
        <v>-22681</v>
      </c>
      <c r="N1072" s="232">
        <f t="shared" si="366"/>
        <v>-18986</v>
      </c>
      <c r="O1072" s="232">
        <f t="shared" ref="O1072" si="367">O310</f>
        <v>-19249</v>
      </c>
      <c r="P1072" s="231">
        <f t="shared" ref="P1072:S1072" si="368">P310</f>
        <v>2858</v>
      </c>
      <c r="Q1072" s="231">
        <f t="shared" si="368"/>
        <v>551</v>
      </c>
      <c r="R1072" s="231">
        <f t="shared" si="368"/>
        <v>6551</v>
      </c>
      <c r="S1072" s="231">
        <f t="shared" si="368"/>
        <v>6551</v>
      </c>
      <c r="T1072" s="231">
        <f t="shared" si="366"/>
        <v>6551</v>
      </c>
      <c r="U1072" s="470"/>
    </row>
    <row r="1073" spans="10:29" s="215" customFormat="1" ht="24" customHeight="1">
      <c r="J1073" s="781"/>
      <c r="K1073" s="215" t="s">
        <v>748</v>
      </c>
      <c r="L1073" s="245">
        <f t="shared" ref="L1073" si="369">L350</f>
        <v>-132052</v>
      </c>
      <c r="M1073" s="245">
        <f t="shared" ref="M1073:T1073" si="370">M350</f>
        <v>-110173</v>
      </c>
      <c r="N1073" s="232">
        <f t="shared" si="370"/>
        <v>-387497</v>
      </c>
      <c r="O1073" s="232">
        <f t="shared" ref="O1073" si="371">O350</f>
        <v>-208200</v>
      </c>
      <c r="P1073" s="231">
        <f t="shared" ref="P1073:S1073" si="372">P350</f>
        <v>-228003</v>
      </c>
      <c r="Q1073" s="231">
        <f t="shared" si="372"/>
        <v>-223258</v>
      </c>
      <c r="R1073" s="231">
        <f t="shared" si="372"/>
        <v>-180654</v>
      </c>
      <c r="S1073" s="231">
        <f t="shared" si="372"/>
        <v>-130167</v>
      </c>
      <c r="T1073" s="231">
        <f t="shared" si="370"/>
        <v>0</v>
      </c>
      <c r="U1073" s="470"/>
    </row>
    <row r="1074" spans="10:29" s="215" customFormat="1" ht="24" customHeight="1">
      <c r="J1074" s="781"/>
      <c r="K1074" s="215" t="s">
        <v>749</v>
      </c>
      <c r="L1074" s="245">
        <f t="shared" ref="L1074" si="373">L366</f>
        <v>571615</v>
      </c>
      <c r="M1074" s="245">
        <f t="shared" ref="M1074:T1074" si="374">M366</f>
        <v>0</v>
      </c>
      <c r="N1074" s="232">
        <f t="shared" si="374"/>
        <v>0</v>
      </c>
      <c r="O1074" s="232">
        <f t="shared" ref="O1074" si="375">O366</f>
        <v>0</v>
      </c>
      <c r="P1074" s="231">
        <f t="shared" ref="P1074:S1074" si="376">P366</f>
        <v>0</v>
      </c>
      <c r="Q1074" s="231">
        <f t="shared" si="376"/>
        <v>0</v>
      </c>
      <c r="R1074" s="231">
        <f t="shared" si="376"/>
        <v>0</v>
      </c>
      <c r="S1074" s="231">
        <f t="shared" si="376"/>
        <v>0</v>
      </c>
      <c r="T1074" s="231">
        <f t="shared" si="374"/>
        <v>0</v>
      </c>
      <c r="U1074" s="470"/>
    </row>
    <row r="1075" spans="10:29" s="578" customFormat="1" ht="24" customHeight="1">
      <c r="J1075" s="781"/>
      <c r="K1075" s="215" t="s">
        <v>751</v>
      </c>
      <c r="L1075" s="245">
        <f t="shared" ref="L1075:T1075" si="377">L438</f>
        <v>347829</v>
      </c>
      <c r="M1075" s="245">
        <f t="shared" si="377"/>
        <v>4008152</v>
      </c>
      <c r="N1075" s="232">
        <f t="shared" si="377"/>
        <v>-4142882</v>
      </c>
      <c r="O1075" s="232">
        <f t="shared" si="377"/>
        <v>-2062488</v>
      </c>
      <c r="P1075" s="231">
        <f t="shared" si="377"/>
        <v>-1973009</v>
      </c>
      <c r="Q1075" s="231">
        <f t="shared" si="377"/>
        <v>-448359</v>
      </c>
      <c r="R1075" s="231">
        <f t="shared" si="377"/>
        <v>-195588</v>
      </c>
      <c r="S1075" s="231">
        <f t="shared" si="377"/>
        <v>0</v>
      </c>
      <c r="T1075" s="231">
        <f t="shared" si="377"/>
        <v>0</v>
      </c>
      <c r="U1075" s="579"/>
    </row>
    <row r="1076" spans="10:29" s="215" customFormat="1" ht="24" customHeight="1">
      <c r="J1076" s="781"/>
      <c r="K1076" s="215" t="s">
        <v>967</v>
      </c>
      <c r="L1076" s="245">
        <f t="shared" ref="L1076:T1076" si="378">(L448+L450+L451+L452+L449+L454+L455+L467+L456+L457+L466+L465+L458+L459+L464-L478-L490)</f>
        <v>-14612</v>
      </c>
      <c r="M1076" s="245">
        <f t="shared" si="378"/>
        <v>-132229</v>
      </c>
      <c r="N1076" s="246">
        <f t="shared" si="378"/>
        <v>-16169</v>
      </c>
      <c r="O1076" s="246">
        <f t="shared" si="378"/>
        <v>71671</v>
      </c>
      <c r="P1076" s="245">
        <f t="shared" si="378"/>
        <v>-51565</v>
      </c>
      <c r="Q1076" s="245">
        <f t="shared" si="378"/>
        <v>0</v>
      </c>
      <c r="R1076" s="245">
        <f t="shared" si="378"/>
        <v>0</v>
      </c>
      <c r="S1076" s="245">
        <f t="shared" si="378"/>
        <v>0</v>
      </c>
      <c r="T1076" s="245">
        <f t="shared" si="378"/>
        <v>0</v>
      </c>
      <c r="U1076" s="470"/>
    </row>
    <row r="1077" spans="10:29" s="215" customFormat="1" ht="24" customHeight="1">
      <c r="J1077" s="781"/>
      <c r="K1077" s="215" t="s">
        <v>705</v>
      </c>
      <c r="L1077" s="231">
        <f t="shared" ref="L1077" si="379">L545</f>
        <v>-6728</v>
      </c>
      <c r="M1077" s="231">
        <f t="shared" ref="M1077:T1077" si="380">M545</f>
        <v>2524</v>
      </c>
      <c r="N1077" s="232">
        <f t="shared" si="380"/>
        <v>-8645</v>
      </c>
      <c r="O1077" s="232">
        <f t="shared" ref="O1077" si="381">O545</f>
        <v>-7842</v>
      </c>
      <c r="P1077" s="231">
        <f t="shared" ref="P1077:S1077" si="382">P545</f>
        <v>0</v>
      </c>
      <c r="Q1077" s="231">
        <f t="shared" si="382"/>
        <v>0</v>
      </c>
      <c r="R1077" s="231">
        <f t="shared" si="382"/>
        <v>0</v>
      </c>
      <c r="S1077" s="231">
        <f t="shared" si="382"/>
        <v>0</v>
      </c>
      <c r="T1077" s="231">
        <f t="shared" si="380"/>
        <v>0</v>
      </c>
      <c r="U1077" s="470"/>
    </row>
    <row r="1078" spans="10:29" s="215" customFormat="1" ht="24" customHeight="1">
      <c r="J1078" s="781"/>
      <c r="K1078" s="215" t="s">
        <v>621</v>
      </c>
      <c r="L1078" s="245">
        <f t="shared" ref="L1078" si="383">L649</f>
        <v>-175756</v>
      </c>
      <c r="M1078" s="245">
        <f t="shared" ref="M1078:T1078" si="384">M649</f>
        <v>-250935</v>
      </c>
      <c r="N1078" s="232">
        <f t="shared" si="384"/>
        <v>-276196</v>
      </c>
      <c r="O1078" s="232">
        <f t="shared" ref="O1078" si="385">O649</f>
        <v>3310778</v>
      </c>
      <c r="P1078" s="231">
        <f t="shared" ref="P1078:S1078" si="386">P649</f>
        <v>-2650361</v>
      </c>
      <c r="Q1078" s="231">
        <f t="shared" si="386"/>
        <v>-147130</v>
      </c>
      <c r="R1078" s="231">
        <f t="shared" si="386"/>
        <v>-423392</v>
      </c>
      <c r="S1078" s="231">
        <f t="shared" si="386"/>
        <v>-919978</v>
      </c>
      <c r="T1078" s="231">
        <f t="shared" si="384"/>
        <v>177693</v>
      </c>
      <c r="U1078" s="470"/>
    </row>
    <row r="1079" spans="10:29" s="215" customFormat="1" ht="24" customHeight="1">
      <c r="J1079" s="781"/>
      <c r="K1079" s="215" t="s">
        <v>622</v>
      </c>
      <c r="L1079" s="245">
        <f t="shared" ref="L1079" si="387">L733</f>
        <v>-114164</v>
      </c>
      <c r="M1079" s="245">
        <f t="shared" ref="M1079:T1079" si="388">M733</f>
        <v>-1049565</v>
      </c>
      <c r="N1079" s="232">
        <f t="shared" si="388"/>
        <v>-424733</v>
      </c>
      <c r="O1079" s="232">
        <f t="shared" ref="O1079" si="389">O733</f>
        <v>-422276</v>
      </c>
      <c r="P1079" s="231">
        <f t="shared" ref="P1079:S1079" si="390">P733</f>
        <v>-430304</v>
      </c>
      <c r="Q1079" s="231">
        <f t="shared" si="390"/>
        <v>-412921</v>
      </c>
      <c r="R1079" s="231">
        <f t="shared" si="390"/>
        <v>-418897</v>
      </c>
      <c r="S1079" s="231">
        <f t="shared" si="390"/>
        <v>127167</v>
      </c>
      <c r="T1079" s="231">
        <f t="shared" si="388"/>
        <v>214653</v>
      </c>
      <c r="U1079" s="470"/>
    </row>
    <row r="1080" spans="10:29" s="215" customFormat="1" ht="24" customHeight="1">
      <c r="J1080" s="781"/>
      <c r="K1080" s="215" t="s">
        <v>623</v>
      </c>
      <c r="L1080" s="245">
        <f t="shared" ref="L1080" si="391">L771</f>
        <v>66565</v>
      </c>
      <c r="M1080" s="245">
        <f t="shared" ref="M1080:T1080" si="392">M771</f>
        <v>-70555</v>
      </c>
      <c r="N1080" s="232">
        <f t="shared" si="392"/>
        <v>-150332</v>
      </c>
      <c r="O1080" s="232">
        <f t="shared" ref="O1080" si="393">O771</f>
        <v>67745</v>
      </c>
      <c r="P1080" s="231">
        <f t="shared" ref="P1080:S1080" si="394">P771</f>
        <v>35145</v>
      </c>
      <c r="Q1080" s="231">
        <f t="shared" si="394"/>
        <v>-293832</v>
      </c>
      <c r="R1080" s="231">
        <f t="shared" si="394"/>
        <v>364266</v>
      </c>
      <c r="S1080" s="231">
        <f t="shared" si="394"/>
        <v>35000</v>
      </c>
      <c r="T1080" s="231">
        <f t="shared" si="392"/>
        <v>35000</v>
      </c>
      <c r="U1080" s="470"/>
    </row>
    <row r="1081" spans="10:29" s="215" customFormat="1" ht="24" customHeight="1">
      <c r="J1081" s="303"/>
      <c r="K1081" s="215" t="s">
        <v>538</v>
      </c>
      <c r="L1081" s="245">
        <f>L1038</f>
        <v>-2106423</v>
      </c>
      <c r="M1081" s="245">
        <f>M1038</f>
        <v>-70735</v>
      </c>
      <c r="N1081" s="232">
        <f t="shared" ref="N1081:O1081" si="395">N1038</f>
        <v>-79587</v>
      </c>
      <c r="O1081" s="232">
        <f t="shared" si="395"/>
        <v>47028</v>
      </c>
      <c r="P1081" s="231">
        <f t="shared" ref="P1081:R1081" si="396">P1038</f>
        <v>37241</v>
      </c>
      <c r="Q1081" s="231">
        <f t="shared" si="396"/>
        <v>47185</v>
      </c>
      <c r="R1081" s="231">
        <f t="shared" si="396"/>
        <v>47502</v>
      </c>
      <c r="S1081" s="231">
        <f>S1038</f>
        <v>-12985</v>
      </c>
      <c r="T1081" s="231">
        <f>T1038</f>
        <v>-11451</v>
      </c>
      <c r="U1081" s="470"/>
    </row>
    <row r="1082" spans="10:29" s="215" customFormat="1" ht="24" customHeight="1">
      <c r="J1082" s="303"/>
      <c r="K1082" s="215" t="s">
        <v>543</v>
      </c>
      <c r="L1082" s="264">
        <f>L1063</f>
        <v>14595</v>
      </c>
      <c r="M1082" s="264">
        <f>M1063</f>
        <v>7564</v>
      </c>
      <c r="N1082" s="267">
        <f t="shared" ref="N1082:O1082" si="397">N1063</f>
        <v>-340980</v>
      </c>
      <c r="O1082" s="267">
        <f t="shared" si="397"/>
        <v>-344612</v>
      </c>
      <c r="P1082" s="268">
        <f t="shared" ref="P1082:R1082" si="398">P1063</f>
        <v>17270</v>
      </c>
      <c r="Q1082" s="268">
        <f t="shared" si="398"/>
        <v>17265</v>
      </c>
      <c r="R1082" s="268">
        <f t="shared" si="398"/>
        <v>22255</v>
      </c>
      <c r="S1082" s="268">
        <f>S1063</f>
        <v>22255</v>
      </c>
      <c r="T1082" s="268">
        <f>T1063</f>
        <v>27255</v>
      </c>
      <c r="U1082" s="470"/>
      <c r="V1082" s="713"/>
      <c r="W1082" s="713"/>
      <c r="X1082" s="713"/>
      <c r="Y1082" s="713"/>
      <c r="Z1082" s="713"/>
      <c r="AA1082" s="713"/>
      <c r="AB1082" s="713"/>
      <c r="AC1082" s="713"/>
    </row>
    <row r="1083" spans="10:29" s="215" customFormat="1" ht="24" customHeight="1">
      <c r="L1083" s="245"/>
      <c r="M1083" s="245"/>
      <c r="N1083" s="232"/>
      <c r="O1083" s="232"/>
      <c r="P1083" s="231"/>
      <c r="Q1083" s="231"/>
      <c r="R1083" s="231"/>
      <c r="S1083" s="231"/>
      <c r="T1083" s="231"/>
      <c r="U1083" s="470"/>
      <c r="V1083" s="713"/>
      <c r="W1083" s="713"/>
      <c r="X1083" s="713"/>
      <c r="Y1083" s="713"/>
      <c r="Z1083" s="713"/>
      <c r="AA1083" s="713"/>
      <c r="AB1083" s="713"/>
      <c r="AC1083" s="713"/>
    </row>
    <row r="1084" spans="10:29" s="285" customFormat="1" ht="24" customHeight="1">
      <c r="L1084" s="250">
        <f>SUM(L1070:L1083)</f>
        <v>-1921533</v>
      </c>
      <c r="M1084" s="250">
        <f>SUM(M1070:M1083)</f>
        <v>3281168</v>
      </c>
      <c r="N1084" s="234">
        <f>SUM(N1070:N1083)</f>
        <v>-5858765</v>
      </c>
      <c r="O1084" s="234">
        <f>SUM(O1070:O1083)</f>
        <v>592580</v>
      </c>
      <c r="P1084" s="233">
        <f>SUM(P1070:P1083)</f>
        <v>-5524763</v>
      </c>
      <c r="Q1084" s="233">
        <f t="shared" ref="Q1084:R1084" si="399">SUM(Q1070:Q1083)</f>
        <v>-1992710</v>
      </c>
      <c r="R1084" s="233">
        <f t="shared" si="399"/>
        <v>-1417346</v>
      </c>
      <c r="S1084" s="233">
        <f>SUM(S1070:S1083)</f>
        <v>-1703913</v>
      </c>
      <c r="T1084" s="233">
        <f>SUM(T1070:T1083)</f>
        <v>-583882</v>
      </c>
      <c r="U1084" s="470"/>
    </row>
    <row r="1085" spans="10:29" s="215" customFormat="1" ht="24" customHeight="1">
      <c r="L1085" s="231"/>
      <c r="M1085" s="231"/>
      <c r="N1085" s="232"/>
      <c r="O1085" s="232"/>
      <c r="P1085" s="231"/>
      <c r="Q1085" s="231"/>
      <c r="R1085" s="231"/>
      <c r="S1085" s="231"/>
      <c r="T1085" s="231"/>
      <c r="U1085" s="470"/>
      <c r="V1085" s="742"/>
      <c r="W1085" s="742"/>
      <c r="X1085" s="742"/>
      <c r="Y1085" s="742"/>
      <c r="Z1085" s="742"/>
      <c r="AA1085" s="322"/>
      <c r="AB1085" s="713"/>
      <c r="AC1085" s="713"/>
    </row>
    <row r="1086" spans="10:29" s="373" customFormat="1" ht="24" customHeight="1">
      <c r="K1086" s="374" t="s">
        <v>895</v>
      </c>
      <c r="L1086" s="375"/>
      <c r="M1086" s="375"/>
      <c r="N1086" s="376"/>
      <c r="O1086" s="376"/>
      <c r="P1086" s="375"/>
      <c r="Q1086" s="375"/>
      <c r="R1086" s="375"/>
      <c r="S1086" s="375"/>
      <c r="T1086" s="375"/>
      <c r="U1086" s="377"/>
      <c r="V1086" s="743"/>
      <c r="W1086" s="743"/>
      <c r="X1086" s="743"/>
      <c r="Y1086" s="743"/>
      <c r="Z1086" s="743"/>
      <c r="AA1086" s="744"/>
    </row>
    <row r="1087" spans="10:29" s="215" customFormat="1" ht="24" customHeight="1">
      <c r="J1087" s="781" t="s">
        <v>1036</v>
      </c>
      <c r="K1087" s="215" t="s">
        <v>618</v>
      </c>
      <c r="L1087" s="245">
        <f t="shared" ref="L1087" si="400">L276</f>
        <v>3860581</v>
      </c>
      <c r="M1087" s="245">
        <f t="shared" ref="M1087:T1087" si="401">M276</f>
        <v>4826059</v>
      </c>
      <c r="N1087" s="232">
        <f t="shared" si="401"/>
        <v>4110607</v>
      </c>
      <c r="O1087" s="232">
        <f t="shared" ref="O1087" si="402">O276</f>
        <v>5013686</v>
      </c>
      <c r="P1087" s="231">
        <f t="shared" ref="P1087:S1087" si="403">P276</f>
        <v>4727411</v>
      </c>
      <c r="Q1087" s="231">
        <f t="shared" si="403"/>
        <v>4193927</v>
      </c>
      <c r="R1087" s="231">
        <f t="shared" si="403"/>
        <v>3553265</v>
      </c>
      <c r="S1087" s="231">
        <f t="shared" si="403"/>
        <v>2720236</v>
      </c>
      <c r="T1087" s="231">
        <f t="shared" si="401"/>
        <v>1685380</v>
      </c>
      <c r="U1087" s="470"/>
      <c r="V1087" s="446"/>
      <c r="W1087" s="446"/>
      <c r="X1087" s="446"/>
      <c r="Y1087" s="446"/>
      <c r="Z1087" s="505"/>
      <c r="AA1087" s="505"/>
      <c r="AB1087" s="285"/>
      <c r="AC1087" s="713"/>
    </row>
    <row r="1088" spans="10:29" s="215" customFormat="1" ht="24" customHeight="1">
      <c r="J1088" s="781"/>
      <c r="K1088" s="215" t="s">
        <v>619</v>
      </c>
      <c r="L1088" s="245">
        <f t="shared" ref="L1088" si="404">L295</f>
        <v>11134</v>
      </c>
      <c r="M1088" s="245">
        <f t="shared" ref="M1088:T1088" si="405">M295</f>
        <v>15462</v>
      </c>
      <c r="N1088" s="232">
        <f t="shared" si="405"/>
        <v>-7693</v>
      </c>
      <c r="O1088" s="232">
        <f t="shared" ref="O1088" si="406">O295</f>
        <v>-12140</v>
      </c>
      <c r="P1088" s="231">
        <f t="shared" ref="P1088:S1088" si="407">P295</f>
        <v>-9900</v>
      </c>
      <c r="Q1088" s="231">
        <f t="shared" si="407"/>
        <v>-8627</v>
      </c>
      <c r="R1088" s="231">
        <f t="shared" si="407"/>
        <v>-7354</v>
      </c>
      <c r="S1088" s="231">
        <f t="shared" si="407"/>
        <v>-6081</v>
      </c>
      <c r="T1088" s="231">
        <f t="shared" si="405"/>
        <v>-4808</v>
      </c>
      <c r="U1088" s="470"/>
      <c r="V1088" s="446"/>
      <c r="W1088" s="446"/>
      <c r="X1088" s="446"/>
      <c r="Y1088" s="446"/>
      <c r="Z1088" s="505"/>
      <c r="AA1088" s="322"/>
      <c r="AB1088" s="713"/>
      <c r="AC1088" s="713"/>
    </row>
    <row r="1089" spans="1:29" s="215" customFormat="1" ht="24" customHeight="1">
      <c r="J1089" s="781"/>
      <c r="K1089" s="215" t="s">
        <v>620</v>
      </c>
      <c r="L1089" s="245">
        <f t="shared" ref="L1089" si="408">L312</f>
        <v>2574</v>
      </c>
      <c r="M1089" s="245">
        <f t="shared" ref="M1089:T1089" si="409">M312</f>
        <v>-20108</v>
      </c>
      <c r="N1089" s="232">
        <f t="shared" si="409"/>
        <v>-49980</v>
      </c>
      <c r="O1089" s="232">
        <f t="shared" ref="O1089" si="410">O312</f>
        <v>-39357</v>
      </c>
      <c r="P1089" s="231">
        <f t="shared" ref="P1089:S1089" si="411">P312</f>
        <v>-36499</v>
      </c>
      <c r="Q1089" s="231">
        <f t="shared" si="411"/>
        <v>-35948</v>
      </c>
      <c r="R1089" s="231">
        <f t="shared" si="411"/>
        <v>-29397</v>
      </c>
      <c r="S1089" s="231">
        <f t="shared" si="411"/>
        <v>-22846</v>
      </c>
      <c r="T1089" s="231">
        <f t="shared" si="409"/>
        <v>-16295</v>
      </c>
      <c r="U1089" s="470"/>
      <c r="V1089" s="446"/>
      <c r="W1089" s="446"/>
      <c r="X1089" s="446"/>
      <c r="Y1089" s="446"/>
      <c r="Z1089" s="505"/>
      <c r="AA1089" s="322"/>
      <c r="AB1089" s="713"/>
      <c r="AC1089" s="713"/>
    </row>
    <row r="1090" spans="1:29" s="215" customFormat="1" ht="24" customHeight="1">
      <c r="J1090" s="781"/>
      <c r="K1090" s="215" t="s">
        <v>748</v>
      </c>
      <c r="L1090" s="245">
        <f t="shared" ref="L1090" si="412">L352</f>
        <v>1030456</v>
      </c>
      <c r="M1090" s="245">
        <f t="shared" ref="M1090:T1090" si="413">M352</f>
        <v>920282</v>
      </c>
      <c r="N1090" s="232">
        <f t="shared" si="413"/>
        <v>589656</v>
      </c>
      <c r="O1090" s="232">
        <f t="shared" ref="O1090" si="414">O352</f>
        <v>712082</v>
      </c>
      <c r="P1090" s="231">
        <f t="shared" ref="P1090:S1090" si="415">P352</f>
        <v>484079</v>
      </c>
      <c r="Q1090" s="231">
        <f t="shared" si="415"/>
        <v>260821</v>
      </c>
      <c r="R1090" s="231">
        <f t="shared" si="415"/>
        <v>80167</v>
      </c>
      <c r="S1090" s="231">
        <f t="shared" si="415"/>
        <v>-50000</v>
      </c>
      <c r="T1090" s="231">
        <f t="shared" si="413"/>
        <v>-50000</v>
      </c>
      <c r="U1090" s="470"/>
      <c r="V1090" s="446"/>
      <c r="W1090" s="446"/>
      <c r="X1090" s="446"/>
      <c r="Y1090" s="446"/>
      <c r="Z1090" s="505"/>
      <c r="AA1090" s="322"/>
      <c r="AB1090" s="713"/>
      <c r="AC1090" s="713"/>
    </row>
    <row r="1091" spans="1:29" s="215" customFormat="1" ht="24" customHeight="1">
      <c r="J1091" s="781"/>
      <c r="K1091" s="215" t="s">
        <v>749</v>
      </c>
      <c r="L1091" s="245">
        <f t="shared" ref="L1091" si="416">L368</f>
        <v>0</v>
      </c>
      <c r="M1091" s="245">
        <f t="shared" ref="M1091:T1091" si="417">M368</f>
        <v>0</v>
      </c>
      <c r="N1091" s="232">
        <f t="shared" si="417"/>
        <v>0</v>
      </c>
      <c r="O1091" s="232">
        <f t="shared" ref="O1091" si="418">O368</f>
        <v>0</v>
      </c>
      <c r="P1091" s="231">
        <f t="shared" ref="P1091:S1091" si="419">P368</f>
        <v>0</v>
      </c>
      <c r="Q1091" s="231">
        <f t="shared" si="419"/>
        <v>0</v>
      </c>
      <c r="R1091" s="231">
        <f t="shared" si="419"/>
        <v>0</v>
      </c>
      <c r="S1091" s="231">
        <f t="shared" si="419"/>
        <v>0</v>
      </c>
      <c r="T1091" s="231">
        <f t="shared" si="417"/>
        <v>0</v>
      </c>
      <c r="U1091" s="470"/>
      <c r="V1091" s="446"/>
      <c r="W1091" s="446"/>
      <c r="X1091" s="446"/>
      <c r="Y1091" s="446"/>
      <c r="Z1091" s="505"/>
      <c r="AA1091" s="322"/>
      <c r="AB1091" s="713"/>
      <c r="AC1091" s="713"/>
    </row>
    <row r="1092" spans="1:29" s="578" customFormat="1" ht="24" customHeight="1">
      <c r="J1092" s="781"/>
      <c r="K1092" s="215" t="s">
        <v>751</v>
      </c>
      <c r="L1092" s="245">
        <f t="shared" ref="L1092:T1092" si="420">L444</f>
        <v>676555</v>
      </c>
      <c r="M1092" s="245">
        <f t="shared" si="420"/>
        <v>4684706</v>
      </c>
      <c r="N1092" s="232">
        <f t="shared" si="420"/>
        <v>831196</v>
      </c>
      <c r="O1092" s="232">
        <f t="shared" si="420"/>
        <v>2622218</v>
      </c>
      <c r="P1092" s="231">
        <f t="shared" si="420"/>
        <v>649209</v>
      </c>
      <c r="Q1092" s="231">
        <f t="shared" si="420"/>
        <v>200850</v>
      </c>
      <c r="R1092" s="231">
        <f t="shared" si="420"/>
        <v>5262</v>
      </c>
      <c r="S1092" s="231">
        <f t="shared" si="420"/>
        <v>5262</v>
      </c>
      <c r="T1092" s="231">
        <f t="shared" si="420"/>
        <v>5262</v>
      </c>
      <c r="U1092" s="470"/>
      <c r="V1092" s="446"/>
      <c r="W1092" s="446"/>
      <c r="X1092" s="446"/>
      <c r="Y1092" s="446"/>
      <c r="Z1092" s="505"/>
      <c r="AA1092" s="322"/>
      <c r="AB1092" s="713"/>
      <c r="AC1092" s="713"/>
    </row>
    <row r="1093" spans="1:29" s="215" customFormat="1" ht="24" customHeight="1">
      <c r="J1093" s="781"/>
      <c r="K1093" s="215" t="s">
        <v>967</v>
      </c>
      <c r="L1093" s="245">
        <f>L511+L513</f>
        <v>113673</v>
      </c>
      <c r="M1093" s="245">
        <f t="shared" ref="M1093:T1093" si="421">M511+M513</f>
        <v>-20106</v>
      </c>
      <c r="N1093" s="246">
        <f t="shared" si="421"/>
        <v>0</v>
      </c>
      <c r="O1093" s="246">
        <f t="shared" ref="O1093" si="422">O511+O513</f>
        <v>51565</v>
      </c>
      <c r="P1093" s="245">
        <f t="shared" ref="P1093:S1093" si="423">P511+P513</f>
        <v>0</v>
      </c>
      <c r="Q1093" s="245">
        <f t="shared" si="423"/>
        <v>0</v>
      </c>
      <c r="R1093" s="245">
        <f t="shared" si="423"/>
        <v>0</v>
      </c>
      <c r="S1093" s="245">
        <f t="shared" si="423"/>
        <v>0</v>
      </c>
      <c r="T1093" s="245">
        <f t="shared" si="421"/>
        <v>0</v>
      </c>
      <c r="U1093" s="470"/>
      <c r="V1093" s="446"/>
      <c r="W1093" s="446"/>
      <c r="X1093" s="446"/>
      <c r="Y1093" s="446"/>
      <c r="Z1093" s="505"/>
      <c r="AA1093" s="322"/>
      <c r="AB1093" s="713"/>
      <c r="AC1093" s="713"/>
    </row>
    <row r="1094" spans="1:29" s="215" customFormat="1" ht="24" customHeight="1">
      <c r="J1094" s="781"/>
      <c r="K1094" s="215" t="s">
        <v>705</v>
      </c>
      <c r="L1094" s="231">
        <f t="shared" ref="L1094" si="424">L547</f>
        <v>5319</v>
      </c>
      <c r="M1094" s="231">
        <f t="shared" ref="M1094:T1094" si="425">M547</f>
        <v>7842</v>
      </c>
      <c r="N1094" s="232">
        <f t="shared" si="425"/>
        <v>0</v>
      </c>
      <c r="O1094" s="232">
        <f t="shared" ref="O1094" si="426">O547</f>
        <v>0</v>
      </c>
      <c r="P1094" s="231">
        <f t="shared" ref="P1094:S1094" si="427">P547</f>
        <v>0</v>
      </c>
      <c r="Q1094" s="231">
        <f t="shared" si="427"/>
        <v>0</v>
      </c>
      <c r="R1094" s="231">
        <f t="shared" si="427"/>
        <v>0</v>
      </c>
      <c r="S1094" s="231">
        <f t="shared" si="427"/>
        <v>0</v>
      </c>
      <c r="T1094" s="231">
        <f t="shared" si="425"/>
        <v>0</v>
      </c>
      <c r="U1094" s="470"/>
      <c r="V1094" s="446"/>
      <c r="W1094" s="446"/>
      <c r="X1094" s="446"/>
      <c r="Y1094" s="446"/>
      <c r="Z1094" s="505"/>
      <c r="AA1094" s="322"/>
      <c r="AB1094" s="713"/>
      <c r="AC1094" s="713"/>
    </row>
    <row r="1095" spans="1:29" s="215" customFormat="1" ht="24" customHeight="1">
      <c r="J1095" s="781"/>
      <c r="K1095" s="215" t="s">
        <v>621</v>
      </c>
      <c r="L1095" s="245">
        <f t="shared" ref="L1095" si="428">L651</f>
        <v>1350923</v>
      </c>
      <c r="M1095" s="245">
        <f t="shared" ref="M1095:T1095" si="429">M651</f>
        <v>1099988</v>
      </c>
      <c r="N1095" s="232">
        <f t="shared" si="429"/>
        <v>558007</v>
      </c>
      <c r="O1095" s="232">
        <f t="shared" ref="O1095" si="430">O651</f>
        <v>4410766</v>
      </c>
      <c r="P1095" s="231">
        <f t="shared" ref="P1095:S1095" si="431">P651</f>
        <v>1760405</v>
      </c>
      <c r="Q1095" s="231">
        <f t="shared" si="431"/>
        <v>1613275</v>
      </c>
      <c r="R1095" s="231">
        <f t="shared" si="431"/>
        <v>1189883</v>
      </c>
      <c r="S1095" s="231">
        <f t="shared" si="431"/>
        <v>269905</v>
      </c>
      <c r="T1095" s="231">
        <f t="shared" si="429"/>
        <v>447598</v>
      </c>
      <c r="U1095" s="470"/>
      <c r="V1095" s="446"/>
      <c r="W1095" s="446"/>
      <c r="X1095" s="446"/>
      <c r="Y1095" s="446"/>
      <c r="Z1095" s="505"/>
      <c r="AA1095" s="322"/>
      <c r="AB1095" s="713"/>
      <c r="AC1095" s="713"/>
    </row>
    <row r="1096" spans="1:29" s="215" customFormat="1" ht="24" customHeight="1">
      <c r="J1096" s="781"/>
      <c r="K1096" s="215" t="s">
        <v>622</v>
      </c>
      <c r="L1096" s="245">
        <f t="shared" ref="L1096" si="432">L735</f>
        <v>2879170</v>
      </c>
      <c r="M1096" s="245">
        <f t="shared" ref="M1096:T1096" si="433">M735</f>
        <v>1829603</v>
      </c>
      <c r="N1096" s="232">
        <f t="shared" si="433"/>
        <v>1368893</v>
      </c>
      <c r="O1096" s="232">
        <f t="shared" ref="O1096" si="434">O735</f>
        <v>1407327</v>
      </c>
      <c r="P1096" s="231">
        <f>P735</f>
        <v>977023</v>
      </c>
      <c r="Q1096" s="231">
        <f t="shared" ref="Q1096:S1096" si="435">Q735</f>
        <v>564102</v>
      </c>
      <c r="R1096" s="231">
        <f t="shared" si="435"/>
        <v>145205</v>
      </c>
      <c r="S1096" s="231">
        <f t="shared" si="435"/>
        <v>272372</v>
      </c>
      <c r="T1096" s="231">
        <f t="shared" si="433"/>
        <v>487025</v>
      </c>
      <c r="U1096" s="470"/>
      <c r="V1096" s="446"/>
      <c r="W1096" s="446"/>
      <c r="X1096" s="446"/>
      <c r="Y1096" s="446"/>
      <c r="Z1096" s="505"/>
      <c r="AA1096" s="322"/>
      <c r="AB1096" s="713"/>
      <c r="AC1096" s="713"/>
    </row>
    <row r="1097" spans="1:29" s="215" customFormat="1" ht="24" customHeight="1">
      <c r="J1097" s="781"/>
      <c r="K1097" s="215" t="s">
        <v>623</v>
      </c>
      <c r="L1097" s="245">
        <f t="shared" ref="L1097" si="436">L773</f>
        <v>187984</v>
      </c>
      <c r="M1097" s="245">
        <f t="shared" ref="M1097:T1097" si="437">M773</f>
        <v>117430</v>
      </c>
      <c r="N1097" s="232">
        <f t="shared" si="437"/>
        <v>-185167</v>
      </c>
      <c r="O1097" s="232">
        <f t="shared" ref="O1097" si="438">O773</f>
        <v>185175</v>
      </c>
      <c r="P1097" s="231">
        <f t="shared" ref="P1097:S1097" si="439">P773</f>
        <v>220320</v>
      </c>
      <c r="Q1097" s="231">
        <f t="shared" si="439"/>
        <v>-73512</v>
      </c>
      <c r="R1097" s="231">
        <f t="shared" si="439"/>
        <v>290754</v>
      </c>
      <c r="S1097" s="231">
        <f t="shared" si="439"/>
        <v>325754</v>
      </c>
      <c r="T1097" s="231">
        <f t="shared" si="437"/>
        <v>360754</v>
      </c>
      <c r="U1097" s="470"/>
      <c r="V1097" s="446"/>
      <c r="W1097" s="446"/>
      <c r="X1097" s="446"/>
      <c r="Y1097" s="446"/>
      <c r="Z1097" s="505"/>
      <c r="AA1097" s="322"/>
      <c r="AB1097" s="713"/>
      <c r="AC1097" s="713"/>
    </row>
    <row r="1098" spans="1:29" s="215" customFormat="1" ht="24" customHeight="1">
      <c r="J1098" s="303"/>
      <c r="K1098" s="215" t="s">
        <v>538</v>
      </c>
      <c r="L1098" s="245">
        <f>L1040</f>
        <v>-534087</v>
      </c>
      <c r="M1098" s="245">
        <f>M1040</f>
        <v>-604820</v>
      </c>
      <c r="N1098" s="232">
        <f t="shared" ref="N1098:O1098" si="440">N1040</f>
        <v>-594959</v>
      </c>
      <c r="O1098" s="232">
        <f t="shared" si="440"/>
        <v>-557792</v>
      </c>
      <c r="P1098" s="231">
        <f t="shared" ref="P1098:R1098" si="441">P1040</f>
        <v>-520551</v>
      </c>
      <c r="Q1098" s="231">
        <f t="shared" si="441"/>
        <v>-473366</v>
      </c>
      <c r="R1098" s="231">
        <f t="shared" si="441"/>
        <v>-425864</v>
      </c>
      <c r="S1098" s="231">
        <f>S1040</f>
        <v>-438849</v>
      </c>
      <c r="T1098" s="231">
        <f>T1040</f>
        <v>-450300</v>
      </c>
      <c r="U1098" s="470"/>
      <c r="V1098" s="446"/>
      <c r="W1098" s="446"/>
      <c r="X1098" s="446"/>
      <c r="Y1098" s="446"/>
      <c r="Z1098" s="505"/>
      <c r="AA1098" s="322"/>
      <c r="AB1098" s="713"/>
      <c r="AC1098" s="713"/>
    </row>
    <row r="1099" spans="1:29" s="215" customFormat="1" ht="24" customHeight="1">
      <c r="J1099" s="303"/>
      <c r="K1099" s="215" t="s">
        <v>543</v>
      </c>
      <c r="L1099" s="264">
        <f>L1065</f>
        <v>231529</v>
      </c>
      <c r="M1099" s="264">
        <f>M1065</f>
        <v>239096</v>
      </c>
      <c r="N1099" s="267">
        <f t="shared" ref="N1099:O1099" si="442">N1065</f>
        <v>-58049</v>
      </c>
      <c r="O1099" s="267">
        <f t="shared" si="442"/>
        <v>-105516</v>
      </c>
      <c r="P1099" s="268">
        <f t="shared" ref="P1099:R1099" si="443">P1065</f>
        <v>-88246</v>
      </c>
      <c r="Q1099" s="268">
        <f t="shared" si="443"/>
        <v>-70981</v>
      </c>
      <c r="R1099" s="268">
        <f t="shared" si="443"/>
        <v>-48726</v>
      </c>
      <c r="S1099" s="268">
        <f>S1065</f>
        <v>-26471</v>
      </c>
      <c r="T1099" s="268">
        <f>T1065</f>
        <v>784</v>
      </c>
      <c r="U1099" s="470"/>
      <c r="V1099" s="446"/>
      <c r="W1099" s="446"/>
      <c r="X1099" s="446"/>
      <c r="Y1099" s="446"/>
      <c r="Z1099" s="505"/>
      <c r="AA1099" s="322"/>
      <c r="AB1099" s="713"/>
      <c r="AC1099" s="713"/>
    </row>
    <row r="1100" spans="1:29" s="215" customFormat="1" ht="24" customHeight="1">
      <c r="L1100" s="245"/>
      <c r="M1100" s="245"/>
      <c r="N1100" s="232"/>
      <c r="O1100" s="232"/>
      <c r="P1100" s="231"/>
      <c r="Q1100" s="231"/>
      <c r="R1100" s="231"/>
      <c r="S1100" s="231"/>
      <c r="T1100" s="231"/>
      <c r="U1100" s="470"/>
      <c r="V1100" s="446"/>
      <c r="W1100" s="446"/>
      <c r="X1100" s="446"/>
      <c r="Y1100" s="446"/>
      <c r="Z1100" s="505"/>
      <c r="AA1100" s="322"/>
      <c r="AB1100" s="713"/>
      <c r="AC1100" s="713"/>
    </row>
    <row r="1101" spans="1:29" s="215" customFormat="1" ht="24" customHeight="1">
      <c r="L1101" s="250">
        <f t="shared" ref="L1101" si="444">SUM(L1087:L1100)</f>
        <v>9815811</v>
      </c>
      <c r="M1101" s="250">
        <f t="shared" ref="M1101:T1101" si="445">SUM(M1087:M1100)</f>
        <v>13095434</v>
      </c>
      <c r="N1101" s="234">
        <f t="shared" si="445"/>
        <v>6562511</v>
      </c>
      <c r="O1101" s="234">
        <f t="shared" ref="O1101" si="446">SUM(O1087:O1100)</f>
        <v>13688014</v>
      </c>
      <c r="P1101" s="233">
        <f t="shared" ref="P1101:S1101" si="447">SUM(P1087:P1100)</f>
        <v>8163251</v>
      </c>
      <c r="Q1101" s="233">
        <f t="shared" si="447"/>
        <v>6170541</v>
      </c>
      <c r="R1101" s="233">
        <f t="shared" si="447"/>
        <v>4753195</v>
      </c>
      <c r="S1101" s="233">
        <f t="shared" si="447"/>
        <v>3049282</v>
      </c>
      <c r="T1101" s="233">
        <f t="shared" si="445"/>
        <v>2465400</v>
      </c>
      <c r="U1101" s="470"/>
      <c r="V1101" s="505"/>
      <c r="W1101" s="505"/>
      <c r="X1101" s="505"/>
      <c r="Y1101" s="505"/>
      <c r="Z1101" s="505"/>
      <c r="AA1101" s="745"/>
      <c r="AB1101" s="285"/>
      <c r="AC1101" s="713"/>
    </row>
    <row r="1102" spans="1:29" s="149" customFormat="1" ht="24" customHeight="1">
      <c r="A1102" s="302"/>
      <c r="B1102" s="302"/>
      <c r="C1102" s="302"/>
      <c r="D1102" s="302"/>
      <c r="E1102" s="302"/>
      <c r="F1102" s="304"/>
      <c r="G1102" s="304"/>
      <c r="H1102" s="304"/>
      <c r="I1102" s="304"/>
      <c r="J1102" s="304"/>
      <c r="K1102" s="304"/>
      <c r="L1102" s="272"/>
      <c r="M1102" s="272"/>
      <c r="N1102" s="271"/>
      <c r="O1102" s="271"/>
      <c r="P1102" s="207"/>
      <c r="Q1102" s="207"/>
      <c r="R1102" s="207"/>
      <c r="S1102" s="207"/>
      <c r="T1102" s="207"/>
      <c r="U1102" s="345"/>
      <c r="V1102" s="210"/>
      <c r="W1102" s="210"/>
      <c r="X1102" s="210"/>
      <c r="Y1102" s="210"/>
      <c r="Z1102" s="208"/>
    </row>
    <row r="1103" spans="1:29" s="318" customFormat="1" ht="24" customHeight="1">
      <c r="A1103" s="768" t="s">
        <v>690</v>
      </c>
      <c r="B1103" s="768"/>
      <c r="C1103" s="768"/>
      <c r="D1103" s="768"/>
      <c r="E1103" s="768"/>
      <c r="F1103" s="768"/>
      <c r="G1103" s="768"/>
      <c r="H1103" s="768"/>
      <c r="I1103" s="768"/>
      <c r="J1103" s="768"/>
      <c r="K1103" s="768"/>
      <c r="L1103" s="319"/>
      <c r="M1103" s="319"/>
      <c r="N1103" s="319"/>
      <c r="O1103" s="319"/>
      <c r="P1103" s="319"/>
      <c r="Q1103" s="319"/>
      <c r="R1103" s="319"/>
      <c r="S1103" s="319"/>
      <c r="T1103" s="319"/>
      <c r="U1103" s="469"/>
    </row>
    <row r="1104" spans="1:29" s="215" customFormat="1" ht="24" customHeight="1">
      <c r="L1104" s="231"/>
      <c r="M1104" s="231"/>
      <c r="N1104" s="232"/>
      <c r="O1104" s="232"/>
      <c r="P1104" s="231"/>
      <c r="Q1104" s="231"/>
      <c r="R1104" s="231"/>
      <c r="S1104" s="231"/>
      <c r="T1104" s="231"/>
      <c r="U1104" s="470"/>
    </row>
    <row r="1105" spans="1:29" s="368" customFormat="1" ht="24" customHeight="1">
      <c r="K1105" s="369" t="s">
        <v>617</v>
      </c>
      <c r="L1105" s="370"/>
      <c r="M1105" s="370"/>
      <c r="N1105" s="371"/>
      <c r="O1105" s="371"/>
      <c r="P1105" s="370"/>
      <c r="Q1105" s="370"/>
      <c r="R1105" s="370"/>
      <c r="S1105" s="370"/>
      <c r="T1105" s="370"/>
      <c r="U1105" s="372"/>
    </row>
    <row r="1106" spans="1:29" s="215" customFormat="1" ht="24" customHeight="1">
      <c r="K1106" s="215" t="s">
        <v>967</v>
      </c>
      <c r="L1106" s="231">
        <f t="shared" ref="L1106:T1106" si="448">L453+L460+L461+L463-L505+L462+L468</f>
        <v>-13230</v>
      </c>
      <c r="M1106" s="231">
        <f t="shared" si="448"/>
        <v>90061</v>
      </c>
      <c r="N1106" s="232">
        <f t="shared" si="448"/>
        <v>-127623</v>
      </c>
      <c r="O1106" s="232">
        <f t="shared" si="448"/>
        <v>-124514</v>
      </c>
      <c r="P1106" s="231">
        <f t="shared" si="448"/>
        <v>-1169</v>
      </c>
      <c r="Q1106" s="231">
        <f t="shared" si="448"/>
        <v>106</v>
      </c>
      <c r="R1106" s="231">
        <f t="shared" si="448"/>
        <v>106</v>
      </c>
      <c r="S1106" s="231">
        <f t="shared" si="448"/>
        <v>106</v>
      </c>
      <c r="T1106" s="231">
        <f t="shared" si="448"/>
        <v>106</v>
      </c>
      <c r="U1106" s="470"/>
    </row>
    <row r="1107" spans="1:29" s="215" customFormat="1" ht="24" customHeight="1">
      <c r="K1107" s="215" t="s">
        <v>691</v>
      </c>
      <c r="L1107" s="245">
        <f t="shared" ref="L1107" si="449">L858</f>
        <v>226112</v>
      </c>
      <c r="M1107" s="245">
        <f t="shared" ref="M1107:T1107" si="450">M858</f>
        <v>11053</v>
      </c>
      <c r="N1107" s="246">
        <f t="shared" si="450"/>
        <v>-212409</v>
      </c>
      <c r="O1107" s="246">
        <f t="shared" ref="O1107" si="451">O858</f>
        <v>-146274</v>
      </c>
      <c r="P1107" s="231">
        <f t="shared" ref="P1107:S1107" si="452">P858</f>
        <v>-142007</v>
      </c>
      <c r="Q1107" s="231">
        <f t="shared" si="452"/>
        <v>6458</v>
      </c>
      <c r="R1107" s="231">
        <f t="shared" si="452"/>
        <v>7590</v>
      </c>
      <c r="S1107" s="231">
        <f t="shared" si="452"/>
        <v>8026</v>
      </c>
      <c r="T1107" s="231">
        <f t="shared" si="450"/>
        <v>8480</v>
      </c>
      <c r="U1107" s="470"/>
    </row>
    <row r="1108" spans="1:29" s="215" customFormat="1" ht="24" customHeight="1">
      <c r="K1108" s="215" t="s">
        <v>692</v>
      </c>
      <c r="L1108" s="264">
        <f t="shared" ref="L1108" si="453">L898</f>
        <v>300420</v>
      </c>
      <c r="M1108" s="264">
        <f t="shared" ref="M1108:T1108" si="454">M898</f>
        <v>0</v>
      </c>
      <c r="N1108" s="265">
        <f t="shared" si="454"/>
        <v>0</v>
      </c>
      <c r="O1108" s="265">
        <f t="shared" ref="O1108" si="455">O898</f>
        <v>0</v>
      </c>
      <c r="P1108" s="268">
        <f t="shared" ref="P1108:S1108" si="456">P898</f>
        <v>0</v>
      </c>
      <c r="Q1108" s="268">
        <f t="shared" si="456"/>
        <v>0</v>
      </c>
      <c r="R1108" s="268">
        <f t="shared" si="456"/>
        <v>0</v>
      </c>
      <c r="S1108" s="268">
        <f t="shared" si="456"/>
        <v>0</v>
      </c>
      <c r="T1108" s="268">
        <f t="shared" si="454"/>
        <v>0</v>
      </c>
      <c r="U1108" s="470"/>
      <c r="V1108" s="713"/>
      <c r="W1108" s="713"/>
      <c r="X1108" s="713"/>
      <c r="Y1108" s="713"/>
      <c r="Z1108" s="713"/>
      <c r="AA1108" s="713"/>
      <c r="AB1108" s="713"/>
      <c r="AC1108" s="713"/>
    </row>
    <row r="1109" spans="1:29" s="215" customFormat="1" ht="24" customHeight="1">
      <c r="L1109" s="245"/>
      <c r="M1109" s="245"/>
      <c r="N1109" s="232"/>
      <c r="O1109" s="232"/>
      <c r="P1109" s="231"/>
      <c r="Q1109" s="231"/>
      <c r="R1109" s="231"/>
      <c r="S1109" s="231"/>
      <c r="T1109" s="231"/>
      <c r="U1109" s="470"/>
      <c r="V1109" s="713"/>
      <c r="W1109" s="713"/>
      <c r="X1109" s="713"/>
      <c r="Y1109" s="713"/>
      <c r="Z1109" s="713"/>
      <c r="AA1109" s="713"/>
      <c r="AB1109" s="713"/>
      <c r="AC1109" s="713"/>
    </row>
    <row r="1110" spans="1:29" s="215" customFormat="1" ht="24" customHeight="1">
      <c r="K1110" s="285"/>
      <c r="L1110" s="250">
        <f>SUM(L1106:L1109)</f>
        <v>513302</v>
      </c>
      <c r="M1110" s="250">
        <f>SUM(M1106:M1109)</f>
        <v>101114</v>
      </c>
      <c r="N1110" s="234">
        <f t="shared" ref="N1110:O1110" si="457">SUM(N1106:N1109)</f>
        <v>-340032</v>
      </c>
      <c r="O1110" s="234">
        <f t="shared" si="457"/>
        <v>-270788</v>
      </c>
      <c r="P1110" s="233">
        <f>SUM(P1106:P1109)</f>
        <v>-143176</v>
      </c>
      <c r="Q1110" s="233">
        <f t="shared" ref="Q1110:R1110" si="458">SUM(Q1106:Q1109)</f>
        <v>6564</v>
      </c>
      <c r="R1110" s="233">
        <f t="shared" si="458"/>
        <v>7696</v>
      </c>
      <c r="S1110" s="233">
        <f>SUM(S1106:S1109)</f>
        <v>8132</v>
      </c>
      <c r="T1110" s="233">
        <f>SUM(T1106:T1109)</f>
        <v>8586</v>
      </c>
      <c r="U1110" s="470"/>
      <c r="V1110" s="713"/>
      <c r="W1110" s="713"/>
      <c r="X1110" s="713"/>
      <c r="Y1110" s="713"/>
      <c r="Z1110" s="713"/>
      <c r="AA1110" s="713"/>
      <c r="AB1110" s="713"/>
      <c r="AC1110" s="713"/>
    </row>
    <row r="1111" spans="1:29" s="215" customFormat="1" ht="24" customHeight="1">
      <c r="L1111" s="231"/>
      <c r="M1111" s="231"/>
      <c r="N1111" s="232"/>
      <c r="O1111" s="232"/>
      <c r="P1111" s="231"/>
      <c r="Q1111" s="231"/>
      <c r="R1111" s="231"/>
      <c r="S1111" s="231"/>
      <c r="T1111" s="231"/>
      <c r="U1111" s="470"/>
      <c r="V1111" s="742"/>
      <c r="W1111" s="742"/>
      <c r="X1111" s="742"/>
      <c r="Y1111" s="742"/>
      <c r="Z1111" s="742"/>
      <c r="AA1111" s="322"/>
      <c r="AB1111" s="713"/>
      <c r="AC1111" s="713"/>
    </row>
    <row r="1112" spans="1:29" s="373" customFormat="1" ht="24" customHeight="1">
      <c r="K1112" s="374" t="s">
        <v>895</v>
      </c>
      <c r="L1112" s="375"/>
      <c r="M1112" s="375"/>
      <c r="N1112" s="376"/>
      <c r="O1112" s="376"/>
      <c r="P1112" s="375"/>
      <c r="Q1112" s="375"/>
      <c r="R1112" s="375"/>
      <c r="S1112" s="375"/>
      <c r="T1112" s="375"/>
      <c r="U1112" s="377"/>
      <c r="V1112" s="743"/>
      <c r="W1112" s="743"/>
      <c r="X1112" s="743"/>
      <c r="Y1112" s="743"/>
      <c r="Z1112" s="743"/>
      <c r="AA1112" s="744"/>
    </row>
    <row r="1113" spans="1:29" s="215" customFormat="1" ht="24" customHeight="1">
      <c r="K1113" s="215" t="s">
        <v>967</v>
      </c>
      <c r="L1113" s="231">
        <f>L515</f>
        <v>34073</v>
      </c>
      <c r="M1113" s="231">
        <f t="shared" ref="M1113:T1113" si="459">M515</f>
        <v>125683</v>
      </c>
      <c r="N1113" s="232">
        <f t="shared" si="459"/>
        <v>-1224</v>
      </c>
      <c r="O1113" s="232">
        <f t="shared" ref="O1113" si="460">O515</f>
        <v>1169</v>
      </c>
      <c r="P1113" s="231">
        <f t="shared" ref="P1113:S1113" si="461">P515</f>
        <v>0</v>
      </c>
      <c r="Q1113" s="231">
        <f t="shared" si="461"/>
        <v>106</v>
      </c>
      <c r="R1113" s="231">
        <f t="shared" si="461"/>
        <v>212</v>
      </c>
      <c r="S1113" s="231">
        <f t="shared" si="461"/>
        <v>318</v>
      </c>
      <c r="T1113" s="231">
        <f t="shared" si="459"/>
        <v>424</v>
      </c>
      <c r="U1113" s="470"/>
      <c r="V1113" s="446"/>
      <c r="W1113" s="446"/>
      <c r="X1113" s="446"/>
      <c r="Y1113" s="446"/>
      <c r="Z1113" s="505"/>
      <c r="AA1113" s="744"/>
      <c r="AB1113" s="713"/>
      <c r="AC1113" s="713"/>
    </row>
    <row r="1114" spans="1:29" s="215" customFormat="1" ht="24" customHeight="1">
      <c r="K1114" s="215" t="s">
        <v>691</v>
      </c>
      <c r="L1114" s="245">
        <f t="shared" ref="L1114" si="462">L860</f>
        <v>546485</v>
      </c>
      <c r="M1114" s="245">
        <f t="shared" ref="M1114:T1114" si="463">M860</f>
        <v>557536</v>
      </c>
      <c r="N1114" s="246">
        <f t="shared" si="463"/>
        <v>269391</v>
      </c>
      <c r="O1114" s="246">
        <f t="shared" ref="O1114" si="464">O860</f>
        <v>411262</v>
      </c>
      <c r="P1114" s="231">
        <f t="shared" ref="P1114:S1114" si="465">P860</f>
        <v>269255</v>
      </c>
      <c r="Q1114" s="231">
        <f t="shared" si="465"/>
        <v>275713</v>
      </c>
      <c r="R1114" s="231">
        <f t="shared" si="465"/>
        <v>283303</v>
      </c>
      <c r="S1114" s="231">
        <f t="shared" si="465"/>
        <v>291329</v>
      </c>
      <c r="T1114" s="231">
        <f t="shared" si="463"/>
        <v>299809</v>
      </c>
      <c r="U1114" s="470"/>
      <c r="V1114" s="446"/>
      <c r="W1114" s="446"/>
      <c r="X1114" s="446"/>
      <c r="Y1114" s="446"/>
      <c r="Z1114" s="446"/>
      <c r="AA1114" s="744"/>
      <c r="AB1114" s="713"/>
      <c r="AC1114" s="713"/>
    </row>
    <row r="1115" spans="1:29" s="215" customFormat="1" ht="24" customHeight="1">
      <c r="K1115" s="215" t="s">
        <v>692</v>
      </c>
      <c r="L1115" s="264">
        <f t="shared" ref="L1115" si="466">L900</f>
        <v>0</v>
      </c>
      <c r="M1115" s="264">
        <f t="shared" ref="M1115:T1115" si="467">M900</f>
        <v>0</v>
      </c>
      <c r="N1115" s="265">
        <f t="shared" si="467"/>
        <v>0</v>
      </c>
      <c r="O1115" s="265">
        <f t="shared" ref="O1115" si="468">O900</f>
        <v>0</v>
      </c>
      <c r="P1115" s="268">
        <f t="shared" ref="P1115:S1115" si="469">P900</f>
        <v>0</v>
      </c>
      <c r="Q1115" s="268">
        <f t="shared" si="469"/>
        <v>0</v>
      </c>
      <c r="R1115" s="268">
        <f t="shared" si="469"/>
        <v>0</v>
      </c>
      <c r="S1115" s="268">
        <f t="shared" si="469"/>
        <v>0</v>
      </c>
      <c r="T1115" s="268">
        <f t="shared" si="467"/>
        <v>0</v>
      </c>
      <c r="U1115" s="470"/>
      <c r="V1115" s="446"/>
      <c r="W1115" s="446"/>
      <c r="X1115" s="446"/>
      <c r="Y1115" s="446"/>
      <c r="Z1115" s="446"/>
      <c r="AA1115" s="744"/>
      <c r="AB1115" s="713"/>
      <c r="AC1115" s="713"/>
    </row>
    <row r="1116" spans="1:29" s="215" customFormat="1" ht="24" customHeight="1">
      <c r="L1116" s="245"/>
      <c r="M1116" s="245"/>
      <c r="N1116" s="232"/>
      <c r="O1116" s="232"/>
      <c r="P1116" s="231"/>
      <c r="Q1116" s="231"/>
      <c r="R1116" s="231"/>
      <c r="S1116" s="231"/>
      <c r="T1116" s="231"/>
      <c r="U1116" s="470"/>
      <c r="V1116" s="446"/>
      <c r="W1116" s="446"/>
      <c r="X1116" s="446"/>
      <c r="Y1116" s="446"/>
      <c r="Z1116" s="446"/>
      <c r="AA1116" s="744"/>
      <c r="AB1116" s="713"/>
      <c r="AC1116" s="713"/>
    </row>
    <row r="1117" spans="1:29" s="215" customFormat="1" ht="24" customHeight="1">
      <c r="L1117" s="250">
        <f>SUM(L1113:L1116)</f>
        <v>580558</v>
      </c>
      <c r="M1117" s="250">
        <f>SUM(M1113:M1116)</f>
        <v>683219</v>
      </c>
      <c r="N1117" s="234">
        <f t="shared" ref="N1117:O1117" si="470">SUM(N1113:N1116)</f>
        <v>268167</v>
      </c>
      <c r="O1117" s="234">
        <f t="shared" si="470"/>
        <v>412431</v>
      </c>
      <c r="P1117" s="233">
        <f>SUM(P1113:P1116)</f>
        <v>269255</v>
      </c>
      <c r="Q1117" s="233">
        <f t="shared" ref="Q1117:R1117" si="471">SUM(Q1113:Q1116)</f>
        <v>275819</v>
      </c>
      <c r="R1117" s="233">
        <f t="shared" si="471"/>
        <v>283515</v>
      </c>
      <c r="S1117" s="233">
        <f>SUM(S1113:S1116)</f>
        <v>291647</v>
      </c>
      <c r="T1117" s="233">
        <f>SUM(T1113:T1116)</f>
        <v>300233</v>
      </c>
      <c r="U1117" s="470"/>
      <c r="V1117" s="446"/>
      <c r="W1117" s="446"/>
      <c r="X1117" s="505"/>
      <c r="Y1117" s="505"/>
      <c r="Z1117" s="505"/>
      <c r="AA1117" s="746"/>
      <c r="AB1117" s="285"/>
      <c r="AC1117" s="713"/>
    </row>
    <row r="1118" spans="1:29" s="215" customFormat="1" ht="24" customHeight="1">
      <c r="L1118" s="231"/>
      <c r="M1118" s="231"/>
      <c r="N1118" s="232"/>
      <c r="O1118" s="232"/>
      <c r="P1118" s="231"/>
      <c r="Q1118" s="231"/>
      <c r="R1118" s="231"/>
      <c r="S1118" s="231"/>
      <c r="T1118" s="231"/>
      <c r="U1118" s="470"/>
    </row>
    <row r="1119" spans="1:29" s="318" customFormat="1" ht="24" customHeight="1">
      <c r="A1119" s="768" t="s">
        <v>693</v>
      </c>
      <c r="B1119" s="768"/>
      <c r="C1119" s="768"/>
      <c r="D1119" s="768"/>
      <c r="E1119" s="768"/>
      <c r="F1119" s="768"/>
      <c r="G1119" s="768"/>
      <c r="H1119" s="768"/>
      <c r="I1119" s="768"/>
      <c r="J1119" s="768"/>
      <c r="K1119" s="768"/>
      <c r="L1119" s="319"/>
      <c r="M1119" s="319"/>
      <c r="N1119" s="319"/>
      <c r="O1119" s="319"/>
      <c r="P1119" s="319"/>
      <c r="Q1119" s="319"/>
      <c r="R1119" s="319"/>
      <c r="S1119" s="319"/>
      <c r="T1119" s="319"/>
      <c r="U1119" s="469"/>
    </row>
    <row r="1120" spans="1:29" s="215" customFormat="1" ht="24" customHeight="1">
      <c r="L1120" s="231"/>
      <c r="M1120" s="231"/>
      <c r="N1120" s="232"/>
      <c r="O1120" s="232"/>
      <c r="P1120" s="231"/>
      <c r="Q1120" s="231"/>
      <c r="R1120" s="231"/>
      <c r="S1120" s="231"/>
      <c r="T1120" s="231"/>
      <c r="U1120" s="470"/>
    </row>
    <row r="1121" spans="1:31" s="368" customFormat="1" ht="24" customHeight="1">
      <c r="K1121" s="369" t="s">
        <v>617</v>
      </c>
      <c r="L1121" s="370"/>
      <c r="M1121" s="370"/>
      <c r="N1121" s="371"/>
      <c r="O1121" s="371"/>
      <c r="P1121" s="370"/>
      <c r="Q1121" s="370"/>
      <c r="R1121" s="370"/>
      <c r="S1121" s="370"/>
      <c r="T1121" s="370"/>
      <c r="U1121" s="372"/>
    </row>
    <row r="1122" spans="1:31" s="215" customFormat="1" ht="24" customHeight="1">
      <c r="K1122" s="215" t="s">
        <v>694</v>
      </c>
      <c r="L1122" s="245">
        <f t="shared" ref="L1122:T1122" si="472">L957</f>
        <v>24940</v>
      </c>
      <c r="M1122" s="245">
        <f t="shared" si="472"/>
        <v>-4391</v>
      </c>
      <c r="N1122" s="246">
        <f t="shared" si="472"/>
        <v>5296</v>
      </c>
      <c r="O1122" s="246">
        <f t="shared" si="472"/>
        <v>-5901</v>
      </c>
      <c r="P1122" s="231">
        <f t="shared" si="472"/>
        <v>-25056</v>
      </c>
      <c r="Q1122" s="231">
        <f t="shared" si="472"/>
        <v>-37341</v>
      </c>
      <c r="R1122" s="231">
        <f t="shared" si="472"/>
        <v>-47535</v>
      </c>
      <c r="S1122" s="231">
        <f t="shared" si="472"/>
        <v>-58568</v>
      </c>
      <c r="T1122" s="231">
        <f t="shared" si="472"/>
        <v>-70493</v>
      </c>
      <c r="U1122" s="470"/>
    </row>
    <row r="1123" spans="1:31" s="215" customFormat="1" ht="24" customHeight="1">
      <c r="K1123" s="215" t="s">
        <v>536</v>
      </c>
      <c r="L1123" s="245">
        <f t="shared" ref="L1123:T1123" si="473">L982</f>
        <v>0</v>
      </c>
      <c r="M1123" s="245">
        <f t="shared" si="473"/>
        <v>0</v>
      </c>
      <c r="N1123" s="246">
        <f t="shared" si="473"/>
        <v>30</v>
      </c>
      <c r="O1123" s="246">
        <f t="shared" si="473"/>
        <v>0</v>
      </c>
      <c r="P1123" s="231">
        <f t="shared" si="473"/>
        <v>0</v>
      </c>
      <c r="Q1123" s="231">
        <f t="shared" si="473"/>
        <v>0</v>
      </c>
      <c r="R1123" s="231">
        <f t="shared" si="473"/>
        <v>0</v>
      </c>
      <c r="S1123" s="231">
        <f t="shared" si="473"/>
        <v>0</v>
      </c>
      <c r="T1123" s="231">
        <f t="shared" si="473"/>
        <v>0</v>
      </c>
      <c r="U1123" s="470"/>
    </row>
    <row r="1124" spans="1:31" s="215" customFormat="1" ht="24" customHeight="1">
      <c r="K1124" s="215" t="s">
        <v>838</v>
      </c>
      <c r="L1124" s="264">
        <f t="shared" ref="L1124:T1124" si="474">L1003</f>
        <v>11182</v>
      </c>
      <c r="M1124" s="264">
        <f t="shared" si="474"/>
        <v>-14156</v>
      </c>
      <c r="N1124" s="265">
        <f t="shared" si="474"/>
        <v>8125</v>
      </c>
      <c r="O1124" s="265">
        <f t="shared" si="474"/>
        <v>8115</v>
      </c>
      <c r="P1124" s="268">
        <f t="shared" si="474"/>
        <v>8115</v>
      </c>
      <c r="Q1124" s="268">
        <f t="shared" si="474"/>
        <v>10</v>
      </c>
      <c r="R1124" s="268">
        <f t="shared" si="474"/>
        <v>0</v>
      </c>
      <c r="S1124" s="268">
        <f t="shared" si="474"/>
        <v>0</v>
      </c>
      <c r="T1124" s="268">
        <f t="shared" si="474"/>
        <v>0</v>
      </c>
      <c r="U1124" s="470"/>
    </row>
    <row r="1125" spans="1:31" s="215" customFormat="1" ht="24" customHeight="1">
      <c r="L1125" s="245"/>
      <c r="M1125" s="245"/>
      <c r="N1125" s="232"/>
      <c r="O1125" s="232"/>
      <c r="P1125" s="231"/>
      <c r="Q1125" s="231"/>
      <c r="R1125" s="231"/>
      <c r="S1125" s="231"/>
      <c r="T1125" s="231"/>
      <c r="U1125" s="470"/>
    </row>
    <row r="1126" spans="1:31" s="215" customFormat="1" ht="24" customHeight="1">
      <c r="K1126" s="285"/>
      <c r="L1126" s="250">
        <f>SUM(L1122:L1125)</f>
        <v>36122</v>
      </c>
      <c r="M1126" s="250">
        <f>SUM(M1122:M1125)</f>
        <v>-18547</v>
      </c>
      <c r="N1126" s="234">
        <f t="shared" ref="N1126:O1126" si="475">SUM(N1122:N1125)</f>
        <v>13451</v>
      </c>
      <c r="O1126" s="234">
        <f t="shared" si="475"/>
        <v>2214</v>
      </c>
      <c r="P1126" s="233">
        <f t="shared" ref="P1126:R1126" si="476">SUM(P1122:P1125)</f>
        <v>-16941</v>
      </c>
      <c r="Q1126" s="233">
        <f t="shared" si="476"/>
        <v>-37331</v>
      </c>
      <c r="R1126" s="233">
        <f t="shared" si="476"/>
        <v>-47535</v>
      </c>
      <c r="S1126" s="233">
        <f>SUM(S1122:S1125)</f>
        <v>-58568</v>
      </c>
      <c r="T1126" s="233">
        <f>SUM(T1122:T1125)</f>
        <v>-70493</v>
      </c>
      <c r="U1126" s="470"/>
      <c r="V1126" s="713"/>
      <c r="W1126" s="713"/>
      <c r="X1126" s="713"/>
      <c r="Y1126" s="713"/>
      <c r="Z1126" s="713"/>
      <c r="AA1126" s="713"/>
      <c r="AB1126" s="713"/>
      <c r="AC1126" s="713"/>
      <c r="AD1126" s="713"/>
      <c r="AE1126" s="713"/>
    </row>
    <row r="1127" spans="1:31" s="215" customFormat="1" ht="24" customHeight="1">
      <c r="L1127" s="231"/>
      <c r="M1127" s="231"/>
      <c r="N1127" s="232"/>
      <c r="O1127" s="232"/>
      <c r="P1127" s="231"/>
      <c r="Q1127" s="231"/>
      <c r="R1127" s="231"/>
      <c r="S1127" s="231"/>
      <c r="T1127" s="231"/>
      <c r="U1127" s="470"/>
      <c r="V1127" s="742"/>
      <c r="W1127" s="742"/>
      <c r="X1127" s="742"/>
      <c r="Y1127" s="742"/>
      <c r="Z1127" s="742"/>
      <c r="AA1127" s="322"/>
      <c r="AB1127" s="713"/>
      <c r="AC1127" s="713"/>
      <c r="AD1127" s="713"/>
      <c r="AE1127" s="713"/>
    </row>
    <row r="1128" spans="1:31" s="373" customFormat="1" ht="24" customHeight="1">
      <c r="K1128" s="374" t="s">
        <v>895</v>
      </c>
      <c r="L1128" s="375"/>
      <c r="M1128" s="375"/>
      <c r="N1128" s="376"/>
      <c r="O1128" s="376"/>
      <c r="P1128" s="375"/>
      <c r="Q1128" s="375"/>
      <c r="R1128" s="375"/>
      <c r="S1128" s="375"/>
      <c r="T1128" s="375"/>
      <c r="U1128" s="377"/>
      <c r="V1128" s="743"/>
      <c r="W1128" s="743"/>
      <c r="X1128" s="743"/>
      <c r="Y1128" s="743"/>
      <c r="Z1128" s="743"/>
      <c r="AA1128" s="744"/>
    </row>
    <row r="1129" spans="1:31" s="215" customFormat="1" ht="24" customHeight="1">
      <c r="K1129" s="215" t="s">
        <v>694</v>
      </c>
      <c r="L1129" s="245">
        <f t="shared" ref="L1129:T1129" si="477">L959</f>
        <v>471076</v>
      </c>
      <c r="M1129" s="245">
        <f t="shared" si="477"/>
        <v>466683</v>
      </c>
      <c r="N1129" s="246">
        <f t="shared" si="477"/>
        <v>392989</v>
      </c>
      <c r="O1129" s="246">
        <f t="shared" si="477"/>
        <v>460782</v>
      </c>
      <c r="P1129" s="231">
        <f t="shared" si="477"/>
        <v>435726</v>
      </c>
      <c r="Q1129" s="231">
        <f t="shared" si="477"/>
        <v>398385</v>
      </c>
      <c r="R1129" s="231">
        <f t="shared" si="477"/>
        <v>350850</v>
      </c>
      <c r="S1129" s="231">
        <f t="shared" si="477"/>
        <v>292282</v>
      </c>
      <c r="T1129" s="231">
        <f t="shared" si="477"/>
        <v>221789</v>
      </c>
      <c r="U1129" s="470"/>
      <c r="V1129" s="446"/>
      <c r="W1129" s="446"/>
      <c r="X1129" s="446"/>
      <c r="Y1129" s="446"/>
      <c r="Z1129" s="505"/>
      <c r="AA1129" s="744"/>
      <c r="AB1129" s="713"/>
      <c r="AC1129" s="713"/>
      <c r="AD1129" s="713"/>
      <c r="AE1129" s="713"/>
    </row>
    <row r="1130" spans="1:31" s="215" customFormat="1" ht="24" customHeight="1">
      <c r="K1130" s="215" t="s">
        <v>536</v>
      </c>
      <c r="L1130" s="245">
        <f t="shared" ref="L1130:T1130" si="478">L984</f>
        <v>0</v>
      </c>
      <c r="M1130" s="245">
        <f t="shared" si="478"/>
        <v>0</v>
      </c>
      <c r="N1130" s="246">
        <f t="shared" si="478"/>
        <v>30</v>
      </c>
      <c r="O1130" s="246">
        <f t="shared" si="478"/>
        <v>0</v>
      </c>
      <c r="P1130" s="231">
        <f t="shared" si="478"/>
        <v>0</v>
      </c>
      <c r="Q1130" s="231">
        <f t="shared" si="478"/>
        <v>0</v>
      </c>
      <c r="R1130" s="231">
        <f t="shared" si="478"/>
        <v>0</v>
      </c>
      <c r="S1130" s="231">
        <f t="shared" si="478"/>
        <v>0</v>
      </c>
      <c r="T1130" s="231">
        <f t="shared" si="478"/>
        <v>0</v>
      </c>
      <c r="U1130" s="470"/>
      <c r="V1130" s="446"/>
      <c r="W1130" s="446"/>
      <c r="X1130" s="446"/>
      <c r="Y1130" s="446"/>
      <c r="Z1130" s="446"/>
      <c r="AA1130" s="744"/>
      <c r="AB1130" s="713"/>
      <c r="AC1130" s="713"/>
      <c r="AD1130" s="713"/>
      <c r="AE1130" s="713"/>
    </row>
    <row r="1131" spans="1:31" s="215" customFormat="1" ht="24" customHeight="1">
      <c r="K1131" s="215" t="s">
        <v>838</v>
      </c>
      <c r="L1131" s="264">
        <f t="shared" ref="L1131:T1131" si="479">L1005</f>
        <v>26870</v>
      </c>
      <c r="M1131" s="264">
        <f t="shared" si="479"/>
        <v>12714</v>
      </c>
      <c r="N1131" s="265">
        <f t="shared" si="479"/>
        <v>-10</v>
      </c>
      <c r="O1131" s="265">
        <f t="shared" si="479"/>
        <v>20829</v>
      </c>
      <c r="P1131" s="268">
        <f t="shared" si="479"/>
        <v>28944</v>
      </c>
      <c r="Q1131" s="268">
        <f t="shared" si="479"/>
        <v>28954</v>
      </c>
      <c r="R1131" s="268">
        <f t="shared" si="479"/>
        <v>28954</v>
      </c>
      <c r="S1131" s="268">
        <f t="shared" si="479"/>
        <v>28954</v>
      </c>
      <c r="T1131" s="268">
        <f t="shared" si="479"/>
        <v>28954</v>
      </c>
      <c r="U1131" s="470"/>
      <c r="V1131" s="446"/>
      <c r="W1131" s="446"/>
      <c r="X1131" s="446"/>
      <c r="Y1131" s="446"/>
      <c r="Z1131" s="446"/>
      <c r="AA1131" s="744"/>
      <c r="AB1131" s="713"/>
      <c r="AC1131" s="713"/>
      <c r="AD1131" s="713"/>
      <c r="AE1131" s="713"/>
    </row>
    <row r="1132" spans="1:31" s="215" customFormat="1" ht="24" customHeight="1">
      <c r="L1132" s="245"/>
      <c r="M1132" s="245"/>
      <c r="N1132" s="232"/>
      <c r="O1132" s="232"/>
      <c r="P1132" s="231"/>
      <c r="Q1132" s="231"/>
      <c r="R1132" s="231"/>
      <c r="S1132" s="231"/>
      <c r="T1132" s="231"/>
      <c r="U1132" s="470"/>
      <c r="V1132" s="446"/>
      <c r="W1132" s="446"/>
      <c r="X1132" s="446"/>
      <c r="Y1132" s="446"/>
      <c r="Z1132" s="446"/>
      <c r="AA1132" s="744"/>
      <c r="AB1132" s="713"/>
      <c r="AC1132" s="713"/>
      <c r="AD1132" s="713"/>
      <c r="AE1132" s="713"/>
    </row>
    <row r="1133" spans="1:31" s="215" customFormat="1" ht="24" customHeight="1">
      <c r="L1133" s="250">
        <f>SUM(L1129:L1132)</f>
        <v>497946</v>
      </c>
      <c r="M1133" s="250">
        <f>SUM(M1129:M1132)</f>
        <v>479397</v>
      </c>
      <c r="N1133" s="234">
        <f>SUM(N1129:N1132)</f>
        <v>393009</v>
      </c>
      <c r="O1133" s="234">
        <f t="shared" ref="O1133" si="480">SUM(O1129:O1132)</f>
        <v>481611</v>
      </c>
      <c r="P1133" s="233">
        <f t="shared" ref="P1133:R1133" si="481">SUM(P1129:P1132)</f>
        <v>464670</v>
      </c>
      <c r="Q1133" s="233">
        <f t="shared" si="481"/>
        <v>427339</v>
      </c>
      <c r="R1133" s="233">
        <f t="shared" si="481"/>
        <v>379804</v>
      </c>
      <c r="S1133" s="233">
        <f>SUM(S1129:S1132)</f>
        <v>321236</v>
      </c>
      <c r="T1133" s="233">
        <f>SUM(T1129:T1132)</f>
        <v>250743</v>
      </c>
      <c r="U1133" s="470"/>
      <c r="V1133" s="446"/>
      <c r="W1133" s="446"/>
      <c r="X1133" s="446"/>
      <c r="Y1133" s="505"/>
      <c r="Z1133" s="505"/>
      <c r="AA1133" s="746"/>
      <c r="AB1133" s="285"/>
      <c r="AC1133" s="713"/>
      <c r="AD1133" s="713"/>
      <c r="AE1133" s="713"/>
    </row>
    <row r="1134" spans="1:31" s="215" customFormat="1" ht="24" customHeight="1">
      <c r="L1134" s="231"/>
      <c r="M1134" s="231"/>
      <c r="N1134" s="232"/>
      <c r="O1134" s="232"/>
      <c r="P1134" s="231"/>
      <c r="Q1134" s="231"/>
      <c r="R1134" s="231"/>
      <c r="S1134" s="231"/>
      <c r="T1134" s="231"/>
      <c r="U1134" s="470"/>
    </row>
    <row r="1135" spans="1:31" s="318" customFormat="1" ht="24" customHeight="1">
      <c r="A1135" s="768" t="s">
        <v>1208</v>
      </c>
      <c r="B1135" s="768"/>
      <c r="C1135" s="768"/>
      <c r="D1135" s="768"/>
      <c r="E1135" s="768"/>
      <c r="F1135" s="768"/>
      <c r="G1135" s="768"/>
      <c r="H1135" s="768"/>
      <c r="I1135" s="768"/>
      <c r="J1135" s="768"/>
      <c r="K1135" s="768"/>
      <c r="L1135" s="319"/>
      <c r="M1135" s="319"/>
      <c r="N1135" s="319"/>
      <c r="O1135" s="319"/>
      <c r="P1135" s="319"/>
      <c r="Q1135" s="319"/>
      <c r="R1135" s="319"/>
      <c r="S1135" s="319"/>
      <c r="T1135" s="319"/>
      <c r="U1135" s="469"/>
    </row>
    <row r="1136" spans="1:31" s="215" customFormat="1" ht="24" customHeight="1">
      <c r="K1136" s="215" t="s">
        <v>699</v>
      </c>
      <c r="L1136" s="245">
        <f t="shared" ref="L1136:T1136" si="482">L236+L582+L684+L931</f>
        <v>307412</v>
      </c>
      <c r="M1136" s="245">
        <f t="shared" si="482"/>
        <v>309652</v>
      </c>
      <c r="N1136" s="246">
        <f t="shared" si="482"/>
        <v>332708</v>
      </c>
      <c r="O1136" s="246">
        <f t="shared" si="482"/>
        <v>346361</v>
      </c>
      <c r="P1136" s="245">
        <f t="shared" si="482"/>
        <v>367143</v>
      </c>
      <c r="Q1136" s="245">
        <f t="shared" si="482"/>
        <v>389171</v>
      </c>
      <c r="R1136" s="245">
        <f t="shared" si="482"/>
        <v>412522</v>
      </c>
      <c r="S1136" s="245">
        <f t="shared" si="482"/>
        <v>437273</v>
      </c>
      <c r="T1136" s="245">
        <f t="shared" si="482"/>
        <v>463509</v>
      </c>
      <c r="U1136" s="470"/>
      <c r="V1136" s="713"/>
    </row>
    <row r="1137" spans="5:22" s="215" customFormat="1" ht="24" customHeight="1">
      <c r="L1137" s="231"/>
      <c r="M1137" s="231"/>
      <c r="N1137" s="232"/>
      <c r="O1137" s="232"/>
      <c r="P1137" s="231"/>
      <c r="Q1137" s="231"/>
      <c r="R1137" s="231"/>
      <c r="S1137" s="231"/>
      <c r="T1137" s="231"/>
      <c r="U1137" s="470"/>
      <c r="V1137" s="713"/>
    </row>
    <row r="1138" spans="5:22" s="215" customFormat="1" ht="24" customHeight="1">
      <c r="K1138" s="215" t="s">
        <v>700</v>
      </c>
      <c r="L1138" s="245">
        <f t="shared" ref="L1138:T1138" si="483">L235+L581+L683+L930</f>
        <v>6798</v>
      </c>
      <c r="M1138" s="245">
        <f t="shared" si="483"/>
        <v>9042</v>
      </c>
      <c r="N1138" s="246">
        <f t="shared" si="483"/>
        <v>25500</v>
      </c>
      <c r="O1138" s="246">
        <f t="shared" si="483"/>
        <v>11500</v>
      </c>
      <c r="P1138" s="231">
        <f t="shared" si="483"/>
        <v>25500</v>
      </c>
      <c r="Q1138" s="231">
        <f t="shared" si="483"/>
        <v>25000</v>
      </c>
      <c r="R1138" s="231">
        <f t="shared" si="483"/>
        <v>25000</v>
      </c>
      <c r="S1138" s="231">
        <f t="shared" si="483"/>
        <v>25000</v>
      </c>
      <c r="T1138" s="231">
        <f t="shared" si="483"/>
        <v>25000</v>
      </c>
      <c r="U1138" s="470"/>
      <c r="V1138" s="713"/>
    </row>
    <row r="1139" spans="5:22" s="215" customFormat="1" ht="24" customHeight="1">
      <c r="L1139" s="245"/>
      <c r="M1139" s="245"/>
      <c r="N1139" s="246"/>
      <c r="O1139" s="246"/>
      <c r="P1139" s="231"/>
      <c r="Q1139" s="231"/>
      <c r="R1139" s="231"/>
      <c r="S1139" s="231"/>
      <c r="T1139" s="231"/>
      <c r="U1139" s="470"/>
      <c r="V1139" s="713"/>
    </row>
    <row r="1140" spans="5:22" s="215" customFormat="1" ht="24" customHeight="1">
      <c r="E1140" s="221"/>
      <c r="F1140" s="221"/>
      <c r="G1140" s="221"/>
      <c r="H1140" s="221"/>
      <c r="I1140" s="788" t="s">
        <v>752</v>
      </c>
      <c r="J1140" s="788"/>
      <c r="K1140" s="221" t="s">
        <v>701</v>
      </c>
      <c r="L1140" s="268">
        <f t="shared" ref="L1140:T1140" si="484">L72+L76+L104+L132+L170+L199+L577+L679+L798+L827+L237</f>
        <v>1126101</v>
      </c>
      <c r="M1140" s="268">
        <f t="shared" si="484"/>
        <v>1291986</v>
      </c>
      <c r="N1140" s="267">
        <f t="shared" si="484"/>
        <v>1405569</v>
      </c>
      <c r="O1140" s="267">
        <f t="shared" si="484"/>
        <v>1251999</v>
      </c>
      <c r="P1140" s="268">
        <f t="shared" si="484"/>
        <v>1504421</v>
      </c>
      <c r="Q1140" s="268">
        <f t="shared" si="484"/>
        <v>1624775</v>
      </c>
      <c r="R1140" s="268">
        <f t="shared" si="484"/>
        <v>1754758</v>
      </c>
      <c r="S1140" s="268">
        <f t="shared" si="484"/>
        <v>1895139</v>
      </c>
      <c r="T1140" s="268">
        <f t="shared" si="484"/>
        <v>2046749</v>
      </c>
      <c r="U1140" s="470"/>
      <c r="V1140" s="713"/>
    </row>
    <row r="1141" spans="5:22" s="215" customFormat="1" ht="24" customHeight="1">
      <c r="E1141" s="221"/>
      <c r="F1141" s="221"/>
      <c r="G1141" s="221"/>
      <c r="H1141" s="221"/>
      <c r="I1141" s="788" t="s">
        <v>752</v>
      </c>
      <c r="J1141" s="788"/>
      <c r="K1141" s="285" t="s">
        <v>753</v>
      </c>
      <c r="L1141" s="233">
        <f t="shared" ref="L1141:T1141" si="485">SUM(L1140:L1140)</f>
        <v>1126101</v>
      </c>
      <c r="M1141" s="233">
        <f t="shared" si="485"/>
        <v>1291986</v>
      </c>
      <c r="N1141" s="234">
        <f t="shared" si="485"/>
        <v>1405569</v>
      </c>
      <c r="O1141" s="234">
        <f t="shared" si="485"/>
        <v>1251999</v>
      </c>
      <c r="P1141" s="233">
        <f t="shared" si="485"/>
        <v>1504421</v>
      </c>
      <c r="Q1141" s="233">
        <f t="shared" si="485"/>
        <v>1624775</v>
      </c>
      <c r="R1141" s="233">
        <f t="shared" si="485"/>
        <v>1754758</v>
      </c>
      <c r="S1141" s="233">
        <f t="shared" si="485"/>
        <v>1895139</v>
      </c>
      <c r="T1141" s="233">
        <f t="shared" si="485"/>
        <v>2046749</v>
      </c>
      <c r="U1141" s="470"/>
      <c r="V1141" s="713"/>
    </row>
    <row r="1142" spans="5:22" s="215" customFormat="1" ht="24" customHeight="1">
      <c r="J1142" s="305"/>
      <c r="L1142" s="245"/>
      <c r="M1142" s="245"/>
      <c r="N1142" s="232"/>
      <c r="O1142" s="232"/>
      <c r="P1142" s="231"/>
      <c r="Q1142" s="231"/>
      <c r="R1142" s="231"/>
      <c r="S1142" s="231"/>
      <c r="T1142" s="231"/>
      <c r="U1142" s="470"/>
      <c r="V1142" s="713"/>
    </row>
    <row r="1143" spans="5:22" s="215" customFormat="1" ht="24" customHeight="1">
      <c r="E1143" s="221"/>
      <c r="F1143" s="221"/>
      <c r="G1143" s="221"/>
      <c r="H1143" s="221"/>
      <c r="I1143" s="788" t="s">
        <v>752</v>
      </c>
      <c r="J1143" s="788"/>
      <c r="K1143" s="285" t="s">
        <v>702</v>
      </c>
      <c r="L1143" s="233">
        <f t="shared" ref="L1143:T1143" si="486">L74+L106+L134+L172+L201+L579+L681+L800+L829+L78+L238</f>
        <v>69860</v>
      </c>
      <c r="M1143" s="233">
        <f t="shared" si="486"/>
        <v>92816</v>
      </c>
      <c r="N1143" s="234">
        <f t="shared" si="486"/>
        <v>95270</v>
      </c>
      <c r="O1143" s="234">
        <f t="shared" si="486"/>
        <v>102198</v>
      </c>
      <c r="P1143" s="233">
        <f t="shared" si="486"/>
        <v>115763</v>
      </c>
      <c r="Q1143" s="233">
        <f t="shared" si="486"/>
        <v>121553</v>
      </c>
      <c r="R1143" s="233">
        <f t="shared" si="486"/>
        <v>127632</v>
      </c>
      <c r="S1143" s="233">
        <f t="shared" si="486"/>
        <v>134015</v>
      </c>
      <c r="T1143" s="233">
        <f t="shared" si="486"/>
        <v>140716</v>
      </c>
      <c r="U1143" s="470"/>
      <c r="V1143" s="713"/>
    </row>
    <row r="1144" spans="5:22" s="215" customFormat="1" ht="24" customHeight="1">
      <c r="J1144" s="305"/>
      <c r="L1144" s="245"/>
      <c r="M1144" s="245"/>
      <c r="N1144" s="232"/>
      <c r="O1144" s="232"/>
      <c r="P1144" s="231"/>
      <c r="Q1144" s="231"/>
      <c r="R1144" s="231"/>
      <c r="S1144" s="231"/>
      <c r="T1144" s="231"/>
      <c r="U1144" s="470"/>
      <c r="V1144" s="713"/>
    </row>
    <row r="1145" spans="5:22" s="215" customFormat="1" ht="24" customHeight="1">
      <c r="E1145" s="221"/>
      <c r="F1145" s="221"/>
      <c r="G1145" s="221"/>
      <c r="H1145" s="221"/>
      <c r="I1145" s="788" t="s">
        <v>752</v>
      </c>
      <c r="J1145" s="788"/>
      <c r="K1145" s="285" t="s">
        <v>703</v>
      </c>
      <c r="L1145" s="233">
        <f t="shared" ref="L1145:T1145" si="487">L75+L107+L135+L173+L202+L580+L682+L801+L830+L79+L239</f>
        <v>8961</v>
      </c>
      <c r="M1145" s="233">
        <f t="shared" si="487"/>
        <v>9952</v>
      </c>
      <c r="N1145" s="234">
        <f t="shared" si="487"/>
        <v>9875</v>
      </c>
      <c r="O1145" s="234">
        <f t="shared" si="487"/>
        <v>12863</v>
      </c>
      <c r="P1145" s="233">
        <f t="shared" si="487"/>
        <v>13036</v>
      </c>
      <c r="Q1145" s="233">
        <f t="shared" si="487"/>
        <v>13428</v>
      </c>
      <c r="R1145" s="233">
        <f t="shared" si="487"/>
        <v>13831</v>
      </c>
      <c r="S1145" s="233">
        <f t="shared" si="487"/>
        <v>14246</v>
      </c>
      <c r="T1145" s="233">
        <f t="shared" si="487"/>
        <v>14674</v>
      </c>
      <c r="U1145" s="470"/>
      <c r="V1145" s="713"/>
    </row>
    <row r="1146" spans="5:22" s="215" customFormat="1" ht="24" customHeight="1">
      <c r="I1146" s="305"/>
      <c r="J1146" s="305"/>
      <c r="L1146" s="263"/>
      <c r="M1146" s="263"/>
      <c r="N1146" s="262"/>
      <c r="O1146" s="262"/>
      <c r="P1146" s="263"/>
      <c r="Q1146" s="263"/>
      <c r="R1146" s="263"/>
      <c r="S1146" s="263"/>
      <c r="T1146" s="263"/>
      <c r="U1146" s="470"/>
      <c r="V1146" s="713"/>
    </row>
    <row r="1147" spans="5:22" s="215" customFormat="1" ht="24" customHeight="1">
      <c r="I1147" s="306"/>
      <c r="J1147" s="306"/>
      <c r="K1147" s="306"/>
      <c r="L1147" s="245"/>
      <c r="M1147" s="245"/>
      <c r="N1147" s="246"/>
      <c r="O1147" s="246"/>
      <c r="P1147" s="231"/>
      <c r="Q1147" s="231"/>
      <c r="R1147" s="231"/>
      <c r="S1147" s="231"/>
      <c r="T1147" s="231"/>
      <c r="U1147" s="470"/>
    </row>
    <row r="1148" spans="5:22" s="215" customFormat="1" ht="24" customHeight="1">
      <c r="I1148" s="789" t="s">
        <v>693</v>
      </c>
      <c r="J1148" s="789"/>
      <c r="K1148" s="221" t="s">
        <v>701</v>
      </c>
      <c r="L1148" s="264">
        <f t="shared" ref="L1148:T1148" si="488">L926</f>
        <v>81269</v>
      </c>
      <c r="M1148" s="264">
        <f t="shared" si="488"/>
        <v>72838</v>
      </c>
      <c r="N1148" s="267">
        <f t="shared" si="488"/>
        <v>78823</v>
      </c>
      <c r="O1148" s="267">
        <f t="shared" si="488"/>
        <v>72557</v>
      </c>
      <c r="P1148" s="268">
        <f t="shared" si="488"/>
        <v>83960</v>
      </c>
      <c r="Q1148" s="268">
        <f t="shared" si="488"/>
        <v>90677</v>
      </c>
      <c r="R1148" s="268">
        <f t="shared" si="488"/>
        <v>97931</v>
      </c>
      <c r="S1148" s="268">
        <f t="shared" si="488"/>
        <v>105765</v>
      </c>
      <c r="T1148" s="268">
        <f t="shared" si="488"/>
        <v>114226</v>
      </c>
      <c r="U1148" s="470"/>
    </row>
    <row r="1149" spans="5:22" s="285" customFormat="1" ht="24" customHeight="1">
      <c r="I1149" s="773" t="s">
        <v>754</v>
      </c>
      <c r="J1149" s="773"/>
      <c r="K1149" s="285" t="s">
        <v>753</v>
      </c>
      <c r="L1149" s="233">
        <f>L1148</f>
        <v>81269</v>
      </c>
      <c r="M1149" s="233">
        <f t="shared" ref="M1149:T1149" si="489">M1148</f>
        <v>72838</v>
      </c>
      <c r="N1149" s="234">
        <f t="shared" si="489"/>
        <v>78823</v>
      </c>
      <c r="O1149" s="234">
        <f t="shared" si="489"/>
        <v>72557</v>
      </c>
      <c r="P1149" s="233">
        <f t="shared" si="489"/>
        <v>83960</v>
      </c>
      <c r="Q1149" s="233">
        <f t="shared" si="489"/>
        <v>90677</v>
      </c>
      <c r="R1149" s="233">
        <f t="shared" si="489"/>
        <v>97931</v>
      </c>
      <c r="S1149" s="233">
        <f t="shared" si="489"/>
        <v>105765</v>
      </c>
      <c r="T1149" s="233">
        <f t="shared" si="489"/>
        <v>114226</v>
      </c>
      <c r="U1149" s="468"/>
    </row>
    <row r="1150" spans="5:22" s="285" customFormat="1" ht="24" customHeight="1">
      <c r="I1150" s="328"/>
      <c r="J1150" s="328"/>
      <c r="L1150" s="233"/>
      <c r="M1150" s="233"/>
      <c r="N1150" s="234"/>
      <c r="O1150" s="234"/>
      <c r="P1150" s="233"/>
      <c r="Q1150" s="233"/>
      <c r="R1150" s="233"/>
      <c r="S1150" s="233"/>
      <c r="T1150" s="233"/>
      <c r="U1150" s="468"/>
    </row>
    <row r="1151" spans="5:22" s="285" customFormat="1" ht="24" customHeight="1">
      <c r="I1151" s="328"/>
      <c r="J1151" s="328"/>
      <c r="K1151" s="285" t="s">
        <v>702</v>
      </c>
      <c r="L1151" s="233">
        <f t="shared" ref="L1151:T1151" si="490">L928</f>
        <v>5092</v>
      </c>
      <c r="M1151" s="233">
        <f t="shared" si="490"/>
        <v>4728</v>
      </c>
      <c r="N1151" s="234">
        <f t="shared" si="490"/>
        <v>4690</v>
      </c>
      <c r="O1151" s="234">
        <f t="shared" si="490"/>
        <v>5137</v>
      </c>
      <c r="P1151" s="233">
        <f t="shared" si="490"/>
        <v>5638</v>
      </c>
      <c r="Q1151" s="233">
        <f t="shared" si="490"/>
        <v>5920</v>
      </c>
      <c r="R1151" s="233">
        <f t="shared" si="490"/>
        <v>6216</v>
      </c>
      <c r="S1151" s="233">
        <f t="shared" si="490"/>
        <v>6527</v>
      </c>
      <c r="T1151" s="233">
        <f t="shared" si="490"/>
        <v>6853</v>
      </c>
      <c r="U1151" s="338"/>
    </row>
    <row r="1152" spans="5:22" s="285" customFormat="1" ht="24" customHeight="1">
      <c r="I1152" s="328"/>
      <c r="J1152" s="328"/>
      <c r="L1152" s="233"/>
      <c r="M1152" s="233"/>
      <c r="N1152" s="234"/>
      <c r="O1152" s="234"/>
      <c r="P1152" s="233"/>
      <c r="Q1152" s="233"/>
      <c r="R1152" s="233"/>
      <c r="S1152" s="233"/>
      <c r="T1152" s="233"/>
      <c r="U1152" s="468"/>
    </row>
    <row r="1153" spans="1:21" s="285" customFormat="1" ht="24" customHeight="1">
      <c r="I1153" s="328"/>
      <c r="J1153" s="328"/>
      <c r="K1153" s="285" t="s">
        <v>703</v>
      </c>
      <c r="L1153" s="233">
        <f t="shared" ref="L1153:T1153" si="491">L929</f>
        <v>643</v>
      </c>
      <c r="M1153" s="233">
        <f t="shared" si="491"/>
        <v>455</v>
      </c>
      <c r="N1153" s="234">
        <f t="shared" si="491"/>
        <v>496</v>
      </c>
      <c r="O1153" s="234">
        <f t="shared" si="491"/>
        <v>651</v>
      </c>
      <c r="P1153" s="233">
        <f t="shared" si="491"/>
        <v>651</v>
      </c>
      <c r="Q1153" s="233">
        <f t="shared" si="491"/>
        <v>671</v>
      </c>
      <c r="R1153" s="233">
        <f t="shared" si="491"/>
        <v>691</v>
      </c>
      <c r="S1153" s="233">
        <f t="shared" si="491"/>
        <v>712</v>
      </c>
      <c r="T1153" s="233">
        <f t="shared" si="491"/>
        <v>733</v>
      </c>
      <c r="U1153" s="468"/>
    </row>
    <row r="1154" spans="1:21" s="285" customFormat="1" ht="24" customHeight="1">
      <c r="I1154" s="513"/>
      <c r="J1154" s="513"/>
      <c r="L1154" s="233"/>
      <c r="M1154" s="233"/>
      <c r="N1154" s="234"/>
      <c r="O1154" s="234"/>
      <c r="P1154" s="233"/>
      <c r="Q1154" s="233"/>
      <c r="R1154" s="233"/>
      <c r="S1154" s="233"/>
      <c r="T1154" s="233"/>
      <c r="U1154" s="513"/>
    </row>
    <row r="1155" spans="1:21" s="215" customFormat="1" ht="24" customHeight="1">
      <c r="I1155" s="305"/>
      <c r="J1155" s="305"/>
      <c r="L1155" s="245"/>
      <c r="M1155" s="245"/>
      <c r="N1155" s="232"/>
      <c r="O1155" s="232"/>
      <c r="P1155" s="231"/>
      <c r="Q1155" s="231"/>
      <c r="R1155" s="231"/>
      <c r="S1155" s="231"/>
      <c r="T1155" s="231"/>
      <c r="U1155" s="470"/>
    </row>
    <row r="1156" spans="1:21" s="318" customFormat="1" ht="24" customHeight="1">
      <c r="A1156" s="768" t="s">
        <v>1067</v>
      </c>
      <c r="B1156" s="768"/>
      <c r="C1156" s="768"/>
      <c r="D1156" s="768"/>
      <c r="E1156" s="768"/>
      <c r="F1156" s="768"/>
      <c r="G1156" s="768"/>
      <c r="H1156" s="768"/>
      <c r="I1156" s="768"/>
      <c r="J1156" s="768"/>
      <c r="K1156" s="768"/>
      <c r="L1156" s="320"/>
      <c r="M1156" s="320"/>
      <c r="N1156" s="319"/>
      <c r="O1156" s="319"/>
      <c r="P1156" s="319"/>
      <c r="Q1156" s="319"/>
      <c r="R1156" s="319"/>
      <c r="S1156" s="319"/>
      <c r="T1156" s="319"/>
      <c r="U1156" s="469"/>
    </row>
    <row r="1157" spans="1:21" s="215" customFormat="1" ht="24" customHeight="1">
      <c r="I1157" s="305"/>
      <c r="J1157" s="305"/>
      <c r="K1157" s="215" t="s">
        <v>1068</v>
      </c>
      <c r="L1157" s="245">
        <f t="shared" ref="L1157:T1157" si="492">L9</f>
        <v>2201759</v>
      </c>
      <c r="M1157" s="245">
        <f t="shared" si="492"/>
        <v>2277087</v>
      </c>
      <c r="N1157" s="246">
        <f t="shared" si="492"/>
        <v>2288200</v>
      </c>
      <c r="O1157" s="246">
        <f t="shared" si="492"/>
        <v>2278321</v>
      </c>
      <c r="P1157" s="245">
        <f t="shared" si="492"/>
        <v>2219203</v>
      </c>
      <c r="Q1157" s="245">
        <f t="shared" si="492"/>
        <v>2263587</v>
      </c>
      <c r="R1157" s="245">
        <f t="shared" si="492"/>
        <v>2308859</v>
      </c>
      <c r="S1157" s="245">
        <f t="shared" si="492"/>
        <v>2355036</v>
      </c>
      <c r="T1157" s="245">
        <f t="shared" si="492"/>
        <v>2402137</v>
      </c>
      <c r="U1157" s="470"/>
    </row>
    <row r="1158" spans="1:21" s="215" customFormat="1" ht="24" customHeight="1">
      <c r="I1158" s="305"/>
      <c r="J1158" s="305"/>
      <c r="K1158" s="215" t="s">
        <v>1069</v>
      </c>
      <c r="L1158" s="264">
        <f t="shared" ref="L1158:T1158" si="493">L10</f>
        <v>524120</v>
      </c>
      <c r="M1158" s="264">
        <f t="shared" si="493"/>
        <v>624168</v>
      </c>
      <c r="N1158" s="265">
        <f t="shared" si="493"/>
        <v>728477</v>
      </c>
      <c r="O1158" s="265">
        <f t="shared" si="493"/>
        <v>703105</v>
      </c>
      <c r="P1158" s="264">
        <f t="shared" si="493"/>
        <v>825413</v>
      </c>
      <c r="Q1158" s="264">
        <f t="shared" si="493"/>
        <v>875413</v>
      </c>
      <c r="R1158" s="264">
        <f t="shared" si="493"/>
        <v>925413</v>
      </c>
      <c r="S1158" s="264">
        <f t="shared" si="493"/>
        <v>975413</v>
      </c>
      <c r="T1158" s="264">
        <f t="shared" si="493"/>
        <v>1025413</v>
      </c>
      <c r="U1158" s="336"/>
    </row>
    <row r="1159" spans="1:21" s="215" customFormat="1" ht="24" customHeight="1">
      <c r="I1159" s="305"/>
      <c r="J1159" s="305"/>
      <c r="L1159" s="245"/>
      <c r="M1159" s="245"/>
      <c r="N1159" s="246"/>
      <c r="O1159" s="246"/>
      <c r="P1159" s="245"/>
      <c r="Q1159" s="245"/>
      <c r="R1159" s="245"/>
      <c r="S1159" s="245"/>
      <c r="T1159" s="245"/>
      <c r="U1159" s="336"/>
    </row>
    <row r="1160" spans="1:21" s="302" customFormat="1" ht="24" customHeight="1">
      <c r="I1160" s="304"/>
      <c r="J1160" s="304"/>
      <c r="K1160" s="302" t="s">
        <v>1071</v>
      </c>
      <c r="L1160" s="245">
        <f>SUM(L1157:L1159)</f>
        <v>2725879</v>
      </c>
      <c r="M1160" s="245">
        <f t="shared" ref="M1160:T1160" si="494">SUM(M1157:M1159)</f>
        <v>2901255</v>
      </c>
      <c r="N1160" s="246">
        <f t="shared" si="494"/>
        <v>3016677</v>
      </c>
      <c r="O1160" s="246">
        <f t="shared" ref="O1160" si="495">SUM(O1157:O1159)</f>
        <v>2981426</v>
      </c>
      <c r="P1160" s="245">
        <f t="shared" ref="P1160:S1160" si="496">SUM(P1157:P1159)</f>
        <v>3044616</v>
      </c>
      <c r="Q1160" s="245">
        <f t="shared" si="496"/>
        <v>3139000</v>
      </c>
      <c r="R1160" s="245">
        <f t="shared" si="496"/>
        <v>3234272</v>
      </c>
      <c r="S1160" s="245">
        <f t="shared" si="496"/>
        <v>3330449</v>
      </c>
      <c r="T1160" s="245">
        <f t="shared" si="494"/>
        <v>3427550</v>
      </c>
      <c r="U1160" s="346"/>
    </row>
    <row r="1161" spans="1:21" s="302" customFormat="1" ht="24" customHeight="1">
      <c r="I1161" s="316"/>
      <c r="J1161" s="316"/>
      <c r="L1161" s="252">
        <f>(L1160-2715518)/2715518</f>
        <v>3.8154782991679671E-3</v>
      </c>
      <c r="M1161" s="252">
        <f>(M1160-L1160)/L1160</f>
        <v>6.4337411895392271E-2</v>
      </c>
      <c r="N1161" s="253">
        <f>(N1160-M1160)/M1160</f>
        <v>3.978347301426452E-2</v>
      </c>
      <c r="O1161" s="253">
        <f>(O1160-M1160)/M1160</f>
        <v>2.7633213902259538E-2</v>
      </c>
      <c r="P1161" s="252">
        <f>(P1160-O1160)/O1160</f>
        <v>2.1194555893723339E-2</v>
      </c>
      <c r="Q1161" s="252">
        <f>(Q1160-P1160)/P1160</f>
        <v>3.1000296917575155E-2</v>
      </c>
      <c r="R1161" s="252">
        <f>(R1160-Q1160)/Q1160</f>
        <v>3.0351067218859509E-2</v>
      </c>
      <c r="S1161" s="252">
        <f>(S1160-R1160)/R1160</f>
        <v>2.9736831039566244E-2</v>
      </c>
      <c r="T1161" s="252">
        <f>(T1160-S1160)/S1160</f>
        <v>2.9155528278619489E-2</v>
      </c>
      <c r="U1161" s="346"/>
    </row>
    <row r="1162" spans="1:21" s="302" customFormat="1" ht="24" customHeight="1">
      <c r="I1162" s="316"/>
      <c r="J1162" s="316"/>
      <c r="L1162" s="273"/>
      <c r="M1162" s="273"/>
      <c r="N1162" s="274"/>
      <c r="O1162" s="274"/>
      <c r="P1162" s="273"/>
      <c r="Q1162" s="273"/>
      <c r="R1162" s="273"/>
      <c r="S1162" s="273"/>
      <c r="T1162" s="273"/>
      <c r="U1162" s="346"/>
    </row>
    <row r="1163" spans="1:21" s="215" customFormat="1" ht="24" customHeight="1">
      <c r="F1163" s="790" t="s">
        <v>718</v>
      </c>
      <c r="G1163" s="790"/>
      <c r="H1163" s="790"/>
      <c r="I1163" s="790"/>
      <c r="J1163" s="790"/>
      <c r="K1163" s="790"/>
      <c r="L1163" s="268">
        <f t="shared" ref="L1163:T1163" si="497">L522+L551+L657</f>
        <v>467794</v>
      </c>
      <c r="M1163" s="268">
        <f t="shared" si="497"/>
        <v>333194</v>
      </c>
      <c r="N1163" s="267">
        <f t="shared" si="497"/>
        <v>165527</v>
      </c>
      <c r="O1163" s="267">
        <f t="shared" si="497"/>
        <v>164852</v>
      </c>
      <c r="P1163" s="268">
        <f t="shared" si="497"/>
        <v>47497</v>
      </c>
      <c r="Q1163" s="268">
        <f t="shared" si="497"/>
        <v>0</v>
      </c>
      <c r="R1163" s="268">
        <f t="shared" si="497"/>
        <v>0</v>
      </c>
      <c r="S1163" s="268">
        <f t="shared" si="497"/>
        <v>0</v>
      </c>
      <c r="T1163" s="268">
        <f t="shared" si="497"/>
        <v>0</v>
      </c>
      <c r="U1163" s="470"/>
    </row>
    <row r="1164" spans="1:21" s="561" customFormat="1" ht="24" customHeight="1">
      <c r="F1164" s="559"/>
      <c r="G1164" s="559"/>
      <c r="H1164" s="559"/>
      <c r="I1164" s="559"/>
      <c r="J1164" s="559"/>
      <c r="K1164" s="559"/>
      <c r="L1164" s="294">
        <f>(L1163-720098)/720098</f>
        <v>-0.35037453235531829</v>
      </c>
      <c r="M1164" s="294">
        <f>(M1163-L1163)/L1163</f>
        <v>-0.28773348952744154</v>
      </c>
      <c r="N1164" s="606">
        <f>(N1163-M1163)/M1163</f>
        <v>-0.50321134234109854</v>
      </c>
      <c r="O1164" s="606">
        <f>(O1163-M1163)/M1163</f>
        <v>-0.50523718914506266</v>
      </c>
      <c r="P1164" s="294">
        <f>(P1163-O1163)/O1163</f>
        <v>-0.71188095989129641</v>
      </c>
      <c r="Q1164" s="294">
        <f>(Q1163-P1163)/P1163</f>
        <v>-1</v>
      </c>
      <c r="R1164" s="607">
        <v>0</v>
      </c>
      <c r="S1164" s="607">
        <v>0</v>
      </c>
      <c r="T1164" s="607">
        <v>0</v>
      </c>
      <c r="U1164" s="579"/>
    </row>
    <row r="1165" spans="1:21" s="565" customFormat="1" ht="24" customHeight="1">
      <c r="F1165" s="563"/>
      <c r="G1165" s="563"/>
      <c r="H1165" s="563"/>
      <c r="I1165" s="563"/>
      <c r="J1165" s="563"/>
      <c r="K1165" s="563"/>
      <c r="L1165" s="607"/>
      <c r="M1165" s="294"/>
      <c r="N1165" s="606"/>
      <c r="O1165" s="606"/>
      <c r="P1165" s="294"/>
      <c r="Q1165" s="294"/>
      <c r="R1165" s="294"/>
      <c r="S1165" s="607"/>
      <c r="T1165" s="607"/>
      <c r="U1165" s="579"/>
    </row>
    <row r="1166" spans="1:21" s="565" customFormat="1" ht="24" customHeight="1">
      <c r="F1166" s="563"/>
      <c r="G1166" s="563"/>
      <c r="H1166" s="563"/>
      <c r="I1166" s="563"/>
      <c r="J1166" s="563"/>
      <c r="K1166" s="566" t="s">
        <v>1070</v>
      </c>
      <c r="L1166" s="290">
        <f>L1160+L1163</f>
        <v>3193673</v>
      </c>
      <c r="M1166" s="290">
        <f t="shared" ref="M1166:T1166" si="498">M1160+M1163</f>
        <v>3234449</v>
      </c>
      <c r="N1166" s="605">
        <f t="shared" si="498"/>
        <v>3182204</v>
      </c>
      <c r="O1166" s="605">
        <f t="shared" si="498"/>
        <v>3146278</v>
      </c>
      <c r="P1166" s="290">
        <f t="shared" si="498"/>
        <v>3092113</v>
      </c>
      <c r="Q1166" s="290">
        <f t="shared" si="498"/>
        <v>3139000</v>
      </c>
      <c r="R1166" s="290">
        <f t="shared" si="498"/>
        <v>3234272</v>
      </c>
      <c r="S1166" s="290">
        <f t="shared" si="498"/>
        <v>3330449</v>
      </c>
      <c r="T1166" s="290">
        <f t="shared" si="498"/>
        <v>3427550</v>
      </c>
      <c r="U1166" s="564"/>
    </row>
    <row r="1167" spans="1:21" s="610" customFormat="1" ht="24" customHeight="1">
      <c r="F1167" s="609"/>
      <c r="G1167" s="609"/>
      <c r="H1167" s="609"/>
      <c r="I1167" s="609"/>
      <c r="J1167" s="609"/>
      <c r="K1167" s="566"/>
      <c r="L1167" s="696">
        <f>(L1166-3435616)/3435616</f>
        <v>-7.0422014567402172E-2</v>
      </c>
      <c r="M1167" s="696">
        <f>(M1166-L1166)/L1166</f>
        <v>1.276774422428345E-2</v>
      </c>
      <c r="N1167" s="697"/>
      <c r="O1167" s="697">
        <f>(O1166-M1166)/M1166</f>
        <v>-2.7259975346651005E-2</v>
      </c>
      <c r="P1167" s="696">
        <f>(P1166-O1166)/O1166</f>
        <v>-1.7215579805726005E-2</v>
      </c>
      <c r="Q1167" s="696">
        <f>(Q1166-P1166)/P1166</f>
        <v>1.5163417378342901E-2</v>
      </c>
      <c r="R1167" s="696">
        <f>(R1166-Q1166)/Q1166</f>
        <v>3.0351067218859509E-2</v>
      </c>
      <c r="S1167" s="696">
        <f>(S1166-R1166)/R1166</f>
        <v>2.9736831039566244E-2</v>
      </c>
      <c r="T1167" s="696">
        <f>(T1166-S1166)/S1166</f>
        <v>2.9155528278619489E-2</v>
      </c>
      <c r="U1167" s="579"/>
    </row>
    <row r="1168" spans="1:21" s="565" customFormat="1" ht="24" customHeight="1">
      <c r="F1168" s="563"/>
      <c r="G1168" s="563"/>
      <c r="H1168" s="563"/>
      <c r="I1168" s="563"/>
      <c r="J1168" s="563"/>
      <c r="K1168" s="563"/>
      <c r="L1168" s="456"/>
      <c r="M1168" s="252"/>
      <c r="N1168" s="253"/>
      <c r="O1168" s="253"/>
      <c r="P1168" s="252"/>
      <c r="Q1168" s="252"/>
      <c r="R1168" s="252"/>
      <c r="S1168" s="456"/>
      <c r="T1168" s="456"/>
      <c r="U1168" s="564"/>
    </row>
    <row r="1169" spans="1:22" s="565" customFormat="1" ht="24" customHeight="1">
      <c r="F1169" s="563"/>
      <c r="G1169" s="563"/>
      <c r="H1169" s="563"/>
      <c r="I1169" s="563"/>
      <c r="J1169" s="563"/>
      <c r="K1169" s="563" t="s">
        <v>614</v>
      </c>
      <c r="L1169" s="308">
        <f t="shared" ref="L1169:T1169" si="499">L905</f>
        <v>642838</v>
      </c>
      <c r="M1169" s="308">
        <f t="shared" si="499"/>
        <v>626950</v>
      </c>
      <c r="N1169" s="604">
        <f t="shared" si="499"/>
        <v>635000</v>
      </c>
      <c r="O1169" s="604">
        <f t="shared" si="499"/>
        <v>622529</v>
      </c>
      <c r="P1169" s="308">
        <f t="shared" si="499"/>
        <v>644719</v>
      </c>
      <c r="Q1169" s="308">
        <f t="shared" si="499"/>
        <v>657613</v>
      </c>
      <c r="R1169" s="308">
        <f t="shared" si="499"/>
        <v>670765</v>
      </c>
      <c r="S1169" s="308">
        <f t="shared" si="499"/>
        <v>684180</v>
      </c>
      <c r="T1169" s="308">
        <f t="shared" si="499"/>
        <v>697864</v>
      </c>
      <c r="U1169" s="564"/>
    </row>
    <row r="1170" spans="1:22" s="565" customFormat="1" ht="24" customHeight="1">
      <c r="F1170" s="563"/>
      <c r="G1170" s="563"/>
      <c r="H1170" s="563"/>
      <c r="I1170" s="563"/>
      <c r="J1170" s="563"/>
      <c r="K1170" s="563" t="s">
        <v>536</v>
      </c>
      <c r="L1170" s="602">
        <f t="shared" ref="L1170:T1170" si="500">L964</f>
        <v>746464</v>
      </c>
      <c r="M1170" s="602">
        <f t="shared" si="500"/>
        <v>727762</v>
      </c>
      <c r="N1170" s="603">
        <f t="shared" si="500"/>
        <v>749846</v>
      </c>
      <c r="O1170" s="603">
        <f t="shared" si="500"/>
        <v>746621</v>
      </c>
      <c r="P1170" s="602">
        <f t="shared" si="500"/>
        <v>749771</v>
      </c>
      <c r="Q1170" s="602">
        <f t="shared" si="500"/>
        <v>757396</v>
      </c>
      <c r="R1170" s="602">
        <f t="shared" si="500"/>
        <v>789101</v>
      </c>
      <c r="S1170" s="602">
        <f t="shared" si="500"/>
        <v>794013</v>
      </c>
      <c r="T1170" s="602">
        <f t="shared" si="500"/>
        <v>824088</v>
      </c>
      <c r="U1170" s="564"/>
    </row>
    <row r="1171" spans="1:22" s="565" customFormat="1" ht="24" customHeight="1">
      <c r="F1171" s="563"/>
      <c r="G1171" s="563"/>
      <c r="H1171" s="563"/>
      <c r="I1171" s="563"/>
      <c r="J1171" s="563"/>
      <c r="K1171" s="566" t="s">
        <v>1351</v>
      </c>
      <c r="L1171" s="290">
        <f>L1169+L1170</f>
        <v>1389302</v>
      </c>
      <c r="M1171" s="290">
        <f t="shared" ref="M1171:T1171" si="501">M1169+M1170</f>
        <v>1354712</v>
      </c>
      <c r="N1171" s="605">
        <f t="shared" si="501"/>
        <v>1384846</v>
      </c>
      <c r="O1171" s="605">
        <f t="shared" si="501"/>
        <v>1369150</v>
      </c>
      <c r="P1171" s="290">
        <f t="shared" si="501"/>
        <v>1394490</v>
      </c>
      <c r="Q1171" s="290">
        <f t="shared" si="501"/>
        <v>1415009</v>
      </c>
      <c r="R1171" s="290">
        <f t="shared" si="501"/>
        <v>1459866</v>
      </c>
      <c r="S1171" s="290">
        <f t="shared" si="501"/>
        <v>1478193</v>
      </c>
      <c r="T1171" s="290">
        <f t="shared" si="501"/>
        <v>1521952</v>
      </c>
      <c r="U1171" s="564"/>
    </row>
    <row r="1172" spans="1:22" s="598" customFormat="1" ht="24" customHeight="1">
      <c r="F1172" s="597"/>
      <c r="G1172" s="597"/>
      <c r="H1172" s="597"/>
      <c r="I1172" s="597"/>
      <c r="J1172" s="597"/>
      <c r="K1172" s="566"/>
      <c r="L1172" s="567"/>
      <c r="M1172" s="567"/>
      <c r="N1172" s="568"/>
      <c r="O1172" s="568"/>
      <c r="P1172" s="567"/>
      <c r="Q1172" s="567"/>
      <c r="R1172" s="567"/>
      <c r="S1172" s="567"/>
      <c r="T1172" s="567"/>
      <c r="U1172" s="579"/>
    </row>
    <row r="1173" spans="1:22" s="598" customFormat="1" ht="24" customHeight="1">
      <c r="F1173" s="597"/>
      <c r="G1173" s="597"/>
      <c r="H1173" s="597"/>
      <c r="I1173" s="597"/>
      <c r="J1173" s="597"/>
      <c r="K1173" s="566" t="s">
        <v>1394</v>
      </c>
      <c r="L1173" s="602">
        <f t="shared" ref="L1173:T1173" si="502">L282+L300</f>
        <v>11253</v>
      </c>
      <c r="M1173" s="602">
        <f t="shared" si="502"/>
        <v>25953</v>
      </c>
      <c r="N1173" s="603">
        <f t="shared" si="502"/>
        <v>25681</v>
      </c>
      <c r="O1173" s="603">
        <f t="shared" si="502"/>
        <v>25680</v>
      </c>
      <c r="P1173" s="602">
        <f t="shared" si="502"/>
        <v>27465</v>
      </c>
      <c r="Q1173" s="602">
        <f t="shared" si="502"/>
        <v>27465</v>
      </c>
      <c r="R1173" s="602">
        <f t="shared" si="502"/>
        <v>27465</v>
      </c>
      <c r="S1173" s="602">
        <f t="shared" si="502"/>
        <v>27465</v>
      </c>
      <c r="T1173" s="602">
        <f t="shared" si="502"/>
        <v>27465</v>
      </c>
      <c r="U1173" s="579"/>
    </row>
    <row r="1174" spans="1:22" s="598" customFormat="1" ht="24" customHeight="1">
      <c r="F1174" s="597"/>
      <c r="G1174" s="597"/>
      <c r="H1174" s="597"/>
      <c r="I1174" s="597"/>
      <c r="J1174" s="597"/>
      <c r="K1174" s="566"/>
      <c r="L1174" s="291">
        <f>(L1173-11316)/11316</f>
        <v>-5.5673382820784732E-3</v>
      </c>
      <c r="M1174" s="291">
        <f>(M1173-L1173)/L1173</f>
        <v>1.306318315115969</v>
      </c>
      <c r="N1174" s="608">
        <f>(N1173-M1173)/M1173</f>
        <v>-1.0480483951758948E-2</v>
      </c>
      <c r="O1174" s="608">
        <f>(O1173-M1173)/M1173</f>
        <v>-1.0519015142758062E-2</v>
      </c>
      <c r="P1174" s="291">
        <f>(P1173-O1173)/O1173</f>
        <v>6.9509345794392524E-2</v>
      </c>
      <c r="Q1174" s="291">
        <f>(Q1173-P1173)/P1173</f>
        <v>0</v>
      </c>
      <c r="R1174" s="291">
        <v>0</v>
      </c>
      <c r="S1174" s="291">
        <v>0</v>
      </c>
      <c r="T1174" s="291">
        <v>0</v>
      </c>
      <c r="U1174" s="579"/>
    </row>
    <row r="1175" spans="1:22" s="598" customFormat="1" ht="24" customHeight="1">
      <c r="F1175" s="597"/>
      <c r="G1175" s="597"/>
      <c r="H1175" s="597"/>
      <c r="I1175" s="597"/>
      <c r="J1175" s="597"/>
      <c r="K1175" s="566"/>
      <c r="L1175" s="567"/>
      <c r="M1175" s="567"/>
      <c r="N1175" s="568"/>
      <c r="O1175" s="568"/>
      <c r="P1175" s="567"/>
      <c r="Q1175" s="567"/>
      <c r="R1175" s="567"/>
      <c r="S1175" s="567"/>
      <c r="T1175" s="567"/>
      <c r="U1175" s="579"/>
    </row>
    <row r="1176" spans="1:22" s="598" customFormat="1" ht="24" customHeight="1">
      <c r="F1176" s="597"/>
      <c r="G1176" s="597"/>
      <c r="H1176" s="597"/>
      <c r="I1176" s="597"/>
      <c r="J1176" s="597"/>
      <c r="K1176" s="566" t="s">
        <v>1395</v>
      </c>
      <c r="L1176" s="602">
        <f t="shared" ref="L1176:T1176" si="503">L1009+L1044</f>
        <v>52811</v>
      </c>
      <c r="M1176" s="602">
        <f t="shared" si="503"/>
        <v>69322</v>
      </c>
      <c r="N1176" s="603">
        <f t="shared" si="503"/>
        <v>165000</v>
      </c>
      <c r="O1176" s="603">
        <f t="shared" si="503"/>
        <v>212652</v>
      </c>
      <c r="P1176" s="602">
        <f t="shared" si="503"/>
        <v>270000</v>
      </c>
      <c r="Q1176" s="602">
        <f t="shared" si="503"/>
        <v>270000</v>
      </c>
      <c r="R1176" s="602">
        <f t="shared" si="503"/>
        <v>275000</v>
      </c>
      <c r="S1176" s="602">
        <f t="shared" si="503"/>
        <v>275000</v>
      </c>
      <c r="T1176" s="602">
        <f t="shared" si="503"/>
        <v>280000</v>
      </c>
      <c r="U1176" s="579"/>
    </row>
    <row r="1177" spans="1:22" s="598" customFormat="1" ht="24" customHeight="1">
      <c r="F1177" s="597"/>
      <c r="G1177" s="597"/>
      <c r="H1177" s="597"/>
      <c r="I1177" s="597"/>
      <c r="J1177" s="597"/>
      <c r="K1177" s="566"/>
      <c r="L1177" s="291">
        <f>(L1176-39980)/39980</f>
        <v>0.32093546773386694</v>
      </c>
      <c r="M1177" s="291">
        <f>(M1176-L1176)/L1176</f>
        <v>0.31264319933347218</v>
      </c>
      <c r="N1177" s="608">
        <f>(N1176-M1176)/M1176</f>
        <v>1.3801967629324023</v>
      </c>
      <c r="O1177" s="608">
        <f>(O1176-M1176)/M1176</f>
        <v>2.0675975880672803</v>
      </c>
      <c r="P1177" s="291">
        <f>(P1176-O1176)/O1176</f>
        <v>0.26968004062976131</v>
      </c>
      <c r="Q1177" s="291">
        <f>(Q1176-P1176)/P1176</f>
        <v>0</v>
      </c>
      <c r="R1177" s="291">
        <v>0</v>
      </c>
      <c r="S1177" s="291">
        <v>0</v>
      </c>
      <c r="T1177" s="291">
        <v>0</v>
      </c>
      <c r="U1177" s="579"/>
    </row>
    <row r="1178" spans="1:22" s="598" customFormat="1" ht="24" customHeight="1">
      <c r="F1178" s="597"/>
      <c r="G1178" s="597"/>
      <c r="H1178" s="597"/>
      <c r="I1178" s="597"/>
      <c r="J1178" s="597"/>
      <c r="K1178" s="566"/>
      <c r="L1178" s="567"/>
      <c r="M1178" s="567"/>
      <c r="N1178" s="568"/>
      <c r="O1178" s="568"/>
      <c r="P1178" s="567"/>
      <c r="Q1178" s="567"/>
      <c r="R1178" s="567"/>
      <c r="S1178" s="567"/>
      <c r="T1178" s="567"/>
      <c r="U1178" s="579"/>
    </row>
    <row r="1179" spans="1:22" s="598" customFormat="1" ht="24" customHeight="1">
      <c r="F1179" s="597"/>
      <c r="G1179" s="597"/>
      <c r="H1179" s="597"/>
      <c r="I1179" s="597"/>
      <c r="J1179" s="597"/>
      <c r="K1179" s="566" t="s">
        <v>1396</v>
      </c>
      <c r="L1179" s="602">
        <f t="shared" ref="L1179:T1179" si="504">L28</f>
        <v>164398</v>
      </c>
      <c r="M1179" s="602">
        <f t="shared" si="504"/>
        <v>171756</v>
      </c>
      <c r="N1179" s="603">
        <f t="shared" si="504"/>
        <v>175000</v>
      </c>
      <c r="O1179" s="603">
        <f t="shared" si="504"/>
        <v>148223</v>
      </c>
      <c r="P1179" s="602">
        <f t="shared" si="504"/>
        <v>150000</v>
      </c>
      <c r="Q1179" s="602">
        <f t="shared" si="504"/>
        <v>155000</v>
      </c>
      <c r="R1179" s="602">
        <f t="shared" si="504"/>
        <v>160000</v>
      </c>
      <c r="S1179" s="602">
        <f t="shared" si="504"/>
        <v>165000</v>
      </c>
      <c r="T1179" s="602">
        <f t="shared" si="504"/>
        <v>170000</v>
      </c>
      <c r="U1179" s="579"/>
    </row>
    <row r="1180" spans="1:22" s="600" customFormat="1" ht="24" customHeight="1">
      <c r="F1180" s="601"/>
      <c r="G1180" s="601"/>
      <c r="H1180" s="601"/>
      <c r="I1180" s="601"/>
      <c r="J1180" s="601"/>
      <c r="K1180" s="566"/>
      <c r="L1180" s="291">
        <f>(L1179-168477)/168477</f>
        <v>-2.421101990182636E-2</v>
      </c>
      <c r="M1180" s="291">
        <f>(M1179-L1179)/L1179</f>
        <v>4.4757235489482843E-2</v>
      </c>
      <c r="N1180" s="608">
        <f>(N1179-M1179)/M1179</f>
        <v>1.8887258669275018E-2</v>
      </c>
      <c r="O1180" s="608">
        <f>(O1179-M1179)/M1179</f>
        <v>-0.13701413633293744</v>
      </c>
      <c r="P1180" s="291">
        <f>(P1179-O1179)/O1179</f>
        <v>1.1988692713006753E-2</v>
      </c>
      <c r="Q1180" s="291">
        <f>(Q1179-P1179)/P1179</f>
        <v>3.3333333333333333E-2</v>
      </c>
      <c r="R1180" s="291">
        <v>0</v>
      </c>
      <c r="S1180" s="291">
        <v>0</v>
      </c>
      <c r="T1180" s="291">
        <v>0</v>
      </c>
      <c r="U1180" s="579"/>
    </row>
    <row r="1181" spans="1:22" s="215" customFormat="1" ht="24" customHeight="1">
      <c r="F1181" s="286"/>
      <c r="G1181" s="286"/>
      <c r="H1181" s="286"/>
      <c r="I1181" s="286"/>
      <c r="J1181" s="286"/>
      <c r="K1181" s="286"/>
      <c r="L1181" s="233"/>
      <c r="M1181" s="233"/>
      <c r="N1181" s="234"/>
      <c r="O1181" s="234"/>
      <c r="P1181" s="233"/>
      <c r="Q1181" s="233"/>
      <c r="R1181" s="233"/>
      <c r="S1181" s="233"/>
      <c r="T1181" s="233"/>
      <c r="U1181" s="470"/>
    </row>
    <row r="1182" spans="1:22" s="215" customFormat="1" ht="24" customHeight="1">
      <c r="A1182" s="252"/>
      <c r="F1182" s="286"/>
      <c r="G1182" s="286"/>
      <c r="H1182" s="286"/>
      <c r="I1182" s="286"/>
      <c r="J1182" s="286"/>
      <c r="K1182" s="562" t="s">
        <v>1352</v>
      </c>
      <c r="L1182" s="269">
        <f>L1160+L1163+L1171+L1173+L1176+L1179</f>
        <v>4811437</v>
      </c>
      <c r="M1182" s="269">
        <f t="shared" ref="M1182:T1182" si="505">M1160+M1163+M1171+M1173+M1176+M1179</f>
        <v>4856192</v>
      </c>
      <c r="N1182" s="270">
        <f t="shared" si="505"/>
        <v>4932731</v>
      </c>
      <c r="O1182" s="270">
        <f t="shared" si="505"/>
        <v>4901983</v>
      </c>
      <c r="P1182" s="269">
        <f t="shared" si="505"/>
        <v>4934068</v>
      </c>
      <c r="Q1182" s="269">
        <f t="shared" si="505"/>
        <v>5006474</v>
      </c>
      <c r="R1182" s="269">
        <f t="shared" si="505"/>
        <v>5156603</v>
      </c>
      <c r="S1182" s="269">
        <f t="shared" si="505"/>
        <v>5276107</v>
      </c>
      <c r="T1182" s="269">
        <f t="shared" si="505"/>
        <v>5426967</v>
      </c>
      <c r="U1182" s="470"/>
    </row>
    <row r="1183" spans="1:22" s="215" customFormat="1" ht="24" customHeight="1">
      <c r="F1183" s="286"/>
      <c r="G1183" s="286"/>
      <c r="H1183" s="286"/>
      <c r="I1183" s="286"/>
      <c r="J1183" s="286"/>
      <c r="K1183" s="286"/>
      <c r="L1183" s="252"/>
      <c r="M1183" s="252">
        <f>(M1182-L1182)/L1182</f>
        <v>9.3017948691835727E-3</v>
      </c>
      <c r="N1183" s="253">
        <f>(N1182-M1182)/M1182</f>
        <v>1.5761114881783916E-2</v>
      </c>
      <c r="O1183" s="253">
        <f>(O1182-M1182)/M1182</f>
        <v>9.4294047681805007E-3</v>
      </c>
      <c r="P1183" s="252">
        <f>(P1182-O1182)/O1182</f>
        <v>6.5453103366535544E-3</v>
      </c>
      <c r="Q1183" s="252">
        <f>(Q1182-P1182)/P1182</f>
        <v>1.4674706550456945E-2</v>
      </c>
      <c r="R1183" s="252">
        <f>(R1182-Q1182)/Q1182</f>
        <v>2.998697286753112E-2</v>
      </c>
      <c r="S1183" s="252">
        <f>(S1182-R1182)/R1182</f>
        <v>2.3174946762432556E-2</v>
      </c>
      <c r="T1183" s="252">
        <f>(T1182-S1182)/S1182</f>
        <v>2.8593051657216203E-2</v>
      </c>
      <c r="U1183" s="347"/>
      <c r="V1183" s="713"/>
    </row>
    <row r="1184" spans="1:22" s="460" customFormat="1" ht="24" customHeight="1">
      <c r="F1184" s="462"/>
      <c r="G1184" s="462"/>
      <c r="H1184" s="462"/>
      <c r="I1184" s="462"/>
      <c r="J1184" s="462"/>
      <c r="K1184" s="462"/>
      <c r="L1184" s="252"/>
      <c r="M1184" s="252"/>
      <c r="N1184" s="253"/>
      <c r="O1184" s="262"/>
      <c r="P1184" s="252"/>
      <c r="Q1184" s="252"/>
      <c r="R1184" s="252"/>
      <c r="S1184" s="252"/>
      <c r="T1184" s="252"/>
      <c r="U1184" s="347"/>
    </row>
    <row r="1185" spans="1:22" s="460" customFormat="1" ht="24" customHeight="1">
      <c r="F1185" s="783" t="s">
        <v>1265</v>
      </c>
      <c r="G1185" s="783"/>
      <c r="H1185" s="783"/>
      <c r="I1185" s="783"/>
      <c r="J1185" s="783"/>
      <c r="K1185" s="783"/>
      <c r="L1185" s="464">
        <f>L1186+L1187</f>
        <v>4692995</v>
      </c>
      <c r="M1185" s="464">
        <f t="shared" ref="M1185:T1185" si="506">M1186+M1187</f>
        <v>4474317</v>
      </c>
      <c r="N1185" s="465">
        <f t="shared" si="506"/>
        <v>4730761</v>
      </c>
      <c r="O1185" s="465">
        <f t="shared" si="506"/>
        <v>4645326</v>
      </c>
      <c r="P1185" s="464">
        <f t="shared" si="506"/>
        <v>4917342</v>
      </c>
      <c r="Q1185" s="464">
        <f t="shared" si="506"/>
        <v>4897044</v>
      </c>
      <c r="R1185" s="464">
        <f t="shared" si="506"/>
        <v>5143209</v>
      </c>
      <c r="S1185" s="464">
        <f t="shared" si="506"/>
        <v>5381113</v>
      </c>
      <c r="T1185" s="464">
        <f t="shared" si="506"/>
        <v>5306664</v>
      </c>
      <c r="U1185" s="347"/>
    </row>
    <row r="1186" spans="1:22" s="460" customFormat="1" ht="24" customHeight="1">
      <c r="F1186" s="784" t="s">
        <v>1139</v>
      </c>
      <c r="G1186" s="784"/>
      <c r="H1186" s="784"/>
      <c r="I1186" s="784"/>
      <c r="J1186" s="784"/>
      <c r="K1186" s="784"/>
      <c r="L1186" s="228">
        <f t="shared" ref="L1186:T1186" si="507">L429+L432+L488+L502+L539+L643+L628+L631+L634+L637+L640+L715+L718+L721+L724+L727+L971+L974+L977+L1027+L1030+L625+L536</f>
        <v>3115137</v>
      </c>
      <c r="M1186" s="228">
        <f t="shared" si="507"/>
        <v>3019691</v>
      </c>
      <c r="N1186" s="466">
        <f t="shared" si="507"/>
        <v>3123664</v>
      </c>
      <c r="O1186" s="466">
        <f t="shared" si="507"/>
        <v>3121245</v>
      </c>
      <c r="P1186" s="228">
        <f t="shared" si="507"/>
        <v>3356544</v>
      </c>
      <c r="Q1186" s="228">
        <f t="shared" si="507"/>
        <v>3513960</v>
      </c>
      <c r="R1186" s="228">
        <f t="shared" si="507"/>
        <v>3879497</v>
      </c>
      <c r="S1186" s="228">
        <f t="shared" si="507"/>
        <v>4251527</v>
      </c>
      <c r="T1186" s="228">
        <f t="shared" si="507"/>
        <v>4335882</v>
      </c>
      <c r="U1186" s="347"/>
    </row>
    <row r="1187" spans="1:22" s="460" customFormat="1" ht="24" customHeight="1">
      <c r="F1187" s="784" t="s">
        <v>1140</v>
      </c>
      <c r="G1187" s="784"/>
      <c r="H1187" s="784"/>
      <c r="I1187" s="784"/>
      <c r="J1187" s="784"/>
      <c r="K1187" s="784"/>
      <c r="L1187" s="228">
        <f t="shared" ref="L1187:T1187" si="508">L430+L489+L503+L540+L644+L629+L632+L635+L638+L641+L716+L719+L722+L725+L728+L972+L975+L978+L1028+L1031+L626+L537</f>
        <v>1577858</v>
      </c>
      <c r="M1187" s="228">
        <f t="shared" si="508"/>
        <v>1454626</v>
      </c>
      <c r="N1187" s="466">
        <f t="shared" si="508"/>
        <v>1607097</v>
      </c>
      <c r="O1187" s="466">
        <f t="shared" si="508"/>
        <v>1524081</v>
      </c>
      <c r="P1187" s="228">
        <f t="shared" si="508"/>
        <v>1560798</v>
      </c>
      <c r="Q1187" s="228">
        <f t="shared" si="508"/>
        <v>1383084</v>
      </c>
      <c r="R1187" s="228">
        <f t="shared" si="508"/>
        <v>1263712</v>
      </c>
      <c r="S1187" s="228">
        <f t="shared" si="508"/>
        <v>1129586</v>
      </c>
      <c r="T1187" s="228">
        <f t="shared" si="508"/>
        <v>970782</v>
      </c>
      <c r="U1187" s="347"/>
      <c r="V1187" s="713"/>
    </row>
    <row r="1188" spans="1:22" s="515" customFormat="1" ht="24" customHeight="1">
      <c r="F1188" s="516"/>
      <c r="G1188" s="516"/>
      <c r="H1188" s="516"/>
      <c r="I1188" s="516"/>
      <c r="J1188" s="516"/>
      <c r="K1188" s="516"/>
      <c r="L1188" s="228"/>
      <c r="M1188" s="228"/>
      <c r="N1188" s="466"/>
      <c r="O1188" s="466"/>
      <c r="P1188" s="228"/>
      <c r="Q1188" s="228"/>
      <c r="R1188" s="228"/>
      <c r="S1188" s="228"/>
      <c r="T1188" s="228"/>
      <c r="U1188" s="347"/>
      <c r="V1188" s="713"/>
    </row>
    <row r="1189" spans="1:22" s="215" customFormat="1" ht="24" customHeight="1">
      <c r="L1189" s="231"/>
      <c r="M1189" s="231"/>
      <c r="N1189" s="232"/>
      <c r="O1189" s="232"/>
      <c r="P1189" s="231"/>
      <c r="Q1189" s="231"/>
      <c r="R1189" s="231"/>
      <c r="S1189" s="231"/>
      <c r="T1189" s="231"/>
      <c r="U1189" s="470"/>
      <c r="V1189" s="713"/>
    </row>
    <row r="1190" spans="1:22" s="281" customFormat="1" ht="24" customHeight="1">
      <c r="G1190" s="287" t="s">
        <v>1072</v>
      </c>
      <c r="H1190" s="420"/>
      <c r="I1190" s="420"/>
      <c r="J1190" s="420"/>
      <c r="L1190" s="307">
        <f t="shared" ref="L1190:T1190" si="509">L36+L377</f>
        <v>116182</v>
      </c>
      <c r="M1190" s="307">
        <f t="shared" si="509"/>
        <v>123702</v>
      </c>
      <c r="N1190" s="236">
        <f t="shared" si="509"/>
        <v>150000</v>
      </c>
      <c r="O1190" s="236">
        <f t="shared" si="509"/>
        <v>125000</v>
      </c>
      <c r="P1190" s="307">
        <f t="shared" si="509"/>
        <v>130000</v>
      </c>
      <c r="Q1190" s="307">
        <f t="shared" si="509"/>
        <v>175000</v>
      </c>
      <c r="R1190" s="307">
        <f t="shared" si="509"/>
        <v>175000</v>
      </c>
      <c r="S1190" s="307">
        <f t="shared" si="509"/>
        <v>175000</v>
      </c>
      <c r="T1190" s="307">
        <f t="shared" si="509"/>
        <v>175000</v>
      </c>
      <c r="U1190" s="421"/>
      <c r="V1190" s="714"/>
    </row>
    <row r="1191" spans="1:22" s="281" customFormat="1" ht="24" customHeight="1">
      <c r="G1191" s="287"/>
      <c r="H1191" s="420"/>
      <c r="I1191" s="420"/>
      <c r="J1191" s="420"/>
      <c r="L1191" s="307"/>
      <c r="M1191" s="307"/>
      <c r="N1191" s="236"/>
      <c r="O1191" s="236"/>
      <c r="P1191" s="307"/>
      <c r="Q1191" s="307"/>
      <c r="R1191" s="307"/>
      <c r="S1191" s="307"/>
      <c r="T1191" s="307"/>
      <c r="U1191" s="421"/>
      <c r="V1191" s="714"/>
    </row>
    <row r="1192" spans="1:22" s="322" customFormat="1" ht="24" customHeight="1">
      <c r="G1192" s="323"/>
      <c r="H1192" s="324"/>
      <c r="I1192" s="324"/>
      <c r="J1192" s="324"/>
      <c r="L1192" s="325"/>
      <c r="M1192" s="325"/>
      <c r="N1192" s="429"/>
      <c r="O1192" s="429"/>
      <c r="P1192" s="325"/>
      <c r="Q1192" s="325"/>
      <c r="R1192" s="325"/>
      <c r="S1192" s="325"/>
      <c r="T1192" s="325"/>
      <c r="U1192" s="348"/>
    </row>
    <row r="1193" spans="1:22" s="318" customFormat="1" ht="24" customHeight="1">
      <c r="A1193" s="768" t="s">
        <v>1209</v>
      </c>
      <c r="B1193" s="768"/>
      <c r="C1193" s="768"/>
      <c r="D1193" s="768"/>
      <c r="E1193" s="768"/>
      <c r="F1193" s="768"/>
      <c r="G1193" s="768"/>
      <c r="H1193" s="768"/>
      <c r="I1193" s="768"/>
      <c r="J1193" s="768"/>
      <c r="K1193" s="768"/>
      <c r="L1193" s="321"/>
      <c r="M1193" s="321"/>
      <c r="N1193" s="319"/>
      <c r="O1193" s="319"/>
      <c r="P1193" s="319"/>
      <c r="Q1193" s="319"/>
      <c r="R1193" s="319"/>
      <c r="S1193" s="319"/>
      <c r="T1193" s="319"/>
      <c r="U1193" s="469"/>
    </row>
    <row r="1194" spans="1:22" s="215" customFormat="1" ht="24" customHeight="1">
      <c r="I1194" s="785" t="s">
        <v>752</v>
      </c>
      <c r="J1194" s="785"/>
      <c r="K1194" s="285" t="s">
        <v>775</v>
      </c>
      <c r="L1194" s="231"/>
      <c r="M1194" s="231"/>
      <c r="N1194" s="232"/>
      <c r="O1194" s="232"/>
      <c r="P1194" s="231"/>
      <c r="Q1194" s="231"/>
      <c r="R1194" s="231"/>
      <c r="S1194" s="231"/>
      <c r="T1194" s="231"/>
      <c r="U1194" s="470"/>
    </row>
    <row r="1195" spans="1:22" s="215" customFormat="1" ht="24" customHeight="1">
      <c r="K1195" s="215" t="s">
        <v>884</v>
      </c>
      <c r="L1195" s="231">
        <f t="shared" ref="L1195:T1195" si="510">L67+L101+L122+L123+L124+L125+L166+L194+L572+L675+L793+L820</f>
        <v>4266622</v>
      </c>
      <c r="M1195" s="231">
        <f t="shared" si="510"/>
        <v>4683803</v>
      </c>
      <c r="N1195" s="232">
        <f t="shared" si="510"/>
        <v>5041650</v>
      </c>
      <c r="O1195" s="232">
        <f t="shared" si="510"/>
        <v>5041650</v>
      </c>
      <c r="P1195" s="231">
        <f t="shared" si="510"/>
        <v>5228141</v>
      </c>
      <c r="Q1195" s="231">
        <f t="shared" si="510"/>
        <v>5407728</v>
      </c>
      <c r="R1195" s="231">
        <f t="shared" si="510"/>
        <v>5569961</v>
      </c>
      <c r="S1195" s="231">
        <f t="shared" si="510"/>
        <v>5737060</v>
      </c>
      <c r="T1195" s="231">
        <f t="shared" si="510"/>
        <v>5909172</v>
      </c>
      <c r="U1195" s="470"/>
    </row>
    <row r="1196" spans="1:22" s="215" customFormat="1" ht="24" customHeight="1">
      <c r="K1196" s="215" t="s">
        <v>885</v>
      </c>
      <c r="L1196" s="231">
        <f t="shared" ref="L1196:T1196" si="511">L69+L128+L196+L574+L676+L795+L234</f>
        <v>131899</v>
      </c>
      <c r="M1196" s="231">
        <f t="shared" si="511"/>
        <v>95748</v>
      </c>
      <c r="N1196" s="232">
        <f t="shared" si="511"/>
        <v>144000</v>
      </c>
      <c r="O1196" s="232">
        <f t="shared" si="511"/>
        <v>146329</v>
      </c>
      <c r="P1196" s="231">
        <f t="shared" si="511"/>
        <v>144000</v>
      </c>
      <c r="Q1196" s="231">
        <f t="shared" si="511"/>
        <v>144000</v>
      </c>
      <c r="R1196" s="231">
        <f t="shared" si="511"/>
        <v>144000</v>
      </c>
      <c r="S1196" s="231">
        <f t="shared" si="511"/>
        <v>144000</v>
      </c>
      <c r="T1196" s="231">
        <f t="shared" si="511"/>
        <v>144000</v>
      </c>
      <c r="U1196" s="470"/>
    </row>
    <row r="1197" spans="1:22" s="215" customFormat="1" ht="24" customHeight="1">
      <c r="K1197" s="215" t="s">
        <v>886</v>
      </c>
      <c r="L1197" s="268">
        <f t="shared" ref="L1197:T1197" si="512">L62+L63+L64+L65+L66+L126+L127+L167+L794+L822+L823+L824+L881+L882+L68+L573+L821+L195</f>
        <v>270309</v>
      </c>
      <c r="M1197" s="268">
        <f t="shared" si="512"/>
        <v>258826</v>
      </c>
      <c r="N1197" s="267">
        <f t="shared" si="512"/>
        <v>407400</v>
      </c>
      <c r="O1197" s="267">
        <f t="shared" si="512"/>
        <v>401900</v>
      </c>
      <c r="P1197" s="268">
        <f t="shared" si="512"/>
        <v>393089</v>
      </c>
      <c r="Q1197" s="268">
        <f t="shared" si="512"/>
        <v>418294</v>
      </c>
      <c r="R1197" s="268">
        <f t="shared" si="512"/>
        <v>417833</v>
      </c>
      <c r="S1197" s="268">
        <f t="shared" si="512"/>
        <v>417354</v>
      </c>
      <c r="T1197" s="268">
        <f t="shared" si="512"/>
        <v>416856</v>
      </c>
      <c r="U1197" s="470"/>
      <c r="V1197" s="713"/>
    </row>
    <row r="1198" spans="1:22" s="285" customFormat="1" ht="24" customHeight="1">
      <c r="K1198" s="285" t="s">
        <v>862</v>
      </c>
      <c r="L1198" s="233">
        <f>SUM(L1195:L1197)</f>
        <v>4668830</v>
      </c>
      <c r="M1198" s="233">
        <f>SUM(M1195:M1197)</f>
        <v>5038377</v>
      </c>
      <c r="N1198" s="234">
        <f t="shared" ref="N1198:O1198" si="513">SUM(N1195:N1197)</f>
        <v>5593050</v>
      </c>
      <c r="O1198" s="234">
        <f t="shared" si="513"/>
        <v>5589879</v>
      </c>
      <c r="P1198" s="233">
        <f t="shared" ref="P1198:R1198" si="514">SUM(P1195:P1197)</f>
        <v>5765230</v>
      </c>
      <c r="Q1198" s="233">
        <f t="shared" si="514"/>
        <v>5970022</v>
      </c>
      <c r="R1198" s="233">
        <f t="shared" si="514"/>
        <v>6131794</v>
      </c>
      <c r="S1198" s="233">
        <f>SUM(S1195:S1197)</f>
        <v>6298414</v>
      </c>
      <c r="T1198" s="233">
        <f>SUM(T1195:T1197)</f>
        <v>6470028</v>
      </c>
      <c r="U1198" s="468"/>
    </row>
    <row r="1199" spans="1:22" s="215" customFormat="1" ht="24" customHeight="1">
      <c r="L1199" s="231"/>
      <c r="M1199" s="231"/>
      <c r="N1199" s="232"/>
      <c r="O1199" s="232"/>
      <c r="P1199" s="231"/>
      <c r="Q1199" s="231"/>
      <c r="R1199" s="231"/>
      <c r="S1199" s="231"/>
      <c r="T1199" s="231"/>
      <c r="U1199" s="470"/>
      <c r="V1199" s="713"/>
    </row>
    <row r="1200" spans="1:22" s="215" customFormat="1" ht="24" customHeight="1">
      <c r="I1200" s="773" t="s">
        <v>754</v>
      </c>
      <c r="J1200" s="773"/>
      <c r="K1200" s="285" t="s">
        <v>775</v>
      </c>
      <c r="L1200" s="231"/>
      <c r="M1200" s="231"/>
      <c r="N1200" s="232"/>
      <c r="O1200" s="232"/>
      <c r="P1200" s="231"/>
      <c r="Q1200" s="231"/>
      <c r="R1200" s="231"/>
      <c r="S1200" s="231"/>
      <c r="T1200" s="231"/>
      <c r="U1200" s="470"/>
      <c r="V1200" s="713"/>
    </row>
    <row r="1201" spans="1:22" s="215" customFormat="1" ht="24" customHeight="1">
      <c r="K1201" s="215" t="s">
        <v>884</v>
      </c>
      <c r="L1201" s="231">
        <f t="shared" ref="L1201:T1201" si="515">L922</f>
        <v>245323</v>
      </c>
      <c r="M1201" s="231">
        <f t="shared" si="515"/>
        <v>210198</v>
      </c>
      <c r="N1201" s="232">
        <f t="shared" si="515"/>
        <v>202860</v>
      </c>
      <c r="O1201" s="232">
        <f t="shared" si="515"/>
        <v>202860</v>
      </c>
      <c r="P1201" s="231">
        <f t="shared" si="515"/>
        <v>217309</v>
      </c>
      <c r="Q1201" s="231">
        <f t="shared" si="515"/>
        <v>224774</v>
      </c>
      <c r="R1201" s="231">
        <f t="shared" si="515"/>
        <v>231517</v>
      </c>
      <c r="S1201" s="231">
        <f t="shared" si="515"/>
        <v>238463</v>
      </c>
      <c r="T1201" s="231">
        <f t="shared" si="515"/>
        <v>245617</v>
      </c>
      <c r="U1201" s="470"/>
      <c r="V1201" s="713"/>
    </row>
    <row r="1202" spans="1:22" s="215" customFormat="1" ht="24" customHeight="1">
      <c r="K1202" s="215" t="s">
        <v>886</v>
      </c>
      <c r="L1202" s="268">
        <f t="shared" ref="L1202:T1202" si="516">L923</f>
        <v>169202</v>
      </c>
      <c r="M1202" s="268">
        <f t="shared" si="516"/>
        <v>189871</v>
      </c>
      <c r="N1202" s="276">
        <f t="shared" si="516"/>
        <v>195000</v>
      </c>
      <c r="O1202" s="276">
        <f t="shared" si="516"/>
        <v>195000</v>
      </c>
      <c r="P1202" s="275">
        <f t="shared" si="516"/>
        <v>201825</v>
      </c>
      <c r="Q1202" s="275">
        <f t="shared" si="516"/>
        <v>208758</v>
      </c>
      <c r="R1202" s="275">
        <f t="shared" si="516"/>
        <v>215021</v>
      </c>
      <c r="S1202" s="275">
        <f t="shared" si="516"/>
        <v>221472</v>
      </c>
      <c r="T1202" s="275">
        <f t="shared" si="516"/>
        <v>228116</v>
      </c>
      <c r="U1202" s="470"/>
      <c r="V1202" s="713"/>
    </row>
    <row r="1203" spans="1:22" s="285" customFormat="1" ht="24" customHeight="1">
      <c r="K1203" s="285" t="s">
        <v>862</v>
      </c>
      <c r="L1203" s="233">
        <f>SUM(L1201:L1202)</f>
        <v>414525</v>
      </c>
      <c r="M1203" s="233">
        <f>SUM(M1201:M1202)</f>
        <v>400069</v>
      </c>
      <c r="N1203" s="234">
        <f t="shared" ref="N1203:O1203" si="517">SUM(N1201:N1202)</f>
        <v>397860</v>
      </c>
      <c r="O1203" s="234">
        <f t="shared" si="517"/>
        <v>397860</v>
      </c>
      <c r="P1203" s="233">
        <f t="shared" ref="P1203:R1203" si="518">SUM(P1201:P1202)</f>
        <v>419134</v>
      </c>
      <c r="Q1203" s="233">
        <f t="shared" si="518"/>
        <v>433532</v>
      </c>
      <c r="R1203" s="233">
        <f t="shared" si="518"/>
        <v>446538</v>
      </c>
      <c r="S1203" s="233">
        <f>SUM(S1201:S1202)</f>
        <v>459935</v>
      </c>
      <c r="T1203" s="233">
        <f>SUM(T1201:T1202)</f>
        <v>473733</v>
      </c>
      <c r="U1203" s="468"/>
    </row>
    <row r="1204" spans="1:22" s="215" customFormat="1" ht="24" customHeight="1">
      <c r="L1204" s="231"/>
      <c r="M1204" s="231"/>
      <c r="N1204" s="232"/>
      <c r="O1204" s="232"/>
      <c r="P1204" s="231"/>
      <c r="Q1204" s="231"/>
      <c r="R1204" s="231"/>
      <c r="S1204" s="231"/>
      <c r="T1204" s="231"/>
      <c r="U1204" s="470"/>
      <c r="V1204" s="713"/>
    </row>
    <row r="1205" spans="1:22" s="215" customFormat="1" ht="24" customHeight="1">
      <c r="I1205" s="773" t="s">
        <v>862</v>
      </c>
      <c r="J1205" s="773"/>
      <c r="K1205" s="285" t="s">
        <v>775</v>
      </c>
      <c r="L1205" s="231"/>
      <c r="M1205" s="231"/>
      <c r="N1205" s="232"/>
      <c r="O1205" s="232"/>
      <c r="P1205" s="231"/>
      <c r="Q1205" s="231"/>
      <c r="R1205" s="231"/>
      <c r="S1205" s="231"/>
      <c r="T1205" s="231"/>
      <c r="U1205" s="470"/>
      <c r="V1205" s="713"/>
    </row>
    <row r="1206" spans="1:22" s="215" customFormat="1" ht="24" customHeight="1">
      <c r="K1206" s="215" t="s">
        <v>884</v>
      </c>
      <c r="L1206" s="231">
        <f t="shared" ref="L1206:T1206" si="519">L1195+L1201</f>
        <v>4511945</v>
      </c>
      <c r="M1206" s="231">
        <f t="shared" si="519"/>
        <v>4894001</v>
      </c>
      <c r="N1206" s="232">
        <f t="shared" si="519"/>
        <v>5244510</v>
      </c>
      <c r="O1206" s="232">
        <f t="shared" si="519"/>
        <v>5244510</v>
      </c>
      <c r="P1206" s="231">
        <f t="shared" si="519"/>
        <v>5445450</v>
      </c>
      <c r="Q1206" s="231">
        <f t="shared" si="519"/>
        <v>5632502</v>
      </c>
      <c r="R1206" s="231">
        <f t="shared" si="519"/>
        <v>5801478</v>
      </c>
      <c r="S1206" s="231">
        <f t="shared" si="519"/>
        <v>5975523</v>
      </c>
      <c r="T1206" s="231">
        <f t="shared" si="519"/>
        <v>6154789</v>
      </c>
      <c r="U1206" s="470"/>
      <c r="V1206" s="713"/>
    </row>
    <row r="1207" spans="1:22" s="215" customFormat="1" ht="24" customHeight="1">
      <c r="K1207" s="215" t="s">
        <v>885</v>
      </c>
      <c r="L1207" s="231">
        <f t="shared" ref="L1207:T1207" si="520">L1196</f>
        <v>131899</v>
      </c>
      <c r="M1207" s="231">
        <f t="shared" si="520"/>
        <v>95748</v>
      </c>
      <c r="N1207" s="232">
        <f t="shared" si="520"/>
        <v>144000</v>
      </c>
      <c r="O1207" s="232">
        <f t="shared" si="520"/>
        <v>146329</v>
      </c>
      <c r="P1207" s="231">
        <f t="shared" si="520"/>
        <v>144000</v>
      </c>
      <c r="Q1207" s="231">
        <f t="shared" si="520"/>
        <v>144000</v>
      </c>
      <c r="R1207" s="231">
        <f t="shared" si="520"/>
        <v>144000</v>
      </c>
      <c r="S1207" s="231">
        <f t="shared" si="520"/>
        <v>144000</v>
      </c>
      <c r="T1207" s="231">
        <f t="shared" si="520"/>
        <v>144000</v>
      </c>
      <c r="U1207" s="470"/>
      <c r="V1207" s="713"/>
    </row>
    <row r="1208" spans="1:22" s="215" customFormat="1" ht="24" customHeight="1">
      <c r="K1208" s="215" t="s">
        <v>886</v>
      </c>
      <c r="L1208" s="268">
        <f t="shared" ref="L1208:T1208" si="521">L1197+L1202</f>
        <v>439511</v>
      </c>
      <c r="M1208" s="268">
        <f t="shared" si="521"/>
        <v>448697</v>
      </c>
      <c r="N1208" s="267">
        <f t="shared" si="521"/>
        <v>602400</v>
      </c>
      <c r="O1208" s="267">
        <f t="shared" si="521"/>
        <v>596900</v>
      </c>
      <c r="P1208" s="268">
        <f t="shared" si="521"/>
        <v>594914</v>
      </c>
      <c r="Q1208" s="268">
        <f t="shared" si="521"/>
        <v>627052</v>
      </c>
      <c r="R1208" s="268">
        <f t="shared" si="521"/>
        <v>632854</v>
      </c>
      <c r="S1208" s="268">
        <f t="shared" si="521"/>
        <v>638826</v>
      </c>
      <c r="T1208" s="268">
        <f t="shared" si="521"/>
        <v>644972</v>
      </c>
      <c r="U1208" s="470"/>
      <c r="V1208" s="713"/>
    </row>
    <row r="1209" spans="1:22" s="285" customFormat="1" ht="24" customHeight="1">
      <c r="K1209" s="285" t="s">
        <v>862</v>
      </c>
      <c r="L1209" s="233">
        <f>SUM(L1206:L1208)</f>
        <v>5083355</v>
      </c>
      <c r="M1209" s="233">
        <f>SUM(M1206:M1208)</f>
        <v>5438446</v>
      </c>
      <c r="N1209" s="234">
        <f t="shared" ref="N1209:O1209" si="522">SUM(N1206:N1208)</f>
        <v>5990910</v>
      </c>
      <c r="O1209" s="234">
        <f t="shared" si="522"/>
        <v>5987739</v>
      </c>
      <c r="P1209" s="233">
        <f t="shared" ref="P1209:R1209" si="523">SUM(P1206:P1208)</f>
        <v>6184364</v>
      </c>
      <c r="Q1209" s="233">
        <f t="shared" si="523"/>
        <v>6403554</v>
      </c>
      <c r="R1209" s="233">
        <f t="shared" si="523"/>
        <v>6578332</v>
      </c>
      <c r="S1209" s="233">
        <f>SUM(S1206:S1208)</f>
        <v>6758349</v>
      </c>
      <c r="T1209" s="233">
        <f>SUM(T1206:T1208)</f>
        <v>6943761</v>
      </c>
      <c r="U1209" s="468"/>
    </row>
    <row r="1210" spans="1:22" s="322" customFormat="1" ht="24" customHeight="1">
      <c r="L1210" s="517"/>
      <c r="M1210" s="517"/>
      <c r="N1210" s="576"/>
      <c r="O1210" s="576"/>
      <c r="P1210" s="517"/>
      <c r="Q1210" s="517"/>
      <c r="R1210" s="517"/>
      <c r="S1210" s="517"/>
      <c r="T1210" s="517"/>
      <c r="U1210" s="447"/>
      <c r="V1210" s="518"/>
    </row>
    <row r="1211" spans="1:22" s="318" customFormat="1" ht="24" customHeight="1">
      <c r="A1211" s="768" t="s">
        <v>1320</v>
      </c>
      <c r="B1211" s="768"/>
      <c r="C1211" s="768"/>
      <c r="D1211" s="768"/>
      <c r="E1211" s="768"/>
      <c r="F1211" s="768"/>
      <c r="G1211" s="768"/>
      <c r="H1211" s="768"/>
      <c r="I1211" s="768"/>
      <c r="J1211" s="768"/>
      <c r="K1211" s="768"/>
      <c r="L1211" s="321"/>
      <c r="M1211" s="321"/>
      <c r="N1211" s="319"/>
      <c r="O1211" s="319"/>
      <c r="P1211" s="319"/>
      <c r="Q1211" s="319"/>
      <c r="R1211" s="319"/>
      <c r="S1211" s="319"/>
      <c r="T1211" s="319"/>
      <c r="U1211" s="514"/>
    </row>
    <row r="1212" spans="1:22" s="322" customFormat="1" ht="24" customHeight="1">
      <c r="I1212" s="785" t="s">
        <v>752</v>
      </c>
      <c r="J1212" s="785"/>
      <c r="K1212" s="285" t="s">
        <v>776</v>
      </c>
      <c r="L1212" s="517"/>
      <c r="M1212" s="517"/>
      <c r="N1212" s="576"/>
      <c r="O1212" s="576"/>
      <c r="P1212" s="517"/>
      <c r="Q1212" s="517"/>
      <c r="R1212" s="517"/>
      <c r="S1212" s="517"/>
      <c r="T1212" s="517"/>
      <c r="U1212" s="447"/>
      <c r="V1212" s="518"/>
    </row>
    <row r="1213" spans="1:22" s="322" customFormat="1" ht="24" customHeight="1">
      <c r="I1213" s="515"/>
      <c r="J1213" s="515"/>
      <c r="K1213" s="515" t="s">
        <v>1321</v>
      </c>
      <c r="L1213" s="228">
        <f t="shared" ref="L1213:T1213" si="524">L70+L102+L129+L168+L197+L575+L677+L796+L825+L883</f>
        <v>263218</v>
      </c>
      <c r="M1213" s="228">
        <f t="shared" si="524"/>
        <v>286165</v>
      </c>
      <c r="N1213" s="466">
        <f t="shared" si="524"/>
        <v>305832</v>
      </c>
      <c r="O1213" s="466">
        <f t="shared" si="524"/>
        <v>305832</v>
      </c>
      <c r="P1213" s="228">
        <f t="shared" si="524"/>
        <v>294981</v>
      </c>
      <c r="Q1213" s="228">
        <f t="shared" si="524"/>
        <v>311977</v>
      </c>
      <c r="R1213" s="228">
        <f t="shared" si="524"/>
        <v>334142</v>
      </c>
      <c r="S1213" s="228">
        <f t="shared" si="524"/>
        <v>357942</v>
      </c>
      <c r="T1213" s="228">
        <f t="shared" si="524"/>
        <v>383167</v>
      </c>
      <c r="U1213" s="447"/>
      <c r="V1213" s="518"/>
    </row>
    <row r="1214" spans="1:22" s="322" customFormat="1" ht="24" customHeight="1">
      <c r="I1214" s="515"/>
      <c r="J1214" s="515"/>
      <c r="K1214" s="515" t="s">
        <v>1069</v>
      </c>
      <c r="L1214" s="228">
        <f t="shared" ref="L1214:T1214" si="525">L130</f>
        <v>524120</v>
      </c>
      <c r="M1214" s="228">
        <f t="shared" si="525"/>
        <v>624168</v>
      </c>
      <c r="N1214" s="466">
        <f t="shared" si="525"/>
        <v>728477</v>
      </c>
      <c r="O1214" s="466">
        <f t="shared" si="525"/>
        <v>722940</v>
      </c>
      <c r="P1214" s="228">
        <f t="shared" si="525"/>
        <v>825413</v>
      </c>
      <c r="Q1214" s="228">
        <f t="shared" si="525"/>
        <v>875413</v>
      </c>
      <c r="R1214" s="228">
        <f t="shared" si="525"/>
        <v>925413</v>
      </c>
      <c r="S1214" s="228">
        <f t="shared" si="525"/>
        <v>975413</v>
      </c>
      <c r="T1214" s="228">
        <f t="shared" si="525"/>
        <v>1025413</v>
      </c>
      <c r="U1214" s="447"/>
      <c r="V1214" s="518"/>
    </row>
    <row r="1215" spans="1:22" s="322" customFormat="1" ht="24" customHeight="1">
      <c r="I1215" s="515"/>
      <c r="J1215" s="515"/>
      <c r="K1215" s="515" t="s">
        <v>1322</v>
      </c>
      <c r="L1215" s="510">
        <f t="shared" ref="L1215:T1215" si="526">L71+L103+L131+L169+L198+L576+L678+L797+L826+L884</f>
        <v>343329</v>
      </c>
      <c r="M1215" s="510">
        <f t="shared" si="526"/>
        <v>369532</v>
      </c>
      <c r="N1215" s="577">
        <f t="shared" si="526"/>
        <v>418002</v>
      </c>
      <c r="O1215" s="577">
        <f t="shared" si="526"/>
        <v>418002</v>
      </c>
      <c r="P1215" s="510">
        <f t="shared" si="526"/>
        <v>428199</v>
      </c>
      <c r="Q1215" s="510">
        <f t="shared" si="526"/>
        <v>444606</v>
      </c>
      <c r="R1215" s="510">
        <f t="shared" si="526"/>
        <v>457944</v>
      </c>
      <c r="S1215" s="510">
        <f t="shared" si="526"/>
        <v>471682</v>
      </c>
      <c r="T1215" s="510">
        <f t="shared" si="526"/>
        <v>485833</v>
      </c>
      <c r="U1215" s="447"/>
      <c r="V1215" s="518"/>
    </row>
    <row r="1216" spans="1:22" s="322" customFormat="1" ht="24" customHeight="1">
      <c r="I1216" s="285"/>
      <c r="J1216" s="285"/>
      <c r="K1216" s="285" t="s">
        <v>862</v>
      </c>
      <c r="L1216" s="307">
        <f>SUM(L1213:L1215)</f>
        <v>1130667</v>
      </c>
      <c r="M1216" s="307">
        <f t="shared" ref="M1216:T1216" si="527">SUM(M1213:M1215)</f>
        <v>1279865</v>
      </c>
      <c r="N1216" s="236">
        <f t="shared" si="527"/>
        <v>1452311</v>
      </c>
      <c r="O1216" s="236">
        <f t="shared" si="527"/>
        <v>1446774</v>
      </c>
      <c r="P1216" s="307">
        <f t="shared" si="527"/>
        <v>1548593</v>
      </c>
      <c r="Q1216" s="307">
        <f t="shared" si="527"/>
        <v>1631996</v>
      </c>
      <c r="R1216" s="307">
        <f t="shared" si="527"/>
        <v>1717499</v>
      </c>
      <c r="S1216" s="307">
        <f t="shared" si="527"/>
        <v>1805037</v>
      </c>
      <c r="T1216" s="307">
        <f t="shared" si="527"/>
        <v>1894413</v>
      </c>
      <c r="U1216" s="447"/>
      <c r="V1216" s="518"/>
    </row>
    <row r="1217" spans="1:23" s="322" customFormat="1" ht="24" customHeight="1">
      <c r="I1217" s="515"/>
      <c r="J1217" s="515"/>
      <c r="K1217" s="515"/>
      <c r="L1217" s="228"/>
      <c r="M1217" s="228"/>
      <c r="N1217" s="466"/>
      <c r="O1217" s="466"/>
      <c r="P1217" s="228"/>
      <c r="Q1217" s="228"/>
      <c r="R1217" s="228"/>
      <c r="S1217" s="228"/>
      <c r="T1217" s="228"/>
      <c r="U1217" s="447"/>
      <c r="V1217" s="518"/>
    </row>
    <row r="1218" spans="1:23" s="322" customFormat="1" ht="24" customHeight="1">
      <c r="I1218" s="773" t="s">
        <v>754</v>
      </c>
      <c r="J1218" s="773"/>
      <c r="K1218" s="285" t="s">
        <v>776</v>
      </c>
      <c r="L1218" s="228"/>
      <c r="M1218" s="228"/>
      <c r="N1218" s="466"/>
      <c r="O1218" s="466"/>
      <c r="P1218" s="228"/>
      <c r="Q1218" s="228"/>
      <c r="R1218" s="228"/>
      <c r="S1218" s="228"/>
      <c r="T1218" s="228"/>
      <c r="U1218" s="447"/>
      <c r="V1218" s="518"/>
    </row>
    <row r="1219" spans="1:23" s="322" customFormat="1" ht="24" customHeight="1">
      <c r="I1219" s="515"/>
      <c r="J1219" s="515"/>
      <c r="K1219" s="515" t="s">
        <v>1321</v>
      </c>
      <c r="L1219" s="228">
        <f t="shared" ref="L1219:T1219" si="528">L924</f>
        <v>27138</v>
      </c>
      <c r="M1219" s="228">
        <f t="shared" si="528"/>
        <v>23897</v>
      </c>
      <c r="N1219" s="466">
        <f t="shared" si="528"/>
        <v>22569</v>
      </c>
      <c r="O1219" s="466">
        <f t="shared" si="528"/>
        <v>22569</v>
      </c>
      <c r="P1219" s="228">
        <f t="shared" si="528"/>
        <v>23470</v>
      </c>
      <c r="Q1219" s="228">
        <f t="shared" si="528"/>
        <v>25175</v>
      </c>
      <c r="R1219" s="228">
        <f t="shared" si="528"/>
        <v>25930</v>
      </c>
      <c r="S1219" s="228">
        <f t="shared" si="528"/>
        <v>26708</v>
      </c>
      <c r="T1219" s="228">
        <f t="shared" si="528"/>
        <v>27509</v>
      </c>
      <c r="U1219" s="447"/>
      <c r="V1219" s="518"/>
    </row>
    <row r="1220" spans="1:23" s="322" customFormat="1" ht="24" customHeight="1">
      <c r="I1220" s="515"/>
      <c r="J1220" s="515"/>
      <c r="K1220" s="515" t="s">
        <v>1322</v>
      </c>
      <c r="L1220" s="510">
        <f t="shared" ref="L1220:T1220" si="529">L925</f>
        <v>30993</v>
      </c>
      <c r="M1220" s="510">
        <f t="shared" si="529"/>
        <v>29991</v>
      </c>
      <c r="N1220" s="577">
        <f t="shared" si="529"/>
        <v>29849</v>
      </c>
      <c r="O1220" s="577">
        <f t="shared" si="529"/>
        <v>29849</v>
      </c>
      <c r="P1220" s="510">
        <f t="shared" si="529"/>
        <v>31448</v>
      </c>
      <c r="Q1220" s="510">
        <f t="shared" si="529"/>
        <v>32528</v>
      </c>
      <c r="R1220" s="510">
        <f t="shared" si="529"/>
        <v>33504</v>
      </c>
      <c r="S1220" s="510">
        <f t="shared" si="529"/>
        <v>34509</v>
      </c>
      <c r="T1220" s="510">
        <f t="shared" si="529"/>
        <v>35544</v>
      </c>
      <c r="U1220" s="447"/>
      <c r="V1220" s="518"/>
    </row>
    <row r="1221" spans="1:23" s="322" customFormat="1" ht="24" customHeight="1">
      <c r="I1221" s="285"/>
      <c r="J1221" s="285"/>
      <c r="K1221" s="285" t="s">
        <v>862</v>
      </c>
      <c r="L1221" s="307">
        <f>SUM(L1219:L1220)</f>
        <v>58131</v>
      </c>
      <c r="M1221" s="307">
        <f t="shared" ref="M1221:T1221" si="530">SUM(M1219:M1220)</f>
        <v>53888</v>
      </c>
      <c r="N1221" s="236">
        <f t="shared" si="530"/>
        <v>52418</v>
      </c>
      <c r="O1221" s="236">
        <f t="shared" si="530"/>
        <v>52418</v>
      </c>
      <c r="P1221" s="307">
        <f t="shared" si="530"/>
        <v>54918</v>
      </c>
      <c r="Q1221" s="307">
        <f t="shared" si="530"/>
        <v>57703</v>
      </c>
      <c r="R1221" s="307">
        <f t="shared" si="530"/>
        <v>59434</v>
      </c>
      <c r="S1221" s="307">
        <f t="shared" si="530"/>
        <v>61217</v>
      </c>
      <c r="T1221" s="307">
        <f t="shared" si="530"/>
        <v>63053</v>
      </c>
      <c r="U1221" s="447"/>
      <c r="V1221" s="518"/>
    </row>
    <row r="1222" spans="1:23" s="322" customFormat="1" ht="24" customHeight="1">
      <c r="I1222" s="515"/>
      <c r="J1222" s="515"/>
      <c r="K1222" s="515"/>
      <c r="L1222" s="228"/>
      <c r="M1222" s="228"/>
      <c r="N1222" s="466"/>
      <c r="O1222" s="466"/>
      <c r="P1222" s="228"/>
      <c r="Q1222" s="228"/>
      <c r="R1222" s="228"/>
      <c r="S1222" s="228"/>
      <c r="T1222" s="228"/>
      <c r="U1222" s="447"/>
      <c r="V1222" s="518"/>
    </row>
    <row r="1223" spans="1:23" s="322" customFormat="1" ht="24" customHeight="1">
      <c r="I1223" s="773" t="s">
        <v>862</v>
      </c>
      <c r="J1223" s="773"/>
      <c r="K1223" s="285" t="s">
        <v>776</v>
      </c>
      <c r="L1223" s="228"/>
      <c r="M1223" s="228"/>
      <c r="N1223" s="466"/>
      <c r="O1223" s="466"/>
      <c r="P1223" s="228"/>
      <c r="Q1223" s="228"/>
      <c r="R1223" s="228"/>
      <c r="S1223" s="228"/>
      <c r="T1223" s="228"/>
      <c r="U1223" s="447"/>
      <c r="V1223" s="518"/>
    </row>
    <row r="1224" spans="1:23" s="322" customFormat="1" ht="24" customHeight="1">
      <c r="I1224" s="515"/>
      <c r="J1224" s="515"/>
      <c r="K1224" s="515" t="s">
        <v>1321</v>
      </c>
      <c r="L1224" s="228">
        <f t="shared" ref="L1224:T1224" si="531">L1213+L1219</f>
        <v>290356</v>
      </c>
      <c r="M1224" s="228">
        <f t="shared" si="531"/>
        <v>310062</v>
      </c>
      <c r="N1224" s="466">
        <f t="shared" si="531"/>
        <v>328401</v>
      </c>
      <c r="O1224" s="466">
        <f t="shared" si="531"/>
        <v>328401</v>
      </c>
      <c r="P1224" s="228">
        <f t="shared" si="531"/>
        <v>318451</v>
      </c>
      <c r="Q1224" s="228">
        <f t="shared" si="531"/>
        <v>337152</v>
      </c>
      <c r="R1224" s="228">
        <f t="shared" si="531"/>
        <v>360072</v>
      </c>
      <c r="S1224" s="228">
        <f t="shared" si="531"/>
        <v>384650</v>
      </c>
      <c r="T1224" s="228">
        <f t="shared" si="531"/>
        <v>410676</v>
      </c>
      <c r="U1224" s="447"/>
      <c r="V1224" s="518"/>
    </row>
    <row r="1225" spans="1:23" s="322" customFormat="1" ht="24" customHeight="1">
      <c r="I1225" s="515"/>
      <c r="J1225" s="515"/>
      <c r="K1225" s="515" t="s">
        <v>1069</v>
      </c>
      <c r="L1225" s="228">
        <f>L1214</f>
        <v>524120</v>
      </c>
      <c r="M1225" s="228">
        <f t="shared" ref="M1225:T1225" si="532">M1214</f>
        <v>624168</v>
      </c>
      <c r="N1225" s="466">
        <f t="shared" si="532"/>
        <v>728477</v>
      </c>
      <c r="O1225" s="466">
        <f t="shared" si="532"/>
        <v>722940</v>
      </c>
      <c r="P1225" s="228">
        <f t="shared" si="532"/>
        <v>825413</v>
      </c>
      <c r="Q1225" s="228">
        <f t="shared" si="532"/>
        <v>875413</v>
      </c>
      <c r="R1225" s="228">
        <f t="shared" si="532"/>
        <v>925413</v>
      </c>
      <c r="S1225" s="228">
        <f t="shared" si="532"/>
        <v>975413</v>
      </c>
      <c r="T1225" s="228">
        <f t="shared" si="532"/>
        <v>1025413</v>
      </c>
      <c r="U1225" s="447"/>
      <c r="V1225" s="518"/>
    </row>
    <row r="1226" spans="1:23" s="322" customFormat="1" ht="24" customHeight="1">
      <c r="I1226" s="515"/>
      <c r="J1226" s="515"/>
      <c r="K1226" s="515" t="s">
        <v>1322</v>
      </c>
      <c r="L1226" s="510">
        <f t="shared" ref="L1226:T1226" si="533">L1215+L1220</f>
        <v>374322</v>
      </c>
      <c r="M1226" s="510">
        <f t="shared" si="533"/>
        <v>399523</v>
      </c>
      <c r="N1226" s="577">
        <f t="shared" si="533"/>
        <v>447851</v>
      </c>
      <c r="O1226" s="577">
        <f t="shared" si="533"/>
        <v>447851</v>
      </c>
      <c r="P1226" s="510">
        <f t="shared" si="533"/>
        <v>459647</v>
      </c>
      <c r="Q1226" s="510">
        <f t="shared" si="533"/>
        <v>477134</v>
      </c>
      <c r="R1226" s="510">
        <f t="shared" si="533"/>
        <v>491448</v>
      </c>
      <c r="S1226" s="510">
        <f t="shared" si="533"/>
        <v>506191</v>
      </c>
      <c r="T1226" s="510">
        <f t="shared" si="533"/>
        <v>521377</v>
      </c>
      <c r="U1226" s="447"/>
      <c r="V1226" s="518"/>
    </row>
    <row r="1227" spans="1:23" s="322" customFormat="1" ht="24" customHeight="1">
      <c r="I1227" s="285"/>
      <c r="J1227" s="285"/>
      <c r="K1227" s="285" t="s">
        <v>862</v>
      </c>
      <c r="L1227" s="307">
        <f>SUM(L1224:L1226)</f>
        <v>1188798</v>
      </c>
      <c r="M1227" s="307">
        <f t="shared" ref="M1227:T1227" si="534">SUM(M1224:M1226)</f>
        <v>1333753</v>
      </c>
      <c r="N1227" s="236">
        <f t="shared" si="534"/>
        <v>1504729</v>
      </c>
      <c r="O1227" s="236">
        <f t="shared" si="534"/>
        <v>1499192</v>
      </c>
      <c r="P1227" s="307">
        <f t="shared" si="534"/>
        <v>1603511</v>
      </c>
      <c r="Q1227" s="307">
        <f t="shared" si="534"/>
        <v>1689699</v>
      </c>
      <c r="R1227" s="307">
        <f t="shared" si="534"/>
        <v>1776933</v>
      </c>
      <c r="S1227" s="307">
        <f t="shared" si="534"/>
        <v>1866254</v>
      </c>
      <c r="T1227" s="307">
        <f t="shared" si="534"/>
        <v>1957466</v>
      </c>
      <c r="U1227" s="447"/>
      <c r="V1227" s="518"/>
    </row>
    <row r="1228" spans="1:23" s="215" customFormat="1" ht="24" customHeight="1">
      <c r="L1228" s="231"/>
      <c r="M1228" s="231"/>
      <c r="N1228" s="232"/>
      <c r="O1228" s="232"/>
      <c r="P1228" s="231"/>
      <c r="Q1228" s="231"/>
      <c r="R1228" s="231"/>
      <c r="S1228" s="231"/>
      <c r="T1228" s="231"/>
      <c r="U1228" s="470"/>
      <c r="V1228" s="713"/>
    </row>
    <row r="1229" spans="1:23" s="318" customFormat="1" ht="24" customHeight="1">
      <c r="A1229" s="768" t="s">
        <v>1342</v>
      </c>
      <c r="B1229" s="768"/>
      <c r="C1229" s="768"/>
      <c r="D1229" s="768"/>
      <c r="E1229" s="768"/>
      <c r="F1229" s="768"/>
      <c r="G1229" s="768"/>
      <c r="H1229" s="768"/>
      <c r="I1229" s="768"/>
      <c r="J1229" s="768"/>
      <c r="K1229" s="768"/>
      <c r="L1229" s="319"/>
      <c r="M1229" s="319"/>
      <c r="N1229" s="319"/>
      <c r="O1229" s="319"/>
      <c r="P1229" s="319"/>
      <c r="Q1229" s="319"/>
      <c r="R1229" s="319"/>
      <c r="S1229" s="319"/>
      <c r="T1229" s="319"/>
      <c r="U1229" s="469"/>
      <c r="V1229" s="552"/>
      <c r="W1229" s="552"/>
    </row>
    <row r="1230" spans="1:23" s="285" customFormat="1" ht="24" customHeight="1">
      <c r="G1230" s="771" t="s">
        <v>907</v>
      </c>
      <c r="H1230" s="771"/>
      <c r="I1230" s="771"/>
      <c r="J1230" s="771"/>
      <c r="K1230" s="771"/>
      <c r="L1230" s="277">
        <f>SUM(L1231:L1234)</f>
        <v>337767</v>
      </c>
      <c r="M1230" s="277">
        <f>SUM(M1231:M1234)</f>
        <v>357579</v>
      </c>
      <c r="N1230" s="278">
        <f t="shared" ref="N1230:O1230" si="535">SUM(N1231:N1234)</f>
        <v>337766</v>
      </c>
      <c r="O1230" s="278">
        <f t="shared" si="535"/>
        <v>332222</v>
      </c>
      <c r="P1230" s="277">
        <f t="shared" ref="P1230:R1230" si="536">SUM(P1231:P1234)</f>
        <v>337766</v>
      </c>
      <c r="Q1230" s="277">
        <f t="shared" si="536"/>
        <v>337766</v>
      </c>
      <c r="R1230" s="277">
        <f t="shared" si="536"/>
        <v>337766</v>
      </c>
      <c r="S1230" s="277">
        <f>SUM(S1231:S1234)</f>
        <v>337766</v>
      </c>
      <c r="T1230" s="277">
        <f>SUM(T1231:T1234)</f>
        <v>337766</v>
      </c>
      <c r="U1230" s="470"/>
      <c r="V1230" s="556"/>
      <c r="W1230" s="556"/>
    </row>
    <row r="1231" spans="1:23" s="215" customFormat="1" ht="24" customHeight="1">
      <c r="K1231" s="215" t="s">
        <v>924</v>
      </c>
      <c r="L1231" s="245">
        <f t="shared" ref="L1231:T1231" si="537">L345</f>
        <v>121900</v>
      </c>
      <c r="M1231" s="245">
        <f t="shared" si="537"/>
        <v>73787</v>
      </c>
      <c r="N1231" s="246">
        <f t="shared" si="537"/>
        <v>73787</v>
      </c>
      <c r="O1231" s="246">
        <f t="shared" si="537"/>
        <v>68243</v>
      </c>
      <c r="P1231" s="245">
        <f t="shared" si="537"/>
        <v>73787</v>
      </c>
      <c r="Q1231" s="245">
        <f t="shared" si="537"/>
        <v>73787</v>
      </c>
      <c r="R1231" s="245">
        <f t="shared" si="537"/>
        <v>73787</v>
      </c>
      <c r="S1231" s="245">
        <f t="shared" si="537"/>
        <v>73787</v>
      </c>
      <c r="T1231" s="245">
        <f t="shared" si="537"/>
        <v>73787</v>
      </c>
      <c r="U1231" s="470"/>
      <c r="V1231" s="231"/>
      <c r="W1231" s="231"/>
    </row>
    <row r="1232" spans="1:23" s="215" customFormat="1" ht="24" customHeight="1">
      <c r="K1232" s="215" t="s">
        <v>621</v>
      </c>
      <c r="L1232" s="245">
        <f t="shared" ref="L1232:T1232" si="538">L622</f>
        <v>129094</v>
      </c>
      <c r="M1232" s="245">
        <f t="shared" si="538"/>
        <v>197544</v>
      </c>
      <c r="N1232" s="246">
        <f t="shared" si="538"/>
        <v>197544</v>
      </c>
      <c r="O1232" s="246">
        <f t="shared" si="538"/>
        <v>197544</v>
      </c>
      <c r="P1232" s="245">
        <f t="shared" si="538"/>
        <v>197544</v>
      </c>
      <c r="Q1232" s="245">
        <f t="shared" si="538"/>
        <v>197544</v>
      </c>
      <c r="R1232" s="245">
        <f t="shared" si="538"/>
        <v>197544</v>
      </c>
      <c r="S1232" s="245">
        <f t="shared" si="538"/>
        <v>197544</v>
      </c>
      <c r="T1232" s="245">
        <f t="shared" si="538"/>
        <v>197544</v>
      </c>
      <c r="U1232" s="470"/>
      <c r="V1232" s="231"/>
      <c r="W1232" s="231"/>
    </row>
    <row r="1233" spans="7:23" s="215" customFormat="1" ht="24" customHeight="1">
      <c r="K1233" s="215" t="s">
        <v>622</v>
      </c>
      <c r="L1233" s="245">
        <f t="shared" ref="L1233:T1233" si="539">L712</f>
        <v>66773</v>
      </c>
      <c r="M1233" s="245">
        <f t="shared" si="539"/>
        <v>78828</v>
      </c>
      <c r="N1233" s="246">
        <f t="shared" si="539"/>
        <v>59015</v>
      </c>
      <c r="O1233" s="246">
        <f t="shared" si="539"/>
        <v>59015</v>
      </c>
      <c r="P1233" s="245">
        <f t="shared" si="539"/>
        <v>59015</v>
      </c>
      <c r="Q1233" s="245">
        <f t="shared" si="539"/>
        <v>59015</v>
      </c>
      <c r="R1233" s="245">
        <f t="shared" si="539"/>
        <v>59015</v>
      </c>
      <c r="S1233" s="245">
        <f t="shared" si="539"/>
        <v>59015</v>
      </c>
      <c r="T1233" s="245">
        <f t="shared" si="539"/>
        <v>59015</v>
      </c>
      <c r="U1233" s="470"/>
      <c r="V1233" s="231"/>
      <c r="W1233" s="231"/>
    </row>
    <row r="1234" spans="7:23" s="215" customFormat="1" ht="24" customHeight="1">
      <c r="K1234" s="215" t="s">
        <v>543</v>
      </c>
      <c r="L1234" s="245">
        <f t="shared" ref="L1234:T1234" si="540">L1058</f>
        <v>20000</v>
      </c>
      <c r="M1234" s="245">
        <f t="shared" si="540"/>
        <v>7420</v>
      </c>
      <c r="N1234" s="246">
        <f t="shared" si="540"/>
        <v>7420</v>
      </c>
      <c r="O1234" s="246">
        <f t="shared" si="540"/>
        <v>7420</v>
      </c>
      <c r="P1234" s="245">
        <f t="shared" si="540"/>
        <v>7420</v>
      </c>
      <c r="Q1234" s="245">
        <f t="shared" si="540"/>
        <v>7420</v>
      </c>
      <c r="R1234" s="245">
        <f t="shared" si="540"/>
        <v>7420</v>
      </c>
      <c r="S1234" s="245">
        <f t="shared" si="540"/>
        <v>7420</v>
      </c>
      <c r="T1234" s="245">
        <f t="shared" si="540"/>
        <v>7420</v>
      </c>
      <c r="U1234" s="470"/>
      <c r="V1234" s="231"/>
      <c r="W1234" s="231"/>
    </row>
    <row r="1235" spans="7:23" s="410" customFormat="1" ht="24" customHeight="1">
      <c r="L1235" s="245"/>
      <c r="M1235" s="245"/>
      <c r="N1235" s="246"/>
      <c r="O1235" s="246"/>
      <c r="P1235" s="245"/>
      <c r="Q1235" s="245"/>
      <c r="R1235" s="245"/>
      <c r="S1235" s="245"/>
      <c r="T1235" s="245"/>
      <c r="U1235" s="470"/>
    </row>
    <row r="1236" spans="7:23" s="410" customFormat="1" ht="24" customHeight="1">
      <c r="G1236" s="771" t="s">
        <v>1188</v>
      </c>
      <c r="H1236" s="771"/>
      <c r="I1236" s="771"/>
      <c r="J1236" s="771"/>
      <c r="K1236" s="771"/>
      <c r="L1236" s="277">
        <f>SUM(L1237:L1240)</f>
        <v>951589</v>
      </c>
      <c r="M1236" s="277">
        <f>SUM(M1237:M1240)</f>
        <v>1204580</v>
      </c>
      <c r="N1236" s="278">
        <f t="shared" ref="N1236:O1236" si="541">SUM(N1237:N1240)</f>
        <v>1300000</v>
      </c>
      <c r="O1236" s="278">
        <f t="shared" si="541"/>
        <v>1300000</v>
      </c>
      <c r="P1236" s="277">
        <f t="shared" ref="P1236:R1236" si="542">SUM(P1237:P1240)</f>
        <v>1700000</v>
      </c>
      <c r="Q1236" s="277">
        <f t="shared" si="542"/>
        <v>1000000</v>
      </c>
      <c r="R1236" s="277">
        <f t="shared" si="542"/>
        <v>796854</v>
      </c>
      <c r="S1236" s="277">
        <f>SUM(S1237:S1240)</f>
        <v>839060</v>
      </c>
      <c r="T1236" s="277">
        <f>SUM(T1237:T1240)</f>
        <v>852733</v>
      </c>
      <c r="U1236" s="470"/>
      <c r="V1236" s="556"/>
      <c r="W1236" s="556"/>
    </row>
    <row r="1237" spans="7:23" s="410" customFormat="1" ht="24" customHeight="1">
      <c r="G1237" s="415"/>
      <c r="H1237" s="415"/>
      <c r="I1237" s="415"/>
      <c r="J1237" s="415"/>
      <c r="K1237" s="415" t="s">
        <v>924</v>
      </c>
      <c r="L1237" s="245">
        <f t="shared" ref="L1237:T1237" si="543">L342</f>
        <v>193042</v>
      </c>
      <c r="M1237" s="245">
        <f t="shared" si="543"/>
        <v>269813</v>
      </c>
      <c r="N1237" s="246">
        <f t="shared" si="543"/>
        <v>300000</v>
      </c>
      <c r="O1237" s="246">
        <f t="shared" si="543"/>
        <v>300000</v>
      </c>
      <c r="P1237" s="245">
        <f t="shared" si="543"/>
        <v>300000</v>
      </c>
      <c r="Q1237" s="245">
        <f t="shared" si="543"/>
        <v>300000</v>
      </c>
      <c r="R1237" s="245">
        <f t="shared" si="543"/>
        <v>250000</v>
      </c>
      <c r="S1237" s="245">
        <f t="shared" si="543"/>
        <v>199173</v>
      </c>
      <c r="T1237" s="245">
        <f t="shared" si="543"/>
        <v>60696</v>
      </c>
      <c r="U1237" s="470"/>
      <c r="V1237" s="231"/>
      <c r="W1237" s="231"/>
    </row>
    <row r="1238" spans="7:23" s="410" customFormat="1" ht="24" customHeight="1">
      <c r="G1238" s="415"/>
      <c r="H1238" s="415"/>
      <c r="I1238" s="415"/>
      <c r="J1238" s="415"/>
      <c r="K1238" s="415" t="s">
        <v>835</v>
      </c>
      <c r="L1238" s="245">
        <f t="shared" ref="L1238:T1238" si="544">L417</f>
        <v>605242</v>
      </c>
      <c r="M1238" s="245">
        <f t="shared" si="544"/>
        <v>405718</v>
      </c>
      <c r="N1238" s="246">
        <f t="shared" si="544"/>
        <v>500000</v>
      </c>
      <c r="O1238" s="246">
        <f t="shared" si="544"/>
        <v>500000</v>
      </c>
      <c r="P1238" s="245">
        <f t="shared" si="544"/>
        <v>950000</v>
      </c>
      <c r="Q1238" s="245">
        <f t="shared" si="544"/>
        <v>250000</v>
      </c>
      <c r="R1238" s="245">
        <f t="shared" si="544"/>
        <v>96854</v>
      </c>
      <c r="S1238" s="245">
        <f t="shared" si="544"/>
        <v>189887</v>
      </c>
      <c r="T1238" s="245">
        <f t="shared" si="544"/>
        <v>342037</v>
      </c>
      <c r="U1238" s="470"/>
      <c r="V1238" s="231"/>
      <c r="W1238" s="231"/>
    </row>
    <row r="1239" spans="7:23" s="410" customFormat="1" ht="24" customHeight="1">
      <c r="G1239" s="415"/>
      <c r="H1239" s="415"/>
      <c r="I1239" s="415"/>
      <c r="J1239" s="415"/>
      <c r="K1239" s="415" t="s">
        <v>621</v>
      </c>
      <c r="L1239" s="245">
        <f t="shared" ref="L1239:T1239" si="545">L617</f>
        <v>153305</v>
      </c>
      <c r="M1239" s="245">
        <f t="shared" si="545"/>
        <v>277372</v>
      </c>
      <c r="N1239" s="246">
        <f t="shared" si="545"/>
        <v>300000</v>
      </c>
      <c r="O1239" s="246">
        <f t="shared" si="545"/>
        <v>300000</v>
      </c>
      <c r="P1239" s="245">
        <f t="shared" si="545"/>
        <v>250000</v>
      </c>
      <c r="Q1239" s="245">
        <f t="shared" si="545"/>
        <v>250000</v>
      </c>
      <c r="R1239" s="245">
        <f t="shared" si="545"/>
        <v>250000</v>
      </c>
      <c r="S1239" s="245">
        <f t="shared" si="545"/>
        <v>250000</v>
      </c>
      <c r="T1239" s="245">
        <f t="shared" si="545"/>
        <v>250000</v>
      </c>
      <c r="U1239" s="470"/>
      <c r="V1239" s="231"/>
      <c r="W1239" s="231"/>
    </row>
    <row r="1240" spans="7:23" s="410" customFormat="1" ht="24" customHeight="1">
      <c r="G1240" s="415"/>
      <c r="H1240" s="415"/>
      <c r="I1240" s="415"/>
      <c r="J1240" s="415"/>
      <c r="K1240" s="415" t="s">
        <v>622</v>
      </c>
      <c r="L1240" s="245">
        <f t="shared" ref="L1240:T1240" si="546">L708</f>
        <v>0</v>
      </c>
      <c r="M1240" s="245">
        <f t="shared" si="546"/>
        <v>251677</v>
      </c>
      <c r="N1240" s="246">
        <f t="shared" si="546"/>
        <v>200000</v>
      </c>
      <c r="O1240" s="246">
        <f t="shared" si="546"/>
        <v>200000</v>
      </c>
      <c r="P1240" s="245">
        <f t="shared" si="546"/>
        <v>200000</v>
      </c>
      <c r="Q1240" s="245">
        <f t="shared" si="546"/>
        <v>200000</v>
      </c>
      <c r="R1240" s="245">
        <f t="shared" si="546"/>
        <v>200000</v>
      </c>
      <c r="S1240" s="245">
        <f t="shared" si="546"/>
        <v>200000</v>
      </c>
      <c r="T1240" s="245">
        <f t="shared" si="546"/>
        <v>200000</v>
      </c>
      <c r="U1240" s="470"/>
      <c r="V1240" s="231"/>
      <c r="W1240" s="231"/>
    </row>
    <row r="1241" spans="7:23" s="416" customFormat="1" ht="24" customHeight="1">
      <c r="L1241" s="245"/>
      <c r="M1241" s="245"/>
      <c r="N1241" s="246"/>
      <c r="O1241" s="246"/>
      <c r="P1241" s="245"/>
      <c r="Q1241" s="245"/>
      <c r="R1241" s="245"/>
      <c r="S1241" s="245"/>
      <c r="T1241" s="245"/>
      <c r="U1241" s="470"/>
    </row>
    <row r="1242" spans="7:23" s="416" customFormat="1" ht="24" customHeight="1">
      <c r="G1242" s="771" t="s">
        <v>1416</v>
      </c>
      <c r="H1242" s="771"/>
      <c r="I1242" s="771"/>
      <c r="J1242" s="771"/>
      <c r="K1242" s="771"/>
      <c r="L1242" s="277">
        <f>SUM(L1243:L1245)</f>
        <v>-1</v>
      </c>
      <c r="M1242" s="277">
        <f>SUM(M1243:M1245)</f>
        <v>0</v>
      </c>
      <c r="N1242" s="278">
        <f t="shared" ref="N1242:T1242" si="547">SUM(N1243:N1245)</f>
        <v>0</v>
      </c>
      <c r="O1242" s="278">
        <f t="shared" ref="O1242" si="548">SUM(O1243:O1245)</f>
        <v>0</v>
      </c>
      <c r="P1242" s="277">
        <f>SUM(P1243:P1245)</f>
        <v>0</v>
      </c>
      <c r="Q1242" s="277">
        <f t="shared" ref="Q1242:S1242" si="549">SUM(Q1243:Q1245)</f>
        <v>0</v>
      </c>
      <c r="R1242" s="277">
        <f t="shared" si="549"/>
        <v>0</v>
      </c>
      <c r="S1242" s="277">
        <f t="shared" si="549"/>
        <v>0</v>
      </c>
      <c r="T1242" s="277">
        <f t="shared" si="547"/>
        <v>0</v>
      </c>
      <c r="U1242" s="470"/>
      <c r="V1242" s="556"/>
      <c r="W1242" s="556"/>
    </row>
    <row r="1243" spans="7:23" s="416" customFormat="1" ht="24" customHeight="1">
      <c r="K1243" s="416" t="s">
        <v>1183</v>
      </c>
      <c r="L1243" s="245">
        <f t="shared" ref="L1243:T1243" si="550">L426</f>
        <v>87147</v>
      </c>
      <c r="M1243" s="245">
        <f t="shared" si="550"/>
        <v>37438</v>
      </c>
      <c r="N1243" s="246">
        <f t="shared" si="550"/>
        <v>42500</v>
      </c>
      <c r="O1243" s="246">
        <f t="shared" si="550"/>
        <v>42500</v>
      </c>
      <c r="P1243" s="245">
        <f t="shared" si="550"/>
        <v>408900</v>
      </c>
      <c r="Q1243" s="245">
        <f t="shared" si="550"/>
        <v>45500</v>
      </c>
      <c r="R1243" s="245">
        <f t="shared" si="550"/>
        <v>0</v>
      </c>
      <c r="S1243" s="245">
        <f t="shared" si="550"/>
        <v>0</v>
      </c>
      <c r="T1243" s="245">
        <f t="shared" si="550"/>
        <v>0</v>
      </c>
      <c r="U1243" s="470"/>
      <c r="V1243" s="231"/>
      <c r="W1243" s="231"/>
    </row>
    <row r="1244" spans="7:23" s="416" customFormat="1" ht="24" customHeight="1">
      <c r="K1244" s="411" t="s">
        <v>1184</v>
      </c>
      <c r="L1244" s="412">
        <f t="shared" ref="L1244:T1244" si="551">-L375</f>
        <v>-85724</v>
      </c>
      <c r="M1244" s="412">
        <f t="shared" si="551"/>
        <v>-29711</v>
      </c>
      <c r="N1244" s="428">
        <f t="shared" si="551"/>
        <v>-29800</v>
      </c>
      <c r="O1244" s="428">
        <f t="shared" si="551"/>
        <v>-22800</v>
      </c>
      <c r="P1244" s="412">
        <f t="shared" si="551"/>
        <v>-114160</v>
      </c>
      <c r="Q1244" s="412">
        <f t="shared" si="551"/>
        <v>-12720</v>
      </c>
      <c r="R1244" s="412">
        <f t="shared" si="551"/>
        <v>0</v>
      </c>
      <c r="S1244" s="412">
        <f t="shared" si="551"/>
        <v>0</v>
      </c>
      <c r="T1244" s="412">
        <f t="shared" si="551"/>
        <v>0</v>
      </c>
      <c r="U1244" s="470"/>
      <c r="V1244" s="425"/>
      <c r="W1244" s="425"/>
    </row>
    <row r="1245" spans="7:23" s="416" customFormat="1" ht="24" customHeight="1">
      <c r="K1245" s="411" t="s">
        <v>1185</v>
      </c>
      <c r="L1245" s="412">
        <f t="shared" ref="L1245:T1245" si="552">-L387</f>
        <v>-1424</v>
      </c>
      <c r="M1245" s="412">
        <f t="shared" si="552"/>
        <v>-7727</v>
      </c>
      <c r="N1245" s="428">
        <f t="shared" si="552"/>
        <v>-12700</v>
      </c>
      <c r="O1245" s="428">
        <f t="shared" si="552"/>
        <v>-19700</v>
      </c>
      <c r="P1245" s="412">
        <f t="shared" si="552"/>
        <v>-294740</v>
      </c>
      <c r="Q1245" s="412">
        <f t="shared" si="552"/>
        <v>-32780</v>
      </c>
      <c r="R1245" s="412">
        <f t="shared" si="552"/>
        <v>0</v>
      </c>
      <c r="S1245" s="412">
        <f t="shared" si="552"/>
        <v>0</v>
      </c>
      <c r="T1245" s="412">
        <f t="shared" si="552"/>
        <v>0</v>
      </c>
      <c r="U1245" s="470"/>
      <c r="V1245" s="425"/>
      <c r="W1245" s="425"/>
    </row>
    <row r="1246" spans="7:23" s="416" customFormat="1" ht="24" customHeight="1">
      <c r="K1246" s="411"/>
      <c r="L1246" s="412"/>
      <c r="M1246" s="412"/>
      <c r="N1246" s="428"/>
      <c r="O1246" s="428"/>
      <c r="P1246" s="412"/>
      <c r="Q1246" s="412"/>
      <c r="R1246" s="412"/>
      <c r="S1246" s="412"/>
      <c r="T1246" s="412"/>
      <c r="U1246" s="470"/>
    </row>
    <row r="1247" spans="7:23" s="416" customFormat="1" ht="24" customHeight="1">
      <c r="G1247" s="771" t="s">
        <v>1186</v>
      </c>
      <c r="H1247" s="771"/>
      <c r="I1247" s="771"/>
      <c r="J1247" s="771"/>
      <c r="K1247" s="771"/>
      <c r="L1247" s="277">
        <f>SUM(L1248:L1249)</f>
        <v>173</v>
      </c>
      <c r="M1247" s="277">
        <f t="shared" ref="M1247:T1247" si="553">SUM(M1248:M1249)</f>
        <v>-80453</v>
      </c>
      <c r="N1247" s="278">
        <f t="shared" si="553"/>
        <v>0</v>
      </c>
      <c r="O1247" s="278">
        <f t="shared" ref="O1247" si="554">SUM(O1248:O1249)</f>
        <v>0</v>
      </c>
      <c r="P1247" s="277">
        <f t="shared" ref="P1247:S1247" si="555">SUM(P1248:P1249)</f>
        <v>0</v>
      </c>
      <c r="Q1247" s="277">
        <f t="shared" si="555"/>
        <v>0</v>
      </c>
      <c r="R1247" s="277">
        <f t="shared" si="555"/>
        <v>0</v>
      </c>
      <c r="S1247" s="277">
        <f t="shared" si="555"/>
        <v>0</v>
      </c>
      <c r="T1247" s="277">
        <f t="shared" si="553"/>
        <v>0</v>
      </c>
      <c r="U1247" s="470"/>
      <c r="V1247" s="556"/>
      <c r="W1247" s="556"/>
    </row>
    <row r="1248" spans="7:23" s="416" customFormat="1" ht="24" customHeight="1">
      <c r="K1248" s="416" t="s">
        <v>1183</v>
      </c>
      <c r="L1248" s="245">
        <f t="shared" ref="L1248:T1248" si="556">L412</f>
        <v>88105</v>
      </c>
      <c r="M1248" s="245">
        <f t="shared" si="556"/>
        <v>1067717</v>
      </c>
      <c r="N1248" s="246">
        <f t="shared" si="556"/>
        <v>55000</v>
      </c>
      <c r="O1248" s="246">
        <f t="shared" si="556"/>
        <v>55000</v>
      </c>
      <c r="P1248" s="245">
        <f t="shared" si="556"/>
        <v>0</v>
      </c>
      <c r="Q1248" s="245">
        <f t="shared" si="556"/>
        <v>0</v>
      </c>
      <c r="R1248" s="245">
        <f t="shared" si="556"/>
        <v>0</v>
      </c>
      <c r="S1248" s="245">
        <f t="shared" si="556"/>
        <v>0</v>
      </c>
      <c r="T1248" s="245">
        <f t="shared" si="556"/>
        <v>0</v>
      </c>
      <c r="U1248" s="470"/>
      <c r="V1248" s="231"/>
      <c r="W1248" s="231"/>
    </row>
    <row r="1249" spans="1:23" s="416" customFormat="1" ht="24" customHeight="1">
      <c r="K1249" s="411" t="s">
        <v>1187</v>
      </c>
      <c r="L1249" s="412">
        <f t="shared" ref="L1249:T1249" si="557">-L386</f>
        <v>-87932</v>
      </c>
      <c r="M1249" s="412">
        <f t="shared" si="557"/>
        <v>-1148170</v>
      </c>
      <c r="N1249" s="428">
        <f t="shared" si="557"/>
        <v>-55000</v>
      </c>
      <c r="O1249" s="428">
        <f t="shared" si="557"/>
        <v>-55000</v>
      </c>
      <c r="P1249" s="412">
        <f t="shared" si="557"/>
        <v>0</v>
      </c>
      <c r="Q1249" s="412">
        <f t="shared" si="557"/>
        <v>0</v>
      </c>
      <c r="R1249" s="412">
        <f t="shared" si="557"/>
        <v>0</v>
      </c>
      <c r="S1249" s="412">
        <f t="shared" si="557"/>
        <v>0</v>
      </c>
      <c r="T1249" s="412">
        <f t="shared" si="557"/>
        <v>0</v>
      </c>
      <c r="U1249" s="470"/>
      <c r="V1249" s="425"/>
      <c r="W1249" s="425"/>
    </row>
    <row r="1250" spans="1:23" s="424" customFormat="1" ht="24" customHeight="1">
      <c r="K1250" s="411"/>
      <c r="L1250" s="412"/>
      <c r="M1250" s="412"/>
      <c r="N1250" s="428"/>
      <c r="O1250" s="428"/>
      <c r="P1250" s="412"/>
      <c r="Q1250" s="412"/>
      <c r="R1250" s="412"/>
      <c r="S1250" s="412"/>
      <c r="T1250" s="412"/>
      <c r="U1250" s="470"/>
    </row>
    <row r="1251" spans="1:23" s="424" customFormat="1" ht="24" customHeight="1">
      <c r="G1251" s="771" t="s">
        <v>1200</v>
      </c>
      <c r="H1251" s="771"/>
      <c r="I1251" s="771"/>
      <c r="J1251" s="771"/>
      <c r="K1251" s="771"/>
      <c r="L1251" s="277">
        <f>SUM(L1252:L1254)</f>
        <v>99820</v>
      </c>
      <c r="M1251" s="277">
        <f t="shared" ref="M1251:T1251" si="558">SUM(M1252:M1254)</f>
        <v>391470</v>
      </c>
      <c r="N1251" s="278">
        <f t="shared" si="558"/>
        <v>2048501</v>
      </c>
      <c r="O1251" s="278">
        <f t="shared" si="558"/>
        <v>1381997</v>
      </c>
      <c r="P1251" s="277">
        <f t="shared" si="558"/>
        <v>415000</v>
      </c>
      <c r="Q1251" s="277">
        <f t="shared" si="558"/>
        <v>0</v>
      </c>
      <c r="R1251" s="277">
        <f t="shared" si="558"/>
        <v>0</v>
      </c>
      <c r="S1251" s="277">
        <f t="shared" si="558"/>
        <v>0</v>
      </c>
      <c r="T1251" s="277">
        <f t="shared" si="558"/>
        <v>0</v>
      </c>
      <c r="U1251" s="470"/>
      <c r="V1251" s="556"/>
      <c r="W1251" s="556"/>
    </row>
    <row r="1252" spans="1:23" s="424" customFormat="1" ht="24" customHeight="1">
      <c r="G1252" s="423"/>
      <c r="H1252" s="423"/>
      <c r="I1252" s="423"/>
      <c r="J1252" s="423"/>
      <c r="K1252" s="424" t="s">
        <v>924</v>
      </c>
      <c r="L1252" s="245">
        <f t="shared" ref="L1252:T1252" si="559">L344</f>
        <v>169890</v>
      </c>
      <c r="M1252" s="245">
        <f t="shared" si="559"/>
        <v>73450</v>
      </c>
      <c r="N1252" s="246">
        <f t="shared" si="559"/>
        <v>0</v>
      </c>
      <c r="O1252" s="246">
        <f t="shared" si="559"/>
        <v>0</v>
      </c>
      <c r="P1252" s="245">
        <f t="shared" si="559"/>
        <v>0</v>
      </c>
      <c r="Q1252" s="245">
        <f t="shared" si="559"/>
        <v>0</v>
      </c>
      <c r="R1252" s="245">
        <f t="shared" si="559"/>
        <v>0</v>
      </c>
      <c r="S1252" s="245">
        <f t="shared" si="559"/>
        <v>0</v>
      </c>
      <c r="T1252" s="245">
        <f t="shared" si="559"/>
        <v>0</v>
      </c>
      <c r="U1252" s="470"/>
      <c r="V1252" s="231"/>
      <c r="W1252" s="231"/>
    </row>
    <row r="1253" spans="1:23" s="553" customFormat="1" ht="24" customHeight="1">
      <c r="G1253" s="554"/>
      <c r="H1253" s="554"/>
      <c r="I1253" s="554"/>
      <c r="J1253" s="554"/>
      <c r="K1253" s="411" t="s">
        <v>1184</v>
      </c>
      <c r="L1253" s="412">
        <f t="shared" ref="L1253:T1253" si="560">-L321</f>
        <v>-75195</v>
      </c>
      <c r="M1253" s="412">
        <f t="shared" si="560"/>
        <v>-36200</v>
      </c>
      <c r="N1253" s="428">
        <f t="shared" si="560"/>
        <v>0</v>
      </c>
      <c r="O1253" s="428">
        <f t="shared" si="560"/>
        <v>0</v>
      </c>
      <c r="P1253" s="412">
        <f t="shared" si="560"/>
        <v>0</v>
      </c>
      <c r="Q1253" s="412">
        <f t="shared" si="560"/>
        <v>0</v>
      </c>
      <c r="R1253" s="412">
        <f t="shared" si="560"/>
        <v>0</v>
      </c>
      <c r="S1253" s="412">
        <f t="shared" si="560"/>
        <v>0</v>
      </c>
      <c r="T1253" s="412">
        <f t="shared" si="560"/>
        <v>0</v>
      </c>
      <c r="U1253" s="557"/>
      <c r="V1253" s="425"/>
      <c r="W1253" s="425"/>
    </row>
    <row r="1254" spans="1:23" s="424" customFormat="1" ht="24" customHeight="1">
      <c r="K1254" s="424" t="s">
        <v>1183</v>
      </c>
      <c r="L1254" s="245">
        <f t="shared" ref="L1254:T1254" si="561">L422</f>
        <v>5125</v>
      </c>
      <c r="M1254" s="245">
        <f t="shared" si="561"/>
        <v>354220</v>
      </c>
      <c r="N1254" s="246">
        <f t="shared" si="561"/>
        <v>2048501</v>
      </c>
      <c r="O1254" s="246">
        <f t="shared" si="561"/>
        <v>1381997</v>
      </c>
      <c r="P1254" s="245">
        <f t="shared" si="561"/>
        <v>415000</v>
      </c>
      <c r="Q1254" s="245">
        <f t="shared" si="561"/>
        <v>0</v>
      </c>
      <c r="R1254" s="245">
        <f t="shared" si="561"/>
        <v>0</v>
      </c>
      <c r="S1254" s="245">
        <f t="shared" si="561"/>
        <v>0</v>
      </c>
      <c r="T1254" s="245">
        <f t="shared" si="561"/>
        <v>0</v>
      </c>
      <c r="U1254" s="470"/>
      <c r="V1254" s="231"/>
      <c r="W1254" s="231"/>
    </row>
    <row r="1255" spans="1:23" s="551" customFormat="1" ht="24" customHeight="1">
      <c r="L1255" s="245"/>
      <c r="M1255" s="245"/>
      <c r="N1255" s="246"/>
      <c r="O1255" s="246"/>
      <c r="P1255" s="245"/>
      <c r="Q1255" s="245"/>
      <c r="R1255" s="245"/>
      <c r="S1255" s="245"/>
      <c r="T1255" s="245"/>
      <c r="U1255" s="549"/>
    </row>
    <row r="1256" spans="1:23" s="551" customFormat="1" ht="24" customHeight="1">
      <c r="G1256" s="771" t="s">
        <v>1336</v>
      </c>
      <c r="H1256" s="771"/>
      <c r="I1256" s="771"/>
      <c r="J1256" s="771"/>
      <c r="K1256" s="771"/>
      <c r="L1256" s="277">
        <f>SUM(L1257:L1258)</f>
        <v>0</v>
      </c>
      <c r="M1256" s="277">
        <f t="shared" ref="M1256:T1256" si="562">SUM(M1257:M1258)</f>
        <v>0</v>
      </c>
      <c r="N1256" s="278">
        <f t="shared" si="562"/>
        <v>5650000</v>
      </c>
      <c r="O1256" s="278">
        <f t="shared" si="562"/>
        <v>1260000</v>
      </c>
      <c r="P1256" s="277">
        <f t="shared" si="562"/>
        <v>3710000</v>
      </c>
      <c r="Q1256" s="277">
        <f t="shared" si="562"/>
        <v>630000</v>
      </c>
      <c r="R1256" s="277">
        <f t="shared" si="562"/>
        <v>0</v>
      </c>
      <c r="S1256" s="277">
        <f t="shared" si="562"/>
        <v>0</v>
      </c>
      <c r="T1256" s="277">
        <f t="shared" si="562"/>
        <v>0</v>
      </c>
      <c r="U1256" s="549"/>
      <c r="V1256" s="556"/>
      <c r="W1256" s="556"/>
    </row>
    <row r="1257" spans="1:23" s="551" customFormat="1" ht="24" customHeight="1">
      <c r="G1257" s="548"/>
      <c r="H1257" s="548"/>
      <c r="I1257" s="548"/>
      <c r="J1257" s="548"/>
      <c r="K1257" s="551" t="s">
        <v>1183</v>
      </c>
      <c r="L1257" s="245">
        <f t="shared" ref="L1257:T1257" si="563">L424</f>
        <v>0</v>
      </c>
      <c r="M1257" s="245">
        <f t="shared" si="563"/>
        <v>0</v>
      </c>
      <c r="N1257" s="246">
        <f t="shared" si="563"/>
        <v>1400000</v>
      </c>
      <c r="O1257" s="246">
        <f t="shared" si="563"/>
        <v>420000</v>
      </c>
      <c r="P1257" s="245">
        <f t="shared" si="563"/>
        <v>770000</v>
      </c>
      <c r="Q1257" s="245">
        <f t="shared" si="563"/>
        <v>210000</v>
      </c>
      <c r="R1257" s="245">
        <f t="shared" si="563"/>
        <v>0</v>
      </c>
      <c r="S1257" s="245">
        <f t="shared" si="563"/>
        <v>0</v>
      </c>
      <c r="T1257" s="245">
        <f t="shared" si="563"/>
        <v>0</v>
      </c>
      <c r="U1257" s="549"/>
      <c r="V1257" s="231"/>
      <c r="W1257" s="231"/>
    </row>
    <row r="1258" spans="1:23" s="551" customFormat="1" ht="24" customHeight="1">
      <c r="G1258" s="548"/>
      <c r="H1258" s="548"/>
      <c r="I1258" s="548"/>
      <c r="J1258" s="548"/>
      <c r="K1258" s="551" t="s">
        <v>621</v>
      </c>
      <c r="L1258" s="245">
        <f t="shared" ref="L1258:T1258" si="564">L623</f>
        <v>0</v>
      </c>
      <c r="M1258" s="245">
        <f t="shared" si="564"/>
        <v>0</v>
      </c>
      <c r="N1258" s="246">
        <f t="shared" si="564"/>
        <v>4250000</v>
      </c>
      <c r="O1258" s="246">
        <f t="shared" si="564"/>
        <v>840000</v>
      </c>
      <c r="P1258" s="245">
        <f t="shared" si="564"/>
        <v>2940000</v>
      </c>
      <c r="Q1258" s="245">
        <f t="shared" si="564"/>
        <v>420000</v>
      </c>
      <c r="R1258" s="245">
        <f t="shared" si="564"/>
        <v>0</v>
      </c>
      <c r="S1258" s="245">
        <f t="shared" si="564"/>
        <v>0</v>
      </c>
      <c r="T1258" s="245">
        <f t="shared" si="564"/>
        <v>0</v>
      </c>
      <c r="U1258" s="549"/>
      <c r="V1258" s="231"/>
      <c r="W1258" s="231"/>
    </row>
    <row r="1259" spans="1:23" s="553" customFormat="1" ht="24" customHeight="1">
      <c r="G1259" s="554"/>
      <c r="H1259" s="554"/>
      <c r="I1259" s="554"/>
      <c r="J1259" s="554"/>
      <c r="L1259" s="245"/>
      <c r="M1259" s="245"/>
      <c r="N1259" s="246"/>
      <c r="O1259" s="246"/>
      <c r="P1259" s="245"/>
      <c r="Q1259" s="245"/>
      <c r="R1259" s="245"/>
      <c r="S1259" s="245"/>
      <c r="T1259" s="245"/>
      <c r="U1259" s="555"/>
      <c r="V1259" s="233"/>
    </row>
    <row r="1260" spans="1:23" s="574" customFormat="1" ht="24" customHeight="1">
      <c r="A1260" s="317" t="s">
        <v>1362</v>
      </c>
      <c r="B1260" s="317"/>
      <c r="C1260" s="317"/>
      <c r="D1260" s="317"/>
      <c r="E1260" s="317"/>
      <c r="F1260" s="317"/>
      <c r="G1260" s="317"/>
      <c r="H1260" s="317"/>
      <c r="I1260" s="317"/>
      <c r="J1260" s="317"/>
      <c r="K1260" s="317"/>
      <c r="L1260" s="319"/>
      <c r="M1260" s="319"/>
      <c r="N1260" s="319"/>
      <c r="O1260" s="319"/>
      <c r="P1260" s="319"/>
      <c r="Q1260" s="319"/>
      <c r="R1260" s="319"/>
      <c r="S1260" s="319"/>
      <c r="T1260" s="319"/>
      <c r="U1260" s="319"/>
      <c r="V1260" s="319"/>
      <c r="W1260" s="319"/>
    </row>
    <row r="1261" spans="1:23" s="574" customFormat="1" ht="24" customHeight="1">
      <c r="G1261" s="573"/>
      <c r="H1261" s="573"/>
      <c r="I1261" s="573"/>
      <c r="J1261" s="573"/>
      <c r="L1261" s="245"/>
      <c r="M1261" s="245"/>
      <c r="N1261" s="246"/>
      <c r="O1261" s="246"/>
      <c r="P1261" s="245"/>
      <c r="Q1261" s="245"/>
      <c r="R1261" s="245"/>
      <c r="S1261" s="245"/>
      <c r="T1261" s="245"/>
      <c r="U1261" s="575"/>
      <c r="V1261" s="233"/>
    </row>
    <row r="1262" spans="1:23" s="553" customFormat="1" ht="24" customHeight="1">
      <c r="G1262" s="771" t="s">
        <v>1339</v>
      </c>
      <c r="H1262" s="771"/>
      <c r="I1262" s="771"/>
      <c r="J1262" s="771"/>
      <c r="K1262" s="771"/>
      <c r="L1262" s="277">
        <f>SUM(L1263:L1263)</f>
        <v>0</v>
      </c>
      <c r="M1262" s="277">
        <f t="shared" ref="M1262:T1262" si="565">SUM(M1263:M1263)</f>
        <v>0</v>
      </c>
      <c r="N1262" s="278">
        <f t="shared" si="565"/>
        <v>143000</v>
      </c>
      <c r="O1262" s="278">
        <f t="shared" si="565"/>
        <v>143000</v>
      </c>
      <c r="P1262" s="277">
        <f t="shared" si="565"/>
        <v>0</v>
      </c>
      <c r="Q1262" s="277">
        <f t="shared" si="565"/>
        <v>166000</v>
      </c>
      <c r="R1262" s="277">
        <f t="shared" si="565"/>
        <v>124000</v>
      </c>
      <c r="S1262" s="277">
        <f t="shared" si="565"/>
        <v>148000</v>
      </c>
      <c r="T1262" s="277">
        <f t="shared" si="565"/>
        <v>0</v>
      </c>
      <c r="U1262" s="555"/>
      <c r="V1262" s="556"/>
      <c r="W1262" s="556"/>
    </row>
    <row r="1263" spans="1:23" s="553" customFormat="1" ht="24" customHeight="1">
      <c r="G1263" s="554"/>
      <c r="H1263" s="554"/>
      <c r="I1263" s="554"/>
      <c r="J1263" s="554"/>
      <c r="K1263" s="553" t="s">
        <v>621</v>
      </c>
      <c r="L1263" s="245">
        <f t="shared" ref="L1263:T1263" si="566">L616</f>
        <v>0</v>
      </c>
      <c r="M1263" s="245">
        <f t="shared" si="566"/>
        <v>0</v>
      </c>
      <c r="N1263" s="246">
        <f t="shared" si="566"/>
        <v>143000</v>
      </c>
      <c r="O1263" s="246">
        <f t="shared" si="566"/>
        <v>143000</v>
      </c>
      <c r="P1263" s="245">
        <f t="shared" si="566"/>
        <v>0</v>
      </c>
      <c r="Q1263" s="245">
        <f t="shared" si="566"/>
        <v>166000</v>
      </c>
      <c r="R1263" s="245">
        <f t="shared" si="566"/>
        <v>124000</v>
      </c>
      <c r="S1263" s="245">
        <f t="shared" si="566"/>
        <v>148000</v>
      </c>
      <c r="T1263" s="245">
        <f t="shared" si="566"/>
        <v>0</v>
      </c>
      <c r="U1263" s="555"/>
      <c r="V1263" s="231"/>
      <c r="W1263" s="231"/>
    </row>
    <row r="1264" spans="1:23" s="553" customFormat="1" ht="24" customHeight="1">
      <c r="G1264" s="554"/>
      <c r="H1264" s="554"/>
      <c r="I1264" s="554"/>
      <c r="J1264" s="554"/>
      <c r="L1264" s="245"/>
      <c r="M1264" s="245"/>
      <c r="N1264" s="246"/>
      <c r="O1264" s="246"/>
      <c r="P1264" s="245"/>
      <c r="Q1264" s="245"/>
      <c r="R1264" s="245"/>
      <c r="S1264" s="245"/>
      <c r="T1264" s="245"/>
      <c r="U1264" s="555"/>
      <c r="V1264" s="233"/>
    </row>
    <row r="1265" spans="1:23" s="553" customFormat="1" ht="24" customHeight="1">
      <c r="G1265" s="771" t="s">
        <v>1340</v>
      </c>
      <c r="H1265" s="771"/>
      <c r="I1265" s="771"/>
      <c r="J1265" s="771"/>
      <c r="K1265" s="771"/>
      <c r="L1265" s="277">
        <f>SUM(L1266:L1266)</f>
        <v>0</v>
      </c>
      <c r="M1265" s="277">
        <f t="shared" ref="M1265:T1265" si="567">SUM(M1266:M1266)</f>
        <v>0</v>
      </c>
      <c r="N1265" s="278">
        <f t="shared" si="567"/>
        <v>35000</v>
      </c>
      <c r="O1265" s="278">
        <f t="shared" si="567"/>
        <v>30000</v>
      </c>
      <c r="P1265" s="277">
        <f>SUM(P1266:P1266)</f>
        <v>5000</v>
      </c>
      <c r="Q1265" s="277">
        <f t="shared" si="567"/>
        <v>0</v>
      </c>
      <c r="R1265" s="277">
        <f>SUM(R1266:R1266)</f>
        <v>481250</v>
      </c>
      <c r="S1265" s="277">
        <f t="shared" si="567"/>
        <v>481250</v>
      </c>
      <c r="T1265" s="277">
        <f t="shared" si="567"/>
        <v>0</v>
      </c>
      <c r="U1265" s="555"/>
      <c r="V1265" s="556"/>
      <c r="W1265" s="556"/>
    </row>
    <row r="1266" spans="1:23" s="553" customFormat="1" ht="24" customHeight="1">
      <c r="G1266" s="554"/>
      <c r="H1266" s="554"/>
      <c r="I1266" s="554"/>
      <c r="J1266" s="554"/>
      <c r="K1266" s="553" t="s">
        <v>621</v>
      </c>
      <c r="L1266" s="245">
        <f t="shared" ref="L1266:T1266" si="568">L620</f>
        <v>0</v>
      </c>
      <c r="M1266" s="245">
        <f t="shared" si="568"/>
        <v>0</v>
      </c>
      <c r="N1266" s="246">
        <f t="shared" si="568"/>
        <v>35000</v>
      </c>
      <c r="O1266" s="246">
        <f t="shared" si="568"/>
        <v>30000</v>
      </c>
      <c r="P1266" s="245">
        <f t="shared" si="568"/>
        <v>5000</v>
      </c>
      <c r="Q1266" s="245">
        <f t="shared" si="568"/>
        <v>0</v>
      </c>
      <c r="R1266" s="245">
        <f t="shared" si="568"/>
        <v>481250</v>
      </c>
      <c r="S1266" s="245">
        <f t="shared" si="568"/>
        <v>481250</v>
      </c>
      <c r="T1266" s="245">
        <f t="shared" si="568"/>
        <v>0</v>
      </c>
      <c r="U1266" s="555"/>
      <c r="V1266" s="231"/>
      <c r="W1266" s="231"/>
    </row>
    <row r="1267" spans="1:23" s="553" customFormat="1" ht="24" customHeight="1">
      <c r="G1267" s="554"/>
      <c r="H1267" s="554"/>
      <c r="I1267" s="554"/>
      <c r="J1267" s="554"/>
      <c r="L1267" s="245"/>
      <c r="M1267" s="245"/>
      <c r="N1267" s="246"/>
      <c r="O1267" s="246"/>
      <c r="P1267" s="245"/>
      <c r="Q1267" s="245"/>
      <c r="R1267" s="245"/>
      <c r="S1267" s="245"/>
      <c r="T1267" s="245"/>
      <c r="U1267" s="555"/>
      <c r="V1267" s="233"/>
    </row>
    <row r="1268" spans="1:23" s="553" customFormat="1" ht="24" customHeight="1">
      <c r="G1268" s="771" t="s">
        <v>1341</v>
      </c>
      <c r="H1268" s="771"/>
      <c r="I1268" s="771"/>
      <c r="J1268" s="771"/>
      <c r="K1268" s="771"/>
      <c r="L1268" s="277">
        <f>SUM(L1269:L1270)</f>
        <v>0</v>
      </c>
      <c r="M1268" s="277">
        <f t="shared" ref="M1268:T1268" si="569">SUM(M1269:M1270)</f>
        <v>98029</v>
      </c>
      <c r="N1268" s="278">
        <f t="shared" si="569"/>
        <v>0</v>
      </c>
      <c r="O1268" s="278">
        <f t="shared" si="569"/>
        <v>0</v>
      </c>
      <c r="P1268" s="277">
        <f t="shared" si="569"/>
        <v>0</v>
      </c>
      <c r="Q1268" s="277">
        <f t="shared" si="569"/>
        <v>0</v>
      </c>
      <c r="R1268" s="277">
        <f t="shared" si="569"/>
        <v>0</v>
      </c>
      <c r="S1268" s="277">
        <f t="shared" si="569"/>
        <v>0</v>
      </c>
      <c r="T1268" s="277">
        <f t="shared" si="569"/>
        <v>0</v>
      </c>
      <c r="U1268" s="555"/>
      <c r="V1268" s="556"/>
      <c r="W1268" s="556"/>
    </row>
    <row r="1269" spans="1:23" s="553" customFormat="1" ht="24" customHeight="1">
      <c r="G1269" s="554"/>
      <c r="H1269" s="554"/>
      <c r="I1269" s="554"/>
      <c r="J1269" s="554"/>
      <c r="K1269" s="553" t="s">
        <v>622</v>
      </c>
      <c r="L1269" s="245">
        <f t="shared" ref="L1269:T1269" si="570">L709</f>
        <v>0</v>
      </c>
      <c r="M1269" s="245">
        <f t="shared" si="570"/>
        <v>98029</v>
      </c>
      <c r="N1269" s="246">
        <f t="shared" si="570"/>
        <v>200000</v>
      </c>
      <c r="O1269" s="246">
        <f t="shared" si="570"/>
        <v>200000</v>
      </c>
      <c r="P1269" s="245">
        <f t="shared" si="570"/>
        <v>200000</v>
      </c>
      <c r="Q1269" s="245">
        <f t="shared" si="570"/>
        <v>200000</v>
      </c>
      <c r="R1269" s="245">
        <f t="shared" si="570"/>
        <v>200000</v>
      </c>
      <c r="S1269" s="245">
        <f t="shared" si="570"/>
        <v>200000</v>
      </c>
      <c r="T1269" s="245">
        <f t="shared" si="570"/>
        <v>200000</v>
      </c>
      <c r="U1269" s="555"/>
      <c r="V1269" s="231"/>
      <c r="W1269" s="231"/>
    </row>
    <row r="1270" spans="1:23" s="416" customFormat="1" ht="24" customHeight="1">
      <c r="K1270" s="411" t="s">
        <v>1412</v>
      </c>
      <c r="L1270" s="412">
        <f t="shared" ref="L1270:T1270" si="571">-L667</f>
        <v>0</v>
      </c>
      <c r="M1270" s="412">
        <f t="shared" si="571"/>
        <v>0</v>
      </c>
      <c r="N1270" s="428">
        <f t="shared" si="571"/>
        <v>-200000</v>
      </c>
      <c r="O1270" s="428">
        <f t="shared" si="571"/>
        <v>-200000</v>
      </c>
      <c r="P1270" s="412">
        <f t="shared" si="571"/>
        <v>-200000</v>
      </c>
      <c r="Q1270" s="412">
        <f t="shared" si="571"/>
        <v>-200000</v>
      </c>
      <c r="R1270" s="412">
        <f t="shared" si="571"/>
        <v>-200000</v>
      </c>
      <c r="S1270" s="412">
        <f t="shared" si="571"/>
        <v>-200000</v>
      </c>
      <c r="T1270" s="412">
        <f t="shared" si="571"/>
        <v>-200000</v>
      </c>
      <c r="U1270" s="470"/>
      <c r="V1270" s="425"/>
      <c r="W1270" s="425"/>
    </row>
    <row r="1271" spans="1:23" s="682" customFormat="1" ht="24" customHeight="1">
      <c r="K1271" s="411"/>
      <c r="L1271" s="412"/>
      <c r="M1271" s="412"/>
      <c r="N1271" s="428"/>
      <c r="O1271" s="428"/>
      <c r="P1271" s="412"/>
      <c r="Q1271" s="412"/>
      <c r="R1271" s="412"/>
      <c r="S1271" s="412"/>
      <c r="T1271" s="412"/>
      <c r="U1271" s="579"/>
      <c r="V1271" s="425"/>
      <c r="W1271" s="425"/>
    </row>
    <row r="1272" spans="1:23" s="682" customFormat="1" ht="24" customHeight="1">
      <c r="G1272" s="771" t="s">
        <v>1413</v>
      </c>
      <c r="H1272" s="771"/>
      <c r="I1272" s="771"/>
      <c r="J1272" s="771"/>
      <c r="K1272" s="771"/>
      <c r="L1272" s="277">
        <f>SUM(L1273:L1274)</f>
        <v>0</v>
      </c>
      <c r="M1272" s="277">
        <f t="shared" ref="M1272" si="572">SUM(M1273:M1274)</f>
        <v>0</v>
      </c>
      <c r="N1272" s="278">
        <f t="shared" ref="N1272" si="573">SUM(N1273:N1274)</f>
        <v>0</v>
      </c>
      <c r="O1272" s="278">
        <f t="shared" ref="O1272" si="574">SUM(O1273:O1274)</f>
        <v>0</v>
      </c>
      <c r="P1272" s="277">
        <f t="shared" ref="P1272" si="575">SUM(P1273:P1274)</f>
        <v>0</v>
      </c>
      <c r="Q1272" s="277">
        <f t="shared" ref="Q1272" si="576">SUM(Q1273:Q1274)</f>
        <v>0</v>
      </c>
      <c r="R1272" s="277">
        <f t="shared" ref="R1272" si="577">SUM(R1273:R1274)</f>
        <v>0</v>
      </c>
      <c r="S1272" s="277">
        <f t="shared" ref="S1272" si="578">SUM(S1273:S1274)</f>
        <v>0</v>
      </c>
      <c r="T1272" s="277">
        <f t="shared" ref="T1272" si="579">SUM(T1273:T1274)</f>
        <v>0</v>
      </c>
      <c r="U1272" s="579"/>
      <c r="V1272" s="556"/>
      <c r="W1272" s="556"/>
    </row>
    <row r="1273" spans="1:23" s="682" customFormat="1" ht="24" customHeight="1">
      <c r="G1273" s="681"/>
      <c r="H1273" s="681"/>
      <c r="I1273" s="681"/>
      <c r="J1273" s="681"/>
      <c r="K1273" s="682" t="s">
        <v>1183</v>
      </c>
      <c r="L1273" s="245">
        <f t="shared" ref="L1273:T1273" si="580">L414</f>
        <v>0</v>
      </c>
      <c r="M1273" s="245">
        <f t="shared" si="580"/>
        <v>0</v>
      </c>
      <c r="N1273" s="246">
        <f t="shared" si="580"/>
        <v>707138</v>
      </c>
      <c r="O1273" s="246">
        <f t="shared" si="580"/>
        <v>52076</v>
      </c>
      <c r="P1273" s="245">
        <f t="shared" si="580"/>
        <v>655062</v>
      </c>
      <c r="Q1273" s="245">
        <f t="shared" si="580"/>
        <v>0</v>
      </c>
      <c r="R1273" s="245">
        <f t="shared" si="580"/>
        <v>0</v>
      </c>
      <c r="S1273" s="245">
        <f t="shared" si="580"/>
        <v>0</v>
      </c>
      <c r="T1273" s="245">
        <f t="shared" si="580"/>
        <v>0</v>
      </c>
      <c r="U1273" s="579"/>
      <c r="V1273" s="231"/>
      <c r="W1273" s="231"/>
    </row>
    <row r="1274" spans="1:23" s="682" customFormat="1" ht="24" customHeight="1">
      <c r="K1274" s="411" t="s">
        <v>1184</v>
      </c>
      <c r="L1274" s="412">
        <f t="shared" ref="L1274:T1274" si="581">-L376</f>
        <v>0</v>
      </c>
      <c r="M1274" s="412">
        <f t="shared" si="581"/>
        <v>0</v>
      </c>
      <c r="N1274" s="428">
        <f t="shared" si="581"/>
        <v>-707138</v>
      </c>
      <c r="O1274" s="428">
        <f t="shared" si="581"/>
        <v>-52076</v>
      </c>
      <c r="P1274" s="412">
        <f t="shared" si="581"/>
        <v>-655062</v>
      </c>
      <c r="Q1274" s="412">
        <f t="shared" si="581"/>
        <v>0</v>
      </c>
      <c r="R1274" s="412">
        <f t="shared" si="581"/>
        <v>0</v>
      </c>
      <c r="S1274" s="412">
        <f t="shared" si="581"/>
        <v>0</v>
      </c>
      <c r="T1274" s="412">
        <f t="shared" si="581"/>
        <v>0</v>
      </c>
      <c r="U1274" s="579"/>
      <c r="V1274" s="425"/>
      <c r="W1274" s="425"/>
    </row>
    <row r="1275" spans="1:23" s="682" customFormat="1" ht="24" customHeight="1">
      <c r="K1275" s="411"/>
      <c r="L1275" s="412"/>
      <c r="M1275" s="412"/>
      <c r="N1275" s="428"/>
      <c r="O1275" s="428"/>
      <c r="P1275" s="412"/>
      <c r="Q1275" s="412"/>
      <c r="R1275" s="412"/>
      <c r="S1275" s="412"/>
      <c r="T1275" s="412"/>
      <c r="U1275" s="579"/>
      <c r="V1275" s="713"/>
    </row>
    <row r="1276" spans="1:23" s="409" customFormat="1" ht="24" customHeight="1">
      <c r="A1276" s="787" t="s">
        <v>1201</v>
      </c>
      <c r="B1276" s="787"/>
      <c r="C1276" s="787"/>
      <c r="D1276" s="787"/>
      <c r="E1276" s="787"/>
      <c r="F1276" s="787"/>
      <c r="G1276" s="787"/>
      <c r="H1276" s="787"/>
      <c r="I1276" s="787"/>
      <c r="J1276" s="787"/>
      <c r="K1276" s="787"/>
      <c r="L1276" s="787"/>
      <c r="M1276" s="787"/>
      <c r="N1276" s="787"/>
      <c r="O1276" s="787"/>
      <c r="P1276" s="787"/>
      <c r="Q1276" s="787"/>
      <c r="R1276" s="787"/>
      <c r="S1276" s="787"/>
      <c r="T1276" s="787"/>
      <c r="U1276" s="431"/>
      <c r="V1276" s="431"/>
      <c r="W1276" s="431"/>
    </row>
    <row r="1277" spans="1:23" ht="24" customHeight="1">
      <c r="N1277" s="213"/>
      <c r="O1277" s="213"/>
      <c r="V1277" s="448"/>
    </row>
    <row r="1278" spans="1:23" ht="24" customHeight="1">
      <c r="N1278" s="213"/>
      <c r="O1278" s="213"/>
      <c r="V1278" s="448"/>
    </row>
    <row r="1279" spans="1:23" ht="24" customHeight="1">
      <c r="N1279" s="213"/>
      <c r="O1279" s="213"/>
      <c r="V1279" s="448"/>
    </row>
    <row r="1280" spans="1:23" ht="24" customHeight="1">
      <c r="N1280" s="213"/>
      <c r="O1280" s="213"/>
      <c r="V1280" s="448"/>
    </row>
    <row r="1281" spans="14:22" ht="24" customHeight="1">
      <c r="N1281" s="213"/>
      <c r="O1281" s="213"/>
      <c r="V1281" s="448"/>
    </row>
    <row r="1282" spans="14:22" ht="24" customHeight="1">
      <c r="N1282" s="213"/>
      <c r="O1282" s="213"/>
      <c r="V1282" s="448"/>
    </row>
    <row r="1283" spans="14:22" ht="24" customHeight="1">
      <c r="N1283" s="213"/>
      <c r="O1283" s="213"/>
      <c r="V1283" s="448"/>
    </row>
    <row r="1284" spans="14:22" ht="24" customHeight="1">
      <c r="N1284" s="213"/>
      <c r="O1284" s="213"/>
      <c r="V1284" s="448"/>
    </row>
    <row r="1285" spans="14:22" ht="24" customHeight="1">
      <c r="N1285" s="213"/>
      <c r="O1285" s="213"/>
      <c r="V1285" s="448"/>
    </row>
    <row r="1286" spans="14:22" ht="24" customHeight="1">
      <c r="N1286" s="213"/>
      <c r="O1286" s="213"/>
      <c r="V1286" s="448"/>
    </row>
    <row r="1287" spans="14:22" ht="24" customHeight="1">
      <c r="N1287" s="213"/>
      <c r="O1287" s="213"/>
      <c r="V1287" s="448"/>
    </row>
    <row r="1288" spans="14:22" ht="24" customHeight="1">
      <c r="N1288" s="213"/>
      <c r="O1288" s="213"/>
      <c r="V1288" s="448"/>
    </row>
    <row r="1289" spans="14:22" ht="24" customHeight="1">
      <c r="N1289" s="213"/>
      <c r="O1289" s="213"/>
      <c r="V1289" s="448"/>
    </row>
    <row r="1290" spans="14:22" ht="24" customHeight="1">
      <c r="N1290" s="213"/>
      <c r="O1290" s="213"/>
      <c r="V1290" s="448"/>
    </row>
    <row r="1291" spans="14:22" ht="24" customHeight="1">
      <c r="N1291" s="213"/>
      <c r="O1291" s="213"/>
      <c r="V1291" s="448"/>
    </row>
    <row r="1292" spans="14:22" ht="24" customHeight="1">
      <c r="N1292" s="213"/>
      <c r="O1292" s="213"/>
      <c r="V1292" s="448"/>
    </row>
    <row r="1293" spans="14:22" ht="24" customHeight="1">
      <c r="N1293" s="213"/>
      <c r="O1293" s="213"/>
    </row>
    <row r="1294" spans="14:22" ht="24" customHeight="1">
      <c r="N1294" s="213"/>
      <c r="O1294" s="213"/>
    </row>
    <row r="1295" spans="14:22" ht="24" customHeight="1">
      <c r="N1295" s="213"/>
      <c r="O1295" s="213"/>
    </row>
    <row r="1296" spans="14:22" ht="24" customHeight="1">
      <c r="N1296" s="213"/>
      <c r="O1296" s="213"/>
    </row>
    <row r="1297" spans="14:15" ht="24" customHeight="1">
      <c r="N1297" s="213"/>
      <c r="O1297" s="213"/>
    </row>
    <row r="1298" spans="14:15" ht="24" customHeight="1">
      <c r="N1298" s="213"/>
      <c r="O1298" s="213"/>
    </row>
    <row r="1299" spans="14:15" ht="24" customHeight="1">
      <c r="N1299" s="213"/>
      <c r="O1299" s="213"/>
    </row>
    <row r="1300" spans="14:15" ht="24" customHeight="1">
      <c r="N1300" s="213"/>
      <c r="O1300" s="213"/>
    </row>
    <row r="1301" spans="14:15" ht="24" customHeight="1">
      <c r="N1301" s="213"/>
      <c r="O1301" s="213"/>
    </row>
    <row r="1302" spans="14:15" ht="24" customHeight="1">
      <c r="N1302" s="213"/>
      <c r="O1302" s="213"/>
    </row>
    <row r="1303" spans="14:15" ht="24" customHeight="1">
      <c r="N1303" s="213"/>
      <c r="O1303" s="213"/>
    </row>
    <row r="1304" spans="14:15" ht="24" customHeight="1">
      <c r="N1304" s="213"/>
      <c r="O1304" s="213"/>
    </row>
    <row r="1305" spans="14:15" ht="24" customHeight="1">
      <c r="N1305" s="213"/>
      <c r="O1305" s="213"/>
    </row>
    <row r="1306" spans="14:15" ht="24" customHeight="1">
      <c r="N1306" s="213"/>
      <c r="O1306" s="213"/>
    </row>
    <row r="1307" spans="14:15" ht="24" customHeight="1">
      <c r="N1307" s="213"/>
      <c r="O1307" s="213"/>
    </row>
    <row r="1308" spans="14:15" ht="24" customHeight="1">
      <c r="N1308" s="213"/>
      <c r="O1308" s="213"/>
    </row>
    <row r="1309" spans="14:15" ht="24" customHeight="1">
      <c r="N1309" s="213"/>
      <c r="O1309" s="213"/>
    </row>
    <row r="1310" spans="14:15" ht="24" customHeight="1">
      <c r="N1310" s="213"/>
      <c r="O1310" s="213"/>
    </row>
    <row r="1311" spans="14:15" ht="24" customHeight="1">
      <c r="N1311" s="213"/>
      <c r="O1311" s="213"/>
    </row>
    <row r="1312" spans="14:15" ht="24" customHeight="1">
      <c r="N1312" s="213"/>
      <c r="O1312" s="213"/>
    </row>
    <row r="1313" spans="14:15" ht="24" customHeight="1">
      <c r="N1313" s="213"/>
      <c r="O1313" s="213"/>
    </row>
    <row r="1314" spans="14:15" ht="24" customHeight="1">
      <c r="N1314" s="213"/>
      <c r="O1314" s="213"/>
    </row>
    <row r="1315" spans="14:15" ht="24" customHeight="1">
      <c r="N1315" s="213"/>
      <c r="O1315" s="213"/>
    </row>
    <row r="1316" spans="14:15" ht="24" customHeight="1">
      <c r="N1316" s="213"/>
      <c r="O1316" s="213"/>
    </row>
    <row r="1317" spans="14:15" ht="24" customHeight="1">
      <c r="N1317" s="213"/>
      <c r="O1317" s="213"/>
    </row>
    <row r="1318" spans="14:15" ht="24" customHeight="1">
      <c r="N1318" s="213"/>
      <c r="O1318" s="213"/>
    </row>
    <row r="1319" spans="14:15" ht="24" customHeight="1">
      <c r="N1319" s="213"/>
      <c r="O1319" s="213"/>
    </row>
    <row r="1320" spans="14:15" ht="24" customHeight="1">
      <c r="N1320" s="213"/>
      <c r="O1320" s="213"/>
    </row>
    <row r="1321" spans="14:15" ht="24" customHeight="1">
      <c r="N1321" s="213"/>
      <c r="O1321" s="213"/>
    </row>
    <row r="1322" spans="14:15" ht="24" customHeight="1">
      <c r="N1322" s="213"/>
      <c r="O1322" s="213"/>
    </row>
    <row r="1323" spans="14:15" ht="24" customHeight="1">
      <c r="N1323" s="213"/>
      <c r="O1323" s="213"/>
    </row>
    <row r="1324" spans="14:15" ht="24" customHeight="1">
      <c r="N1324" s="213"/>
      <c r="O1324" s="213"/>
    </row>
    <row r="1325" spans="14:15" ht="24" customHeight="1">
      <c r="N1325" s="213"/>
      <c r="O1325" s="213"/>
    </row>
    <row r="1326" spans="14:15" ht="24" customHeight="1">
      <c r="N1326" s="213"/>
      <c r="O1326" s="213"/>
    </row>
    <row r="1327" spans="14:15" ht="24" customHeight="1">
      <c r="N1327" s="213"/>
      <c r="O1327" s="213"/>
    </row>
    <row r="1328" spans="14:15" ht="24" customHeight="1">
      <c r="N1328" s="213"/>
      <c r="O1328" s="213"/>
    </row>
    <row r="1329" spans="14:15" ht="24" customHeight="1">
      <c r="N1329" s="213"/>
      <c r="O1329" s="213"/>
    </row>
    <row r="1330" spans="14:15" ht="24" customHeight="1">
      <c r="N1330" s="213"/>
      <c r="O1330" s="213"/>
    </row>
    <row r="1331" spans="14:15" ht="24" customHeight="1">
      <c r="N1331" s="213"/>
      <c r="O1331" s="213"/>
    </row>
    <row r="1332" spans="14:15" ht="24" customHeight="1">
      <c r="N1332" s="213"/>
      <c r="O1332" s="213"/>
    </row>
    <row r="1333" spans="14:15" ht="24" customHeight="1">
      <c r="N1333" s="213"/>
      <c r="O1333" s="213"/>
    </row>
    <row r="1334" spans="14:15" ht="24" customHeight="1">
      <c r="N1334" s="213"/>
      <c r="O1334" s="213"/>
    </row>
    <row r="1335" spans="14:15" ht="24" customHeight="1">
      <c r="N1335" s="213"/>
      <c r="O1335" s="213"/>
    </row>
    <row r="1336" spans="14:15" ht="24" customHeight="1">
      <c r="N1336" s="213"/>
      <c r="O1336" s="213"/>
    </row>
    <row r="1337" spans="14:15" ht="24" customHeight="1">
      <c r="N1337" s="213"/>
      <c r="O1337" s="213"/>
    </row>
    <row r="1338" spans="14:15" ht="24" customHeight="1">
      <c r="N1338" s="213"/>
      <c r="O1338" s="213"/>
    </row>
    <row r="1339" spans="14:15" ht="24" customHeight="1">
      <c r="N1339" s="213"/>
      <c r="O1339" s="213"/>
    </row>
    <row r="1340" spans="14:15" ht="24" customHeight="1">
      <c r="N1340" s="213"/>
      <c r="O1340" s="213"/>
    </row>
    <row r="1341" spans="14:15" ht="24" customHeight="1">
      <c r="N1341" s="213"/>
      <c r="O1341" s="213"/>
    </row>
    <row r="1342" spans="14:15" ht="24" customHeight="1">
      <c r="N1342" s="213"/>
      <c r="O1342" s="213"/>
    </row>
    <row r="1343" spans="14:15" ht="24" customHeight="1">
      <c r="N1343" s="213"/>
      <c r="O1343" s="213"/>
    </row>
    <row r="1344" spans="14:15" ht="24" customHeight="1">
      <c r="N1344" s="213"/>
      <c r="O1344" s="213"/>
    </row>
    <row r="1345" spans="14:15" ht="24" customHeight="1">
      <c r="N1345" s="213"/>
      <c r="O1345" s="213"/>
    </row>
    <row r="1346" spans="14:15" ht="24" customHeight="1">
      <c r="N1346" s="213"/>
      <c r="O1346" s="213"/>
    </row>
    <row r="1347" spans="14:15" ht="24" customHeight="1">
      <c r="N1347" s="213"/>
      <c r="O1347" s="213"/>
    </row>
    <row r="1348" spans="14:15" ht="24" customHeight="1">
      <c r="N1348" s="213"/>
      <c r="O1348" s="213"/>
    </row>
    <row r="1349" spans="14:15" ht="24" customHeight="1">
      <c r="N1349" s="213"/>
      <c r="O1349" s="213"/>
    </row>
    <row r="1350" spans="14:15" ht="24" customHeight="1">
      <c r="N1350" s="213"/>
      <c r="O1350" s="213"/>
    </row>
    <row r="1351" spans="14:15" ht="24" customHeight="1">
      <c r="N1351" s="213"/>
      <c r="O1351" s="213"/>
    </row>
    <row r="1352" spans="14:15" ht="24" customHeight="1">
      <c r="N1352" s="213"/>
      <c r="O1352" s="213"/>
    </row>
    <row r="1353" spans="14:15" ht="24" customHeight="1">
      <c r="N1353" s="213"/>
      <c r="O1353" s="213"/>
    </row>
    <row r="1354" spans="14:15" ht="24" customHeight="1">
      <c r="N1354" s="213"/>
      <c r="O1354" s="213"/>
    </row>
    <row r="1355" spans="14:15" ht="24" customHeight="1">
      <c r="N1355" s="213"/>
      <c r="O1355" s="213"/>
    </row>
    <row r="1356" spans="14:15" ht="24" customHeight="1">
      <c r="N1356" s="213"/>
      <c r="O1356" s="213"/>
    </row>
    <row r="1357" spans="14:15" ht="24" customHeight="1">
      <c r="N1357" s="213"/>
      <c r="O1357" s="213"/>
    </row>
    <row r="1358" spans="14:15" ht="24" customHeight="1">
      <c r="N1358" s="213"/>
      <c r="O1358" s="213"/>
    </row>
    <row r="1359" spans="14:15" ht="24" customHeight="1">
      <c r="N1359" s="213"/>
      <c r="O1359" s="213"/>
    </row>
    <row r="1360" spans="14:15" ht="24" customHeight="1">
      <c r="N1360" s="213"/>
      <c r="O1360" s="213"/>
    </row>
    <row r="1361" spans="14:15" ht="24" customHeight="1">
      <c r="N1361" s="213"/>
      <c r="O1361" s="213"/>
    </row>
    <row r="1362" spans="14:15" ht="24" customHeight="1">
      <c r="N1362" s="213"/>
      <c r="O1362" s="213"/>
    </row>
    <row r="1363" spans="14:15" ht="24" customHeight="1">
      <c r="N1363" s="213"/>
      <c r="O1363" s="213"/>
    </row>
    <row r="1364" spans="14:15" ht="24" customHeight="1">
      <c r="N1364" s="213"/>
      <c r="O1364" s="213"/>
    </row>
    <row r="1365" spans="14:15" ht="24" customHeight="1">
      <c r="N1365" s="213"/>
      <c r="O1365" s="213"/>
    </row>
    <row r="1366" spans="14:15" ht="24" customHeight="1">
      <c r="N1366" s="213"/>
      <c r="O1366" s="213"/>
    </row>
    <row r="1367" spans="14:15" ht="24" customHeight="1">
      <c r="N1367" s="213"/>
      <c r="O1367" s="213"/>
    </row>
    <row r="1368" spans="14:15" ht="24" customHeight="1">
      <c r="N1368" s="213"/>
      <c r="O1368" s="213"/>
    </row>
    <row r="1369" spans="14:15" ht="24" customHeight="1">
      <c r="N1369" s="213"/>
      <c r="O1369" s="213"/>
    </row>
    <row r="1370" spans="14:15" ht="24" customHeight="1">
      <c r="N1370" s="213"/>
      <c r="O1370" s="213"/>
    </row>
    <row r="1371" spans="14:15" ht="24" customHeight="1">
      <c r="N1371" s="213"/>
      <c r="O1371" s="213"/>
    </row>
    <row r="1372" spans="14:15" ht="24" customHeight="1">
      <c r="N1372" s="213"/>
      <c r="O1372" s="213"/>
    </row>
    <row r="1373" spans="14:15" ht="24" customHeight="1">
      <c r="N1373" s="213"/>
      <c r="O1373" s="213"/>
    </row>
    <row r="1374" spans="14:15" ht="24" customHeight="1">
      <c r="N1374" s="213"/>
      <c r="O1374" s="213"/>
    </row>
    <row r="1375" spans="14:15" ht="24" customHeight="1">
      <c r="N1375" s="213"/>
      <c r="O1375" s="213"/>
    </row>
    <row r="1376" spans="14:15" ht="24" customHeight="1">
      <c r="N1376" s="213"/>
      <c r="O1376" s="213"/>
    </row>
    <row r="1377" spans="14:15" ht="24" customHeight="1">
      <c r="N1377" s="213"/>
      <c r="O1377" s="213"/>
    </row>
    <row r="1378" spans="14:15" ht="24" customHeight="1">
      <c r="N1378" s="213"/>
      <c r="O1378" s="213"/>
    </row>
    <row r="1379" spans="14:15" ht="24" customHeight="1">
      <c r="N1379" s="213"/>
      <c r="O1379" s="213"/>
    </row>
    <row r="1380" spans="14:15" ht="24" customHeight="1">
      <c r="N1380" s="213"/>
      <c r="O1380" s="213"/>
    </row>
    <row r="1381" spans="14:15" ht="24" customHeight="1">
      <c r="N1381" s="213"/>
      <c r="O1381" s="213"/>
    </row>
    <row r="1382" spans="14:15" ht="24" customHeight="1">
      <c r="N1382" s="213"/>
      <c r="O1382" s="213"/>
    </row>
    <row r="1383" spans="14:15" ht="24" customHeight="1">
      <c r="N1383" s="213"/>
      <c r="O1383" s="213"/>
    </row>
    <row r="1384" spans="14:15" ht="24" customHeight="1">
      <c r="N1384" s="213"/>
      <c r="O1384" s="213"/>
    </row>
    <row r="1385" spans="14:15" ht="24" customHeight="1">
      <c r="N1385" s="213"/>
      <c r="O1385" s="213"/>
    </row>
    <row r="1386" spans="14:15" ht="24" customHeight="1">
      <c r="N1386" s="213"/>
      <c r="O1386" s="213"/>
    </row>
    <row r="1387" spans="14:15" ht="24" customHeight="1">
      <c r="N1387" s="213"/>
      <c r="O1387" s="213"/>
    </row>
    <row r="1388" spans="14:15" ht="24" customHeight="1">
      <c r="N1388" s="213"/>
      <c r="O1388" s="213"/>
    </row>
    <row r="1389" spans="14:15" ht="24" customHeight="1">
      <c r="N1389" s="213"/>
      <c r="O1389" s="213"/>
    </row>
    <row r="1390" spans="14:15" ht="24" customHeight="1">
      <c r="N1390" s="213"/>
      <c r="O1390" s="213"/>
    </row>
    <row r="1391" spans="14:15" ht="24" customHeight="1">
      <c r="N1391" s="213"/>
      <c r="O1391" s="213"/>
    </row>
    <row r="1392" spans="14:15" ht="24" customHeight="1">
      <c r="N1392" s="213"/>
      <c r="O1392" s="213"/>
    </row>
    <row r="1393" spans="14:15" ht="24" customHeight="1">
      <c r="N1393" s="213"/>
      <c r="O1393" s="213"/>
    </row>
    <row r="1394" spans="14:15" ht="24" customHeight="1">
      <c r="N1394" s="213"/>
      <c r="O1394" s="213"/>
    </row>
    <row r="1395" spans="14:15" ht="24" customHeight="1">
      <c r="N1395" s="213"/>
      <c r="O1395" s="213"/>
    </row>
    <row r="1396" spans="14:15" ht="24" customHeight="1">
      <c r="N1396" s="213"/>
      <c r="O1396" s="213"/>
    </row>
    <row r="1397" spans="14:15" ht="24" customHeight="1">
      <c r="N1397" s="213"/>
      <c r="O1397" s="213"/>
    </row>
    <row r="1398" spans="14:15" ht="24" customHeight="1">
      <c r="N1398" s="213"/>
      <c r="O1398" s="213"/>
    </row>
    <row r="1399" spans="14:15" ht="24" customHeight="1">
      <c r="N1399" s="213"/>
      <c r="O1399" s="213"/>
    </row>
    <row r="1400" spans="14:15" ht="24" customHeight="1">
      <c r="N1400" s="213"/>
      <c r="O1400" s="213"/>
    </row>
    <row r="1401" spans="14:15" ht="24" customHeight="1">
      <c r="N1401" s="213"/>
      <c r="O1401" s="213"/>
    </row>
    <row r="1402" spans="14:15" ht="24" customHeight="1">
      <c r="N1402" s="213"/>
      <c r="O1402" s="213"/>
    </row>
    <row r="1403" spans="14:15" ht="24" customHeight="1">
      <c r="N1403" s="213"/>
      <c r="O1403" s="213"/>
    </row>
    <row r="1404" spans="14:15" ht="24" customHeight="1">
      <c r="N1404" s="213"/>
      <c r="O1404" s="213"/>
    </row>
    <row r="1405" spans="14:15" ht="24" customHeight="1">
      <c r="N1405" s="213"/>
      <c r="O1405" s="213"/>
    </row>
    <row r="1406" spans="14:15" ht="24" customHeight="1">
      <c r="N1406" s="213"/>
      <c r="O1406" s="213"/>
    </row>
    <row r="1407" spans="14:15" ht="24" customHeight="1">
      <c r="N1407" s="213"/>
      <c r="O1407" s="213"/>
    </row>
    <row r="1408" spans="14:15" ht="24" customHeight="1">
      <c r="N1408" s="213"/>
      <c r="O1408" s="213"/>
    </row>
    <row r="1409" spans="14:15" ht="24" customHeight="1">
      <c r="N1409" s="213"/>
      <c r="O1409" s="213"/>
    </row>
    <row r="1410" spans="14:15" ht="24" customHeight="1">
      <c r="N1410" s="213"/>
      <c r="O1410" s="213"/>
    </row>
    <row r="1411" spans="14:15" ht="24" customHeight="1">
      <c r="N1411" s="213"/>
      <c r="O1411" s="213"/>
    </row>
    <row r="1412" spans="14:15" ht="24" customHeight="1">
      <c r="N1412" s="213"/>
      <c r="O1412" s="213"/>
    </row>
    <row r="1413" spans="14:15" ht="24" customHeight="1">
      <c r="N1413" s="213"/>
      <c r="O1413" s="213"/>
    </row>
    <row r="1414" spans="14:15" ht="24" customHeight="1">
      <c r="N1414" s="213"/>
      <c r="O1414" s="213"/>
    </row>
    <row r="1415" spans="14:15" ht="24" customHeight="1">
      <c r="N1415" s="213"/>
      <c r="O1415" s="213"/>
    </row>
    <row r="1416" spans="14:15" ht="24" customHeight="1">
      <c r="N1416" s="213"/>
      <c r="O1416" s="213"/>
    </row>
    <row r="1417" spans="14:15" ht="24" customHeight="1">
      <c r="N1417" s="213"/>
      <c r="O1417" s="213"/>
    </row>
    <row r="1418" spans="14:15" ht="24" customHeight="1">
      <c r="N1418" s="213"/>
      <c r="O1418" s="213"/>
    </row>
    <row r="1419" spans="14:15" ht="24" customHeight="1">
      <c r="N1419" s="213"/>
      <c r="O1419" s="213"/>
    </row>
    <row r="1420" spans="14:15" ht="24" customHeight="1">
      <c r="N1420" s="213"/>
      <c r="O1420" s="213"/>
    </row>
    <row r="1421" spans="14:15" ht="24" customHeight="1">
      <c r="N1421" s="213"/>
      <c r="O1421" s="213"/>
    </row>
    <row r="1422" spans="14:15" ht="24" customHeight="1">
      <c r="N1422" s="213"/>
      <c r="O1422" s="213"/>
    </row>
    <row r="1423" spans="14:15" ht="24" customHeight="1">
      <c r="N1423" s="213"/>
      <c r="O1423" s="213"/>
    </row>
    <row r="1424" spans="14:15" ht="24" customHeight="1">
      <c r="N1424" s="213"/>
      <c r="O1424" s="213"/>
    </row>
    <row r="1425" spans="14:15" ht="24" customHeight="1">
      <c r="N1425" s="213"/>
      <c r="O1425" s="213"/>
    </row>
    <row r="1426" spans="14:15" ht="24" customHeight="1">
      <c r="N1426" s="213"/>
      <c r="O1426" s="213"/>
    </row>
    <row r="1427" spans="14:15" ht="24" customHeight="1">
      <c r="N1427" s="213"/>
      <c r="O1427" s="213"/>
    </row>
    <row r="1428" spans="14:15" ht="24" customHeight="1">
      <c r="N1428" s="213"/>
      <c r="O1428" s="213"/>
    </row>
    <row r="1429" spans="14:15" ht="24" customHeight="1">
      <c r="N1429" s="213"/>
      <c r="O1429" s="213"/>
    </row>
    <row r="1430" spans="14:15" ht="24" customHeight="1">
      <c r="N1430" s="213"/>
      <c r="O1430" s="213"/>
    </row>
    <row r="1431" spans="14:15" ht="24" customHeight="1">
      <c r="N1431" s="213"/>
      <c r="O1431" s="213"/>
    </row>
    <row r="1432" spans="14:15" ht="24" customHeight="1">
      <c r="N1432" s="213"/>
      <c r="O1432" s="213"/>
    </row>
    <row r="1433" spans="14:15" ht="24" customHeight="1">
      <c r="N1433" s="213"/>
      <c r="O1433" s="213"/>
    </row>
    <row r="1434" spans="14:15" ht="24" customHeight="1">
      <c r="N1434" s="213"/>
      <c r="O1434" s="213"/>
    </row>
    <row r="1435" spans="14:15" ht="24" customHeight="1">
      <c r="N1435" s="213"/>
      <c r="O1435" s="213"/>
    </row>
    <row r="1436" spans="14:15" ht="24" customHeight="1">
      <c r="N1436" s="213"/>
      <c r="O1436" s="213"/>
    </row>
    <row r="1437" spans="14:15" ht="24" customHeight="1">
      <c r="N1437" s="213"/>
      <c r="O1437" s="213"/>
    </row>
    <row r="1438" spans="14:15" ht="24" customHeight="1">
      <c r="N1438" s="213"/>
      <c r="O1438" s="213"/>
    </row>
    <row r="1439" spans="14:15" ht="24" customHeight="1">
      <c r="N1439" s="213"/>
      <c r="O1439" s="213"/>
    </row>
    <row r="1440" spans="14:15" ht="24" customHeight="1">
      <c r="N1440" s="213"/>
      <c r="O1440" s="213"/>
    </row>
    <row r="1441" spans="14:15" ht="24" customHeight="1">
      <c r="N1441" s="213"/>
      <c r="O1441" s="213"/>
    </row>
    <row r="1442" spans="14:15" ht="24" customHeight="1">
      <c r="N1442" s="213"/>
      <c r="O1442" s="213"/>
    </row>
    <row r="1443" spans="14:15" ht="24" customHeight="1">
      <c r="N1443" s="213"/>
      <c r="O1443" s="213"/>
    </row>
    <row r="1444" spans="14:15" ht="24" customHeight="1">
      <c r="N1444" s="213"/>
      <c r="O1444" s="213"/>
    </row>
    <row r="1445" spans="14:15" ht="24" customHeight="1">
      <c r="N1445" s="213"/>
      <c r="O1445" s="213"/>
    </row>
    <row r="1446" spans="14:15" ht="24" customHeight="1">
      <c r="N1446" s="213"/>
      <c r="O1446" s="213"/>
    </row>
    <row r="1447" spans="14:15" ht="24" customHeight="1">
      <c r="N1447" s="213"/>
      <c r="O1447" s="213"/>
    </row>
    <row r="1448" spans="14:15" ht="24" customHeight="1">
      <c r="N1448" s="213"/>
      <c r="O1448" s="213"/>
    </row>
    <row r="1449" spans="14:15" ht="24" customHeight="1">
      <c r="N1449" s="213"/>
      <c r="O1449" s="213"/>
    </row>
    <row r="1450" spans="14:15" ht="24" customHeight="1">
      <c r="N1450" s="213"/>
      <c r="O1450" s="213"/>
    </row>
    <row r="1451" spans="14:15" ht="24" customHeight="1">
      <c r="N1451" s="213"/>
      <c r="O1451" s="213"/>
    </row>
    <row r="1452" spans="14:15" ht="24" customHeight="1">
      <c r="N1452" s="213"/>
      <c r="O1452" s="213"/>
    </row>
    <row r="1453" spans="14:15" ht="24" customHeight="1">
      <c r="N1453" s="213"/>
      <c r="O1453" s="213"/>
    </row>
    <row r="1454" spans="14:15" ht="24" customHeight="1">
      <c r="N1454" s="213"/>
      <c r="O1454" s="213"/>
    </row>
    <row r="1455" spans="14:15" ht="24" customHeight="1">
      <c r="N1455" s="213"/>
      <c r="O1455" s="213"/>
    </row>
    <row r="1456" spans="14:15" ht="24" customHeight="1">
      <c r="N1456" s="213"/>
      <c r="O1456" s="213"/>
    </row>
    <row r="1457" spans="14:15" ht="24" customHeight="1">
      <c r="N1457" s="213"/>
      <c r="O1457" s="213"/>
    </row>
    <row r="1458" spans="14:15" ht="24" customHeight="1">
      <c r="N1458" s="213"/>
      <c r="O1458" s="213"/>
    </row>
    <row r="1459" spans="14:15" ht="24" customHeight="1">
      <c r="N1459" s="213"/>
      <c r="O1459" s="213"/>
    </row>
    <row r="1460" spans="14:15" ht="24" customHeight="1">
      <c r="N1460" s="213"/>
      <c r="O1460" s="213"/>
    </row>
    <row r="1461" spans="14:15" ht="24" customHeight="1">
      <c r="N1461" s="213"/>
      <c r="O1461" s="213"/>
    </row>
    <row r="1462" spans="14:15" ht="24" customHeight="1">
      <c r="N1462" s="213"/>
      <c r="O1462" s="213"/>
    </row>
    <row r="1463" spans="14:15" ht="24" customHeight="1">
      <c r="N1463" s="213"/>
      <c r="O1463" s="213"/>
    </row>
    <row r="1464" spans="14:15" ht="24" customHeight="1">
      <c r="N1464" s="213"/>
      <c r="O1464" s="213"/>
    </row>
    <row r="1465" spans="14:15" ht="24" customHeight="1">
      <c r="N1465" s="213"/>
      <c r="O1465" s="213"/>
    </row>
    <row r="1466" spans="14:15" ht="24" customHeight="1">
      <c r="N1466" s="213"/>
      <c r="O1466" s="213"/>
    </row>
    <row r="1467" spans="14:15" ht="24" customHeight="1">
      <c r="N1467" s="213"/>
      <c r="O1467" s="213"/>
    </row>
    <row r="1468" spans="14:15" ht="24" customHeight="1">
      <c r="N1468" s="213"/>
      <c r="O1468" s="213"/>
    </row>
    <row r="1469" spans="14:15" ht="24" customHeight="1">
      <c r="N1469" s="213"/>
      <c r="O1469" s="213"/>
    </row>
    <row r="1470" spans="14:15" ht="24" customHeight="1">
      <c r="N1470" s="213"/>
      <c r="O1470" s="213"/>
    </row>
    <row r="1471" spans="14:15" ht="24" customHeight="1">
      <c r="N1471" s="213"/>
      <c r="O1471" s="213"/>
    </row>
    <row r="1472" spans="14:15" ht="24" customHeight="1">
      <c r="N1472" s="213"/>
      <c r="O1472" s="213"/>
    </row>
    <row r="1473" spans="14:15" ht="24" customHeight="1">
      <c r="N1473" s="213"/>
      <c r="O1473" s="213"/>
    </row>
    <row r="1474" spans="14:15" ht="24" customHeight="1">
      <c r="N1474" s="213"/>
      <c r="O1474" s="213"/>
    </row>
    <row r="1475" spans="14:15" ht="24" customHeight="1">
      <c r="N1475" s="213"/>
      <c r="O1475" s="213"/>
    </row>
    <row r="1476" spans="14:15" ht="24" customHeight="1">
      <c r="N1476" s="213"/>
      <c r="O1476" s="213"/>
    </row>
    <row r="1477" spans="14:15" ht="24" customHeight="1">
      <c r="N1477" s="213"/>
      <c r="O1477" s="213"/>
    </row>
    <row r="1478" spans="14:15" ht="24" customHeight="1">
      <c r="N1478" s="213"/>
      <c r="O1478" s="213"/>
    </row>
    <row r="1479" spans="14:15" ht="24" customHeight="1">
      <c r="N1479" s="213"/>
      <c r="O1479" s="213"/>
    </row>
    <row r="1480" spans="14:15" ht="24" customHeight="1">
      <c r="N1480" s="213"/>
      <c r="O1480" s="213"/>
    </row>
  </sheetData>
  <sortState ref="A36:H45">
    <sortCondition ref="A36:A45"/>
  </sortState>
  <mergeCells count="85">
    <mergeCell ref="A1276:T1276"/>
    <mergeCell ref="G1251:K1251"/>
    <mergeCell ref="I1140:J1140"/>
    <mergeCell ref="I1143:J1143"/>
    <mergeCell ref="I1145:J1145"/>
    <mergeCell ref="I1148:J1148"/>
    <mergeCell ref="I1194:J1194"/>
    <mergeCell ref="I1200:J1200"/>
    <mergeCell ref="I1205:J1205"/>
    <mergeCell ref="I1149:J1149"/>
    <mergeCell ref="F1163:K1163"/>
    <mergeCell ref="I1141:J1141"/>
    <mergeCell ref="G1230:K1230"/>
    <mergeCell ref="A1156:K1156"/>
    <mergeCell ref="G1256:K1256"/>
    <mergeCell ref="G1262:K1262"/>
    <mergeCell ref="D427:K427"/>
    <mergeCell ref="C511:K511"/>
    <mergeCell ref="D456:K456"/>
    <mergeCell ref="G1247:K1247"/>
    <mergeCell ref="F1185:K1185"/>
    <mergeCell ref="F1186:K1186"/>
    <mergeCell ref="F1187:K1187"/>
    <mergeCell ref="I1212:J1212"/>
    <mergeCell ref="A1193:K1193"/>
    <mergeCell ref="A1229:K1229"/>
    <mergeCell ref="A7:K7"/>
    <mergeCell ref="D5:F5"/>
    <mergeCell ref="D45:K45"/>
    <mergeCell ref="D76:K76"/>
    <mergeCell ref="G1236:K1236"/>
    <mergeCell ref="D31:K31"/>
    <mergeCell ref="D324:K324"/>
    <mergeCell ref="D383:K383"/>
    <mergeCell ref="D913:K913"/>
    <mergeCell ref="J1070:J1080"/>
    <mergeCell ref="J1087:J1097"/>
    <mergeCell ref="D745:K745"/>
    <mergeCell ref="D912:K912"/>
    <mergeCell ref="D668:K668"/>
    <mergeCell ref="D665:K665"/>
    <mergeCell ref="D130:K130"/>
    <mergeCell ref="D322:K322"/>
    <mergeCell ref="D77:K77"/>
    <mergeCell ref="D78:K78"/>
    <mergeCell ref="D79:K79"/>
    <mergeCell ref="D463:K463"/>
    <mergeCell ref="F231:K231"/>
    <mergeCell ref="F440:K440"/>
    <mergeCell ref="D455:K455"/>
    <mergeCell ref="F442:K442"/>
    <mergeCell ref="D454:K454"/>
    <mergeCell ref="D461:K461"/>
    <mergeCell ref="G1272:K1272"/>
    <mergeCell ref="D325:K325"/>
    <mergeCell ref="D477:K477"/>
    <mergeCell ref="D486:K486"/>
    <mergeCell ref="D781:K781"/>
    <mergeCell ref="I1218:J1218"/>
    <mergeCell ref="I1223:J1223"/>
    <mergeCell ref="D989:K989"/>
    <mergeCell ref="D1011:K1011"/>
    <mergeCell ref="D1012:K1012"/>
    <mergeCell ref="D376:K376"/>
    <mergeCell ref="G1265:K1265"/>
    <mergeCell ref="G1268:K1268"/>
    <mergeCell ref="A1211:K1211"/>
    <mergeCell ref="D666:K666"/>
    <mergeCell ref="G1242:K1242"/>
    <mergeCell ref="Y1:AB1"/>
    <mergeCell ref="A1135:K1135"/>
    <mergeCell ref="A1119:K1119"/>
    <mergeCell ref="A1103:K1103"/>
    <mergeCell ref="A1068:J1068"/>
    <mergeCell ref="C513:K513"/>
    <mergeCell ref="C515:K515"/>
    <mergeCell ref="D559:K559"/>
    <mergeCell ref="D46:K46"/>
    <mergeCell ref="D326:K326"/>
    <mergeCell ref="D384:K384"/>
    <mergeCell ref="D462:K462"/>
    <mergeCell ref="D560:K560"/>
    <mergeCell ref="X245:AB245"/>
    <mergeCell ref="D323:K323"/>
    <mergeCell ref="D319:K319"/>
  </mergeCells>
  <printOptions horizontalCentered="1"/>
  <pageMargins left="0" right="0" top="0.25" bottom="0.25" header="0" footer="0"/>
  <pageSetup scale="60" fitToHeight="20" orientation="landscape" horizontalDpi="4294967293" r:id="rId1"/>
  <headerFooter alignWithMargins="0"/>
  <rowBreaks count="43" manualBreakCount="43">
    <brk id="60" max="19" man="1"/>
    <brk id="95" max="19" man="1"/>
    <brk id="99" max="19" man="1"/>
    <brk id="120" max="19" man="1"/>
    <brk id="164" max="19" man="1"/>
    <brk id="192" max="19" man="1"/>
    <brk id="224" max="19" man="1"/>
    <brk id="232" max="19" man="1"/>
    <brk id="266" max="19" man="1"/>
    <brk id="279" max="19" man="1"/>
    <brk id="297" max="19" man="1"/>
    <brk id="314" max="19" man="1"/>
    <brk id="352" max="19" man="1"/>
    <brk id="369" max="19" man="1"/>
    <brk id="404" max="19" man="1"/>
    <brk id="430" max="19" man="1"/>
    <brk id="445" max="19" man="1"/>
    <brk id="479" max="19" man="1"/>
    <brk id="517" max="19" man="1"/>
    <brk id="519" max="19" man="1"/>
    <brk id="548" max="19" man="1"/>
    <brk id="586" max="19" man="1"/>
    <brk id="623" max="19" man="1"/>
    <brk id="652" max="19" man="1"/>
    <brk id="654" max="19" man="1"/>
    <brk id="691" max="19" man="1"/>
    <brk id="725" max="19" man="1"/>
    <brk id="738" max="19" man="1"/>
    <brk id="774" max="19" man="1"/>
    <brk id="863" max="19" man="1"/>
    <brk id="902" max="19" man="1"/>
    <brk id="961" max="19" man="1"/>
    <brk id="985" max="19" man="1"/>
    <brk id="1006" max="19" man="1"/>
    <brk id="1041" max="19" man="1"/>
    <brk id="1067" max="19" man="1"/>
    <brk id="1102" max="19" man="1"/>
    <brk id="1134" max="19" man="1"/>
    <brk id="1155" max="19" man="1"/>
    <brk id="1191" max="19" man="1"/>
    <brk id="1192" max="19" man="1"/>
    <brk id="1228" max="19" man="1"/>
    <brk id="1259"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Budget Summary</vt:lpstr>
      <vt:lpstr>Budget Summary by Category</vt:lpstr>
      <vt:lpstr>Fund Balance History</vt:lpstr>
      <vt:lpstr>Fund Balance Summary</vt:lpstr>
      <vt:lpstr>Gen Fd Cover Sheets</vt:lpstr>
      <vt:lpstr>Veh &amp; Equip Cover Sheet</vt:lpstr>
      <vt:lpstr>Fund Cover Sheets</vt:lpstr>
      <vt:lpstr>Budget Detail FY 2014-21</vt:lpstr>
      <vt:lpstr>'Budget Detail FY 2014-21'!Print_Area</vt:lpstr>
      <vt:lpstr>'Budget Summary'!Print_Area</vt:lpstr>
      <vt:lpstr>'Budget Summary by Category'!Print_Area</vt:lpstr>
      <vt:lpstr>'Fund Balance History'!Print_Area</vt:lpstr>
      <vt:lpstr>'Fund Balance Summary'!Print_Area</vt:lpstr>
      <vt:lpstr>'Fund Cover Sheets'!Print_Area</vt:lpstr>
      <vt:lpstr>'Gen Fd Cover Sheets'!Print_Area</vt:lpstr>
      <vt:lpstr>'Veh &amp; Equip Cover Sheet'!Print_Area</vt:lpstr>
      <vt:lpstr>'Budget Detail FY 2014-21'!Print_Titles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Fredrickson</dc:creator>
  <cp:lastModifiedBy>asimmons</cp:lastModifiedBy>
  <cp:lastPrinted>2016-03-14T20:04:42Z</cp:lastPrinted>
  <dcterms:created xsi:type="dcterms:W3CDTF">2010-07-13T03:18:21Z</dcterms:created>
  <dcterms:modified xsi:type="dcterms:W3CDTF">2016-04-14T17:08:26Z</dcterms:modified>
</cp:coreProperties>
</file>